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theme/themeOverride1.xml" ContentType="application/vnd.openxmlformats-officedocument.themeOverride+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sutclang\AppData\Local\Research\ModelPublishing\SubmittedModels\"/>
    </mc:Choice>
  </mc:AlternateContent>
  <xr:revisionPtr revIDLastSave="0" documentId="8_{1CEDFCDA-21D9-48E9-984A-65100A2488F0}" xr6:coauthVersionLast="47" xr6:coauthVersionMax="47" xr10:uidLastSave="{00000000-0000-0000-0000-000000000000}"/>
  <bookViews>
    <workbookView xWindow="-108" yWindow="-108" windowWidth="30936" windowHeight="16776" tabRatio="912" xr2:uid="{00000000-000D-0000-FFFF-FFFF00000000}"/>
  </bookViews>
  <sheets>
    <sheet name="CircularReferenceAlert" sheetId="133" r:id="rId1"/>
    <sheet name="ImportantDisclosures" sheetId="130" r:id="rId2"/>
    <sheet name="MENU" sheetId="9" r:id="rId3"/>
    <sheet name="Financial Summary" sheetId="5" r:id="rId4"/>
    <sheet name="Revenue Assumptions" sheetId="4" r:id="rId5"/>
    <sheet name="Cost + BS Assumptions" sheetId="12" r:id="rId6"/>
    <sheet name="P&amp;L" sheetId="6" r:id="rId7"/>
    <sheet name="Cash Flow Statement" sheetId="7" r:id="rId8"/>
    <sheet name="Balance Sheet" sheetId="8" r:id="rId9"/>
    <sheet name="Valuation &gt;&gt;&gt;" sheetId="102" r:id="rId10"/>
    <sheet name="PE" sheetId="14" r:id="rId11"/>
    <sheet name="SoTP" sheetId="15" r:id="rId12"/>
    <sheet name="IndexInformation" sheetId="131" r:id="rId13"/>
    <sheet name="ModPubIndex" sheetId="132" r:id="rId14"/>
  </sheets>
  <definedNames>
    <definedName name="__FDS_HYPERLINK_TOGGLE_STATE__" hidden="1">"ON"</definedName>
    <definedName name="__FDS_UNIQUE_RANGE_ID_GENERATOR_COUNTER" hidden="1">3</definedName>
    <definedName name="_bdm.1947A68C20004AB8B59CB28293E65578.edm" localSheetId="10" hidden="1">PE!$1:$1048576</definedName>
    <definedName name="_bdm.22008BDA08E841CCBAEFABB9072677D4.edm" hidden="1">#REF!</definedName>
    <definedName name="_bdm.2A3D39435B7D4829AA82BC4197831D97.edm" localSheetId="8" hidden="1">'Balance Sheet'!$1:$1048576</definedName>
    <definedName name="_bdm.36C78B2442CD48CFBFD53E0986CC2E77.edm" localSheetId="2" hidden="1">MENU!$1:$1048576</definedName>
    <definedName name="_bdm.40FE3B29132345B799B79F0552F753A9.edm" localSheetId="7" hidden="1">'Cash Flow Statement'!$1:$1048576</definedName>
    <definedName name="_bdm.66A4E7CE6CF1468BA32006183AD40B58.edm" localSheetId="3" hidden="1">'Financial Summary'!$B$7:$AF$65</definedName>
    <definedName name="_bdm.69E9EA5039C942C78C387651046CAAEF.edm" localSheetId="5" hidden="1">'Cost + BS Assumptions'!$1:$1048576</definedName>
    <definedName name="_bdm.69E9EA5039C942C78C387651046CAAEF.edm" hidden="1">'Revenue Assumptions'!$1:$1048576</definedName>
    <definedName name="_bdm.9C146A5C8B064EA7B41BC7C8B3F4CDF7.edm" localSheetId="6" hidden="1">'P&amp;L'!$1:$1048576</definedName>
    <definedName name="_bdm.A55C0854DDA04F4D9AC7497FA3EE1A96.edm" localSheetId="3" hidden="1">'Financial Summary'!$1:$1048576</definedName>
    <definedName name="_bdm.BCE1E82C45FF48BA9BFCF8E5837E9D4A.edm" localSheetId="11" hidden="1">SoTP!$1:$1048576</definedName>
    <definedName name="_bdm.F16490D945F549FF968D74A1A8166C23.edm" localSheetId="10" hidden="1">PE!$B$5:$I$5</definedName>
    <definedName name="_Order1" hidden="1">255</definedName>
    <definedName name="_Order2" hidden="1">255</definedName>
    <definedName name="aaa" hidden="1">{"AVSHAR","BSHAR"}</definedName>
    <definedName name="AS2DocOpenMode" hidden="1">"AS2DocumentEdit"</definedName>
    <definedName name="asdfasd" localSheetId="8">{"Client Name or Project Name"}</definedName>
    <definedName name="asdfasd" localSheetId="7">{"Client Name or Project Name"}</definedName>
    <definedName name="asdfasd" localSheetId="5">{"Client Name or Project Name"}</definedName>
    <definedName name="asdfasd" localSheetId="3">{"Client Name or Project Name"}</definedName>
    <definedName name="asdfasd" localSheetId="2">{"Client Name or Project Name"}</definedName>
    <definedName name="asdfasd" localSheetId="6">{"Client Name or Project Name"}</definedName>
    <definedName name="asdfasd" localSheetId="10">{"Client Name or Project Name"}</definedName>
    <definedName name="asdfasd" localSheetId="11">{"Client Name or Project Name"}</definedName>
    <definedName name="asdfasd">{"Client Name or Project Name"}</definedName>
    <definedName name="BS추정" hidden="1">{"'보고양식'!$A$58:$K$111"}</definedName>
    <definedName name="ccc" localSheetId="8">'Balance Sheet'!ccc</definedName>
    <definedName name="ccc" localSheetId="7">'Cash Flow Statement'!ccc</definedName>
    <definedName name="ccc" localSheetId="5">'Cost + BS Assumptions'!ccc</definedName>
    <definedName name="ccc" localSheetId="3">'Financial Summary'!ccc</definedName>
    <definedName name="ccc" localSheetId="2">MENU!ccc</definedName>
    <definedName name="ccc" localSheetId="6">'P&amp;L'!ccc</definedName>
    <definedName name="ccc" localSheetId="10">PE!ccc</definedName>
    <definedName name="ccc" localSheetId="11">SoTP!ccc</definedName>
    <definedName name="ccc">'Balance Sheet'!ccc</definedName>
    <definedName name="chart_1">"Chart 1"</definedName>
    <definedName name="chart_2">"Chart 2"</definedName>
    <definedName name="Choices_Wrapper" localSheetId="8">'Balance Sheet'!Choices_Wrapper</definedName>
    <definedName name="Choices_Wrapper" localSheetId="7">'Cash Flow Statement'!Choices_Wrapper</definedName>
    <definedName name="Choices_Wrapper" localSheetId="5">'Cost + BS Assumptions'!Choices_Wrapper</definedName>
    <definedName name="Choices_Wrapper" localSheetId="3">'Financial Summary'!Choices_Wrapper</definedName>
    <definedName name="Choices_Wrapper" localSheetId="2">MENU!Choices_Wrapper</definedName>
    <definedName name="Choices_Wrapper" localSheetId="6">'P&amp;L'!Choices_Wrapper</definedName>
    <definedName name="Choices_Wrapper" localSheetId="10">PE!Choices_Wrapper</definedName>
    <definedName name="Choices_Wrapper" localSheetId="11">SoTP!Choices_Wrapper</definedName>
    <definedName name="Choices_Wrapper">'Balance Sheet'!Choices_Wrapper</definedName>
    <definedName name="cu119.CopyLastPeriodRows" hidden="1">{"AVSHAR","BSHAR"}</definedName>
    <definedName name="customer_migration_nbn">#REF!</definedName>
    <definedName name="DB">"WIREAUPROD"</definedName>
    <definedName name="DEVELOPMENT">5</definedName>
    <definedName name="dfds">'Cash Flow Statement'!$B$5:$X$59</definedName>
    <definedName name="DME_LocalFile" hidden="1">"True"</definedName>
    <definedName name="dsafdsafsa">'Financial Summary'!$B$7:$AM$65</definedName>
    <definedName name="dsafsdf">'Cash Flow Statement'!$B$5:$X$58</definedName>
    <definedName name="dsfsf">'Balance Sheet'!$B$5:$X$60</definedName>
    <definedName name="ed" hidden="1">{"'보고양식'!$A$58:$K$111"}</definedName>
    <definedName name="High_Ratio">" 100+"</definedName>
    <definedName name="HTML_CodePage" hidden="1">949</definedName>
    <definedName name="HTML_Control" hidden="1">{"'보고양식'!$A$58:$K$111"}</definedName>
    <definedName name="HTML_Description" hidden="1">""</definedName>
    <definedName name="HTML_Email" hidden="1">""</definedName>
    <definedName name="HTML_Header" hidden="1">""</definedName>
    <definedName name="HTML_LastUpdate" hidden="1">""</definedName>
    <definedName name="HTML_LineAfter" hidden="1">FALSE</definedName>
    <definedName name="HTML_LineBefore" hidden="1">FALSE</definedName>
    <definedName name="HTML_Name" hidden="1">""</definedName>
    <definedName name="HTML_OBDlg2" hidden="1">TRUE</definedName>
    <definedName name="HTML_OBDlg4" hidden="1">TRUE</definedName>
    <definedName name="HTML_OS" hidden="1">0</definedName>
    <definedName name="HTML_PathFile" hidden="1">"C:\My Documents\98년\영업현황\2월 수주현황(2월 마감분).htm"</definedName>
    <definedName name="HTML_Title" hidden="1">""</definedName>
    <definedName name="HTML1_10" hidden="1">""</definedName>
    <definedName name="HTML1_11" hidden="1">1</definedName>
    <definedName name="HTML1_12" hidden="1">"C:\My Documents\98년\1월\영업현황\시험.htm"</definedName>
    <definedName name="HTML1_2" hidden="1">1</definedName>
    <definedName name="HTML1_3" hidden="1">"수주관리98"</definedName>
    <definedName name="HTML1_4" hidden="1">"회선현황"</definedName>
    <definedName name="HTML1_5" hidden="1">""</definedName>
    <definedName name="HTML1_6" hidden="1">-4146</definedName>
    <definedName name="HTML1_7" hidden="1">-4146</definedName>
    <definedName name="HTML1_8" hidden="1">"98-01-21"</definedName>
    <definedName name="HTML1_9" hidden="1">"김은광"</definedName>
    <definedName name="HTML10_10" hidden="1">""</definedName>
    <definedName name="HTML10_11" hidden="1">1</definedName>
    <definedName name="HTML10_12" hidden="1">"C:\My Documents\98년\영업현황\일일현황-98.2.6.htm"</definedName>
    <definedName name="HTML10_2" hidden="1">1</definedName>
    <definedName name="HTML10_3" hidden="1">""</definedName>
    <definedName name="HTML10_4" hidden="1">""</definedName>
    <definedName name="HTML10_5" hidden="1">""</definedName>
    <definedName name="HTML10_6" hidden="1">-4146</definedName>
    <definedName name="HTML10_7" hidden="1">-4146</definedName>
    <definedName name="HTML10_8" hidden="1">""</definedName>
    <definedName name="HTML10_9" hidden="1">""</definedName>
    <definedName name="HTML11_10" hidden="1">""</definedName>
    <definedName name="HTML11_11" hidden="1">1</definedName>
    <definedName name="HTML11_12" hidden="1">"C:\My Documents\98년\영업현황\일일현황-98.2.12.htm"</definedName>
    <definedName name="HTML11_2" hidden="1">1</definedName>
    <definedName name="HTML11_3" hidden="1">""</definedName>
    <definedName name="HTML11_4" hidden="1">""</definedName>
    <definedName name="HTML11_5" hidden="1">""</definedName>
    <definedName name="HTML11_6" hidden="1">-4146</definedName>
    <definedName name="HTML11_7" hidden="1">-4146</definedName>
    <definedName name="HTML11_8" hidden="1">""</definedName>
    <definedName name="HTML11_9" hidden="1">""</definedName>
    <definedName name="HTML12_10" hidden="1">""</definedName>
    <definedName name="HTML12_11" hidden="1">1</definedName>
    <definedName name="HTML12_12" hidden="1">"C:\My Documents\98년\영업현황\일일현황-98.2.13.htm"</definedName>
    <definedName name="HTML12_2" hidden="1">1</definedName>
    <definedName name="HTML12_3" hidden="1">""</definedName>
    <definedName name="HTML12_4" hidden="1">""</definedName>
    <definedName name="HTML12_5" hidden="1">""</definedName>
    <definedName name="HTML12_6" hidden="1">-4146</definedName>
    <definedName name="HTML12_7" hidden="1">-4146</definedName>
    <definedName name="HTML12_8" hidden="1">""</definedName>
    <definedName name="HTML12_9" hidden="1">""</definedName>
    <definedName name="HTML13_10" hidden="1">""</definedName>
    <definedName name="HTML13_11" hidden="1">1</definedName>
    <definedName name="HTML13_12" hidden="1">"C:\My Documents\98년\영업현황\일일현황-98.2.12.htm"</definedName>
    <definedName name="HTML13_2" hidden="1">1</definedName>
    <definedName name="HTML13_3" hidden="1">""</definedName>
    <definedName name="HTML13_4" hidden="1">""</definedName>
    <definedName name="HTML13_5" hidden="1">""</definedName>
    <definedName name="HTML13_6" hidden="1">-4146</definedName>
    <definedName name="HTML13_7" hidden="1">-4146</definedName>
    <definedName name="HTML13_8" hidden="1">""</definedName>
    <definedName name="HTML13_9" hidden="1">""</definedName>
    <definedName name="HTML14_10" hidden="1">""</definedName>
    <definedName name="HTML14_11" hidden="1">1</definedName>
    <definedName name="HTML14_12" hidden="1">"C:\My Documents\98년\영업현황\일일현황-98.2.9.htm"</definedName>
    <definedName name="HTML14_2" hidden="1">1</definedName>
    <definedName name="HTML14_3" hidden="1">""</definedName>
    <definedName name="HTML14_4" hidden="1">""</definedName>
    <definedName name="HTML14_5" hidden="1">""</definedName>
    <definedName name="HTML14_6" hidden="1">-4146</definedName>
    <definedName name="HTML14_7" hidden="1">-4146</definedName>
    <definedName name="HTML14_8" hidden="1">""</definedName>
    <definedName name="HTML14_9" hidden="1">""</definedName>
    <definedName name="HTML15_10" hidden="1">""</definedName>
    <definedName name="HTML15_11" hidden="1">1</definedName>
    <definedName name="HTML15_12" hidden="1">"C:\My Documents\98년\영업현황\일일현황-98.2.16.htm"</definedName>
    <definedName name="HTML15_2" hidden="1">1</definedName>
    <definedName name="HTML15_3" hidden="1">""</definedName>
    <definedName name="HTML15_4" hidden="1">""</definedName>
    <definedName name="HTML15_5" hidden="1">""</definedName>
    <definedName name="HTML15_6" hidden="1">-4146</definedName>
    <definedName name="HTML15_7" hidden="1">-4146</definedName>
    <definedName name="HTML15_8" hidden="1">""</definedName>
    <definedName name="HTML15_9" hidden="1">""</definedName>
    <definedName name="HTML16_10" hidden="1">""</definedName>
    <definedName name="HTML16_11" hidden="1">1</definedName>
    <definedName name="HTML16_12" hidden="1">"C:\My Documents\98년\영업현황\일일현황-98.2.25.htm"</definedName>
    <definedName name="HTML16_2" hidden="1">1</definedName>
    <definedName name="HTML16_3" hidden="1">""</definedName>
    <definedName name="HTML16_4" hidden="1">""</definedName>
    <definedName name="HTML16_5" hidden="1">""</definedName>
    <definedName name="HTML16_6" hidden="1">-4146</definedName>
    <definedName name="HTML16_7" hidden="1">-4146</definedName>
    <definedName name="HTML16_8" hidden="1">""</definedName>
    <definedName name="HTML16_9" hidden="1">""</definedName>
    <definedName name="HTML17_10" hidden="1">""</definedName>
    <definedName name="HTML17_11" hidden="1">1</definedName>
    <definedName name="HTML17_12" hidden="1">"C:\My Documents\98년\영업현황\1월 수주현황.htm"</definedName>
    <definedName name="HTML17_2" hidden="1">1</definedName>
    <definedName name="HTML17_3" hidden="1">""</definedName>
    <definedName name="HTML17_4" hidden="1">""</definedName>
    <definedName name="HTML17_5" hidden="1">""</definedName>
    <definedName name="HTML17_6" hidden="1">-4146</definedName>
    <definedName name="HTML17_7" hidden="1">-4146</definedName>
    <definedName name="HTML17_8" hidden="1">""</definedName>
    <definedName name="HTML17_9" hidden="1">""</definedName>
    <definedName name="HTML18_10" hidden="1">""</definedName>
    <definedName name="HTML18_11" hidden="1">1</definedName>
    <definedName name="HTML18_12" hidden="1">"C:\My Documents\98년\영업현황\2월 수주현황(2월25일 현재).htm"</definedName>
    <definedName name="HTML18_2" hidden="1">1</definedName>
    <definedName name="HTML18_3" hidden="1">""</definedName>
    <definedName name="HTML18_4" hidden="1">""</definedName>
    <definedName name="HTML18_5" hidden="1">""</definedName>
    <definedName name="HTML18_6" hidden="1">-4146</definedName>
    <definedName name="HTML18_7" hidden="1">-4146</definedName>
    <definedName name="HTML18_8" hidden="1">""</definedName>
    <definedName name="HTML18_9" hidden="1">""</definedName>
    <definedName name="HTML19_10" hidden="1">""</definedName>
    <definedName name="HTML19_11" hidden="1">1</definedName>
    <definedName name="HTML19_12" hidden="1">"C:\My Documents\98년\영업현황\월별현황(2월25일 현재).htm"</definedName>
    <definedName name="HTML19_2" hidden="1">1</definedName>
    <definedName name="HTML19_3" hidden="1">""</definedName>
    <definedName name="HTML19_4" hidden="1">""</definedName>
    <definedName name="HTML19_5" hidden="1">""</definedName>
    <definedName name="HTML19_6" hidden="1">-4146</definedName>
    <definedName name="HTML19_7" hidden="1">-4146</definedName>
    <definedName name="HTML19_8" hidden="1">""</definedName>
    <definedName name="HTML19_9" hidden="1">""</definedName>
    <definedName name="HTML2_10" hidden="1">""</definedName>
    <definedName name="HTML2_11" hidden="1">1</definedName>
    <definedName name="HTML2_12" hidden="1">"C:\My Documents\98년\1월\영업현황\일일현황-98.1.22.htm"</definedName>
    <definedName name="HTML2_2" hidden="1">1</definedName>
    <definedName name="HTML2_3" hidden="1">""</definedName>
    <definedName name="HTML2_4" hidden="1">""</definedName>
    <definedName name="HTML2_5" hidden="1">""</definedName>
    <definedName name="HTML2_6" hidden="1">-4146</definedName>
    <definedName name="HTML2_7" hidden="1">1</definedName>
    <definedName name="HTML2_8" hidden="1">"98-01-22"</definedName>
    <definedName name="HTML2_9" hidden="1">""</definedName>
    <definedName name="HTML20_10" hidden="1">""</definedName>
    <definedName name="HTML20_11" hidden="1">1</definedName>
    <definedName name="HTML20_12" hidden="1">"C:\My Documents\98년\영업현황\월별현황(2월 마감분).htm"</definedName>
    <definedName name="HTML20_2" hidden="1">1</definedName>
    <definedName name="HTML20_3" hidden="1">""</definedName>
    <definedName name="HTML20_4" hidden="1">""</definedName>
    <definedName name="HTML20_5" hidden="1">""</definedName>
    <definedName name="HTML20_6" hidden="1">-4146</definedName>
    <definedName name="HTML20_7" hidden="1">-4146</definedName>
    <definedName name="HTML20_8" hidden="1">""</definedName>
    <definedName name="HTML20_9" hidden="1">""</definedName>
    <definedName name="HTML21_10" hidden="1">""</definedName>
    <definedName name="HTML21_11" hidden="1">1</definedName>
    <definedName name="HTML21_12" hidden="1">"C:\My Documents\98년\영업현황\1월 수주현황(1월 마감분).htm"</definedName>
    <definedName name="HTML21_2" hidden="1">1</definedName>
    <definedName name="HTML21_3" hidden="1">""</definedName>
    <definedName name="HTML21_4" hidden="1">""</definedName>
    <definedName name="HTML21_5" hidden="1">""</definedName>
    <definedName name="HTML21_6" hidden="1">-4146</definedName>
    <definedName name="HTML21_7" hidden="1">-4146</definedName>
    <definedName name="HTML21_8" hidden="1">""</definedName>
    <definedName name="HTML21_9" hidden="1">""</definedName>
    <definedName name="HTML22_10" hidden="1">""</definedName>
    <definedName name="HTML22_11" hidden="1">1</definedName>
    <definedName name="HTML22_12" hidden="1">"C:\My Documents\98년\영업현황\1월 수주현황(2월 마감분).htm"</definedName>
    <definedName name="HTML22_2" hidden="1">1</definedName>
    <definedName name="HTML22_3" hidden="1">""</definedName>
    <definedName name="HTML22_4" hidden="1">""</definedName>
    <definedName name="HTML22_5" hidden="1">""</definedName>
    <definedName name="HTML22_6" hidden="1">-4146</definedName>
    <definedName name="HTML22_7" hidden="1">-4146</definedName>
    <definedName name="HTML22_8" hidden="1">""</definedName>
    <definedName name="HTML22_9" hidden="1">""</definedName>
    <definedName name="HTML23_10" hidden="1">""</definedName>
    <definedName name="HTML23_11" hidden="1">1</definedName>
    <definedName name="HTML23_12" hidden="1">"C:\My Documents\98년\영업현황\2월 수주현황(2월 마감분).htm"</definedName>
    <definedName name="HTML23_2" hidden="1">1</definedName>
    <definedName name="HTML23_3" hidden="1">""</definedName>
    <definedName name="HTML23_4" hidden="1">""</definedName>
    <definedName name="HTML23_5" hidden="1">""</definedName>
    <definedName name="HTML23_6" hidden="1">-4146</definedName>
    <definedName name="HTML23_7" hidden="1">-4146</definedName>
    <definedName name="HTML23_8" hidden="1">""</definedName>
    <definedName name="HTML23_9" hidden="1">""</definedName>
    <definedName name="HTML24_10" hidden="1">""</definedName>
    <definedName name="HTML24_11" hidden="1">1</definedName>
    <definedName name="HTML24_12" hidden="1">"C:\My Documents\98년\영업현황\월별현황(2월 마감분).htm"</definedName>
    <definedName name="HTML24_2" hidden="1">1</definedName>
    <definedName name="HTML24_3" hidden="1">""</definedName>
    <definedName name="HTML24_4" hidden="1">""</definedName>
    <definedName name="HTML24_5" hidden="1">""</definedName>
    <definedName name="HTML24_6" hidden="1">-4146</definedName>
    <definedName name="HTML24_7" hidden="1">-4146</definedName>
    <definedName name="HTML24_8" hidden="1">""</definedName>
    <definedName name="HTML24_9" hidden="1">""</definedName>
    <definedName name="HTML25_10" hidden="1">""</definedName>
    <definedName name="HTML25_11" hidden="1">1</definedName>
    <definedName name="HTML25_12" hidden="1">"C:\My Documents\98년\영업현황\1월 수주현황(1월 마감분).htm"</definedName>
    <definedName name="HTML25_2" hidden="1">1</definedName>
    <definedName name="HTML25_3" hidden="1">""</definedName>
    <definedName name="HTML25_4" hidden="1">""</definedName>
    <definedName name="HTML25_5" hidden="1">""</definedName>
    <definedName name="HTML25_6" hidden="1">-4146</definedName>
    <definedName name="HTML25_7" hidden="1">-4146</definedName>
    <definedName name="HTML25_8" hidden="1">""</definedName>
    <definedName name="HTML25_9" hidden="1">""</definedName>
    <definedName name="HTML26_10" hidden="1">""</definedName>
    <definedName name="HTML26_11" hidden="1">1</definedName>
    <definedName name="HTML26_12" hidden="1">"C:\My Documents\98년\영업현황\2월 수주현황(2월 마감분).htm"</definedName>
    <definedName name="HTML26_2" hidden="1">1</definedName>
    <definedName name="HTML26_3" hidden="1">""</definedName>
    <definedName name="HTML26_4" hidden="1">""</definedName>
    <definedName name="HTML26_5" hidden="1">""</definedName>
    <definedName name="HTML26_6" hidden="1">-4146</definedName>
    <definedName name="HTML26_7" hidden="1">-4146</definedName>
    <definedName name="HTML26_8" hidden="1">""</definedName>
    <definedName name="HTML26_9" hidden="1">""</definedName>
    <definedName name="HTML27_10" hidden="1">""</definedName>
    <definedName name="HTML27_11" hidden="1">1</definedName>
    <definedName name="HTML27_12" hidden="1">"C:\My Documents\98년\영업현황\월별현황(2월 마감분).htm"</definedName>
    <definedName name="HTML27_2" hidden="1">1</definedName>
    <definedName name="HTML27_3" hidden="1">""</definedName>
    <definedName name="HTML27_4" hidden="1">""</definedName>
    <definedName name="HTML27_5" hidden="1">""</definedName>
    <definedName name="HTML27_6" hidden="1">-4146</definedName>
    <definedName name="HTML27_7" hidden="1">-4146</definedName>
    <definedName name="HTML27_8" hidden="1">""</definedName>
    <definedName name="HTML27_9" hidden="1">""</definedName>
    <definedName name="HTML28_10" hidden="1">""</definedName>
    <definedName name="HTML28_11" hidden="1">1</definedName>
    <definedName name="HTML28_12" hidden="1">"C:\My Documents\98년\영업현황\월별현황(2월 마감분).htm"</definedName>
    <definedName name="HTML28_2" hidden="1">1</definedName>
    <definedName name="HTML28_3" hidden="1">""</definedName>
    <definedName name="HTML28_4" hidden="1">""</definedName>
    <definedName name="HTML28_5" hidden="1">""</definedName>
    <definedName name="HTML28_6" hidden="1">-4146</definedName>
    <definedName name="HTML28_7" hidden="1">-4146</definedName>
    <definedName name="HTML28_8" hidden="1">""</definedName>
    <definedName name="HTML28_9" hidden="1">""</definedName>
    <definedName name="HTML29_10" hidden="1">""</definedName>
    <definedName name="HTML29_11" hidden="1">1</definedName>
    <definedName name="HTML29_12" hidden="1">"C:\My Documents\98년\영업현황\2월 수주현황(2월 마감분).htm"</definedName>
    <definedName name="HTML29_2" hidden="1">1</definedName>
    <definedName name="HTML29_3" hidden="1">""</definedName>
    <definedName name="HTML29_4" hidden="1">""</definedName>
    <definedName name="HTML29_5" hidden="1">""</definedName>
    <definedName name="HTML29_6" hidden="1">-4146</definedName>
    <definedName name="HTML29_7" hidden="1">-4146</definedName>
    <definedName name="HTML29_8" hidden="1">""</definedName>
    <definedName name="HTML29_9" hidden="1">""</definedName>
    <definedName name="HTML3_10" hidden="1">""</definedName>
    <definedName name="HTML3_11" hidden="1">1</definedName>
    <definedName name="HTML3_12" hidden="1">"C:\My Documents\98년\영업현황\일일현황-98.1.23.htm"</definedName>
    <definedName name="HTML3_2" hidden="1">1</definedName>
    <definedName name="HTML3_3" hidden="1">""</definedName>
    <definedName name="HTML3_4" hidden="1">""</definedName>
    <definedName name="HTML3_5" hidden="1">""</definedName>
    <definedName name="HTML3_6" hidden="1">1</definedName>
    <definedName name="HTML3_7" hidden="1">1</definedName>
    <definedName name="HTML3_8" hidden="1">""</definedName>
    <definedName name="HTML3_9" hidden="1">""</definedName>
    <definedName name="HTML30_10" hidden="1">""</definedName>
    <definedName name="HTML30_11" hidden="1">1</definedName>
    <definedName name="HTML30_12" hidden="1">"C:\My Documents\98년\영업현황\일일현황-98.3.12.htm"</definedName>
    <definedName name="HTML30_2" hidden="1">1</definedName>
    <definedName name="HTML30_3" hidden="1">""</definedName>
    <definedName name="HTML30_4" hidden="1">""</definedName>
    <definedName name="HTML30_5" hidden="1">""</definedName>
    <definedName name="HTML30_6" hidden="1">-4146</definedName>
    <definedName name="HTML30_7" hidden="1">-4146</definedName>
    <definedName name="HTML30_8" hidden="1">""</definedName>
    <definedName name="HTML30_9" hidden="1">""</definedName>
    <definedName name="HTML4_10" hidden="1">""</definedName>
    <definedName name="HTML4_11" hidden="1">1</definedName>
    <definedName name="HTML4_12" hidden="1">"C:\My Documents\98년\영업현황\일일현황-98.1.31.htm"</definedName>
    <definedName name="HTML4_2" hidden="1">1</definedName>
    <definedName name="HTML4_3" hidden="1">""</definedName>
    <definedName name="HTML4_4" hidden="1">""</definedName>
    <definedName name="HTML4_5" hidden="1">""</definedName>
    <definedName name="HTML4_6" hidden="1">1</definedName>
    <definedName name="HTML4_7" hidden="1">1</definedName>
    <definedName name="HTML4_8" hidden="1">"98-01-31"</definedName>
    <definedName name="HTML4_9" hidden="1">""</definedName>
    <definedName name="HTML5_10" hidden="1">""</definedName>
    <definedName name="HTML5_11" hidden="1">1</definedName>
    <definedName name="HTML5_12" hidden="1">"C:\My Documents\98년\영업현황\일일현황-98.1.31.v.htm"</definedName>
    <definedName name="HTML5_2" hidden="1">1</definedName>
    <definedName name="HTML5_3" hidden="1">""</definedName>
    <definedName name="HTML5_4" hidden="1">""</definedName>
    <definedName name="HTML5_5" hidden="1">""</definedName>
    <definedName name="HTML5_6" hidden="1">1</definedName>
    <definedName name="HTML5_7" hidden="1">1</definedName>
    <definedName name="HTML5_8" hidden="1">""</definedName>
    <definedName name="HTML5_9" hidden="1">""</definedName>
    <definedName name="HTML6_10" hidden="1">""</definedName>
    <definedName name="HTML6_11" hidden="1">1</definedName>
    <definedName name="HTML6_12" hidden="1">"C:\My Documents\98년\영업현황\일일현황-98.1.31.htm"</definedName>
    <definedName name="HTML6_2" hidden="1">1</definedName>
    <definedName name="HTML6_3" hidden="1">""</definedName>
    <definedName name="HTML6_4" hidden="1">""</definedName>
    <definedName name="HTML6_5" hidden="1">""</definedName>
    <definedName name="HTML6_6" hidden="1">-4146</definedName>
    <definedName name="HTML6_7" hidden="1">-4146</definedName>
    <definedName name="HTML6_8" hidden="1">""</definedName>
    <definedName name="HTML6_9" hidden="1">""</definedName>
    <definedName name="HTML7_10" hidden="1">""</definedName>
    <definedName name="HTML7_11" hidden="1">1</definedName>
    <definedName name="HTML7_12" hidden="1">"C:\My Documents\98년\영업현황\일일현황-98.1.31.htm"</definedName>
    <definedName name="HTML7_2" hidden="1">1</definedName>
    <definedName name="HTML7_3" hidden="1">""</definedName>
    <definedName name="HTML7_4" hidden="1">""</definedName>
    <definedName name="HTML7_5" hidden="1">""</definedName>
    <definedName name="HTML7_6" hidden="1">-4146</definedName>
    <definedName name="HTML7_7" hidden="1">-4146</definedName>
    <definedName name="HTML7_8" hidden="1">""</definedName>
    <definedName name="HTML7_9" hidden="1">""</definedName>
    <definedName name="HTML8_10" hidden="1">""</definedName>
    <definedName name="HTML8_11" hidden="1">1</definedName>
    <definedName name="HTML8_12" hidden="1">"C:\My Documents\98년\영업현황\일일현황-98.1.31.htm"</definedName>
    <definedName name="HTML8_2" hidden="1">1</definedName>
    <definedName name="HTML8_3" hidden="1">""</definedName>
    <definedName name="HTML8_4" hidden="1">""</definedName>
    <definedName name="HTML8_5" hidden="1">""</definedName>
    <definedName name="HTML8_6" hidden="1">-4146</definedName>
    <definedName name="HTML8_7" hidden="1">-4146</definedName>
    <definedName name="HTML8_8" hidden="1">""</definedName>
    <definedName name="HTML8_9" hidden="1">""</definedName>
    <definedName name="HTML9_10" hidden="1">""</definedName>
    <definedName name="HTML9_11" hidden="1">1</definedName>
    <definedName name="HTML9_12" hidden="1">"C:\My Documents\98년\영업현황\일일현황-98.2.10.htm"</definedName>
    <definedName name="HTML9_2" hidden="1">1</definedName>
    <definedName name="HTML9_3" hidden="1">""</definedName>
    <definedName name="HTML9_4" hidden="1">""</definedName>
    <definedName name="HTML9_5" hidden="1">""</definedName>
    <definedName name="HTML9_6" hidden="1">-4146</definedName>
    <definedName name="HTML9_7" hidden="1">-4146</definedName>
    <definedName name="HTML9_8" hidden="1">""</definedName>
    <definedName name="HTML9_9" hidden="1">""</definedName>
    <definedName name="HTMLCount" hidden="1">30</definedName>
    <definedName name="ictsymbol">"HK$"</definedName>
    <definedName name="icusymbol">"Rmb"</definedName>
    <definedName name="iuesymbol">"fen"</definedName>
    <definedName name="iunsymbol">"Rmbm"</definedName>
    <definedName name="KHN" hidden="1">{"'보고양식'!$A$58:$K$111"}</definedName>
    <definedName name="Linking_1">'Financial Summary'!$B$7:$AT$60</definedName>
    <definedName name="Linking_10">#REF!</definedName>
    <definedName name="Linking_11">#REF!</definedName>
    <definedName name="Linking_12">#REF!</definedName>
    <definedName name="Linking_13">#REF!</definedName>
    <definedName name="Linking_14">#REF!</definedName>
    <definedName name="Linking_15">#REF!</definedName>
    <definedName name="Linking_16">#REF!</definedName>
    <definedName name="Linking_17">#REF!</definedName>
    <definedName name="Linking_18">#REF!</definedName>
    <definedName name="Linking_19">#REF!</definedName>
    <definedName name="Linking_2">SoTP!$B$7:$BW$49</definedName>
    <definedName name="Linking_20">#REF!</definedName>
    <definedName name="Linking_21">#REF!</definedName>
    <definedName name="Linking_22">#REF!</definedName>
    <definedName name="Linking_23">#REF!</definedName>
    <definedName name="Linking_24">#REF!</definedName>
    <definedName name="Linking_25">#REF!</definedName>
    <definedName name="Linking_26">#REF!</definedName>
    <definedName name="Linking_27">#REF!</definedName>
    <definedName name="Linking_28">#REF!</definedName>
    <definedName name="Linking_29">#REF!</definedName>
    <definedName name="Linking_3">#REF!</definedName>
    <definedName name="Linking_30">#REF!</definedName>
    <definedName name="Linking_31">#REF!</definedName>
    <definedName name="Linking_32">#REF!</definedName>
    <definedName name="Linking_33">'Financial Summary'!$B$64:$V$97</definedName>
    <definedName name="Linking_34">#REF!</definedName>
    <definedName name="Linking_35">#REF!</definedName>
    <definedName name="Linking_36">#REF!</definedName>
    <definedName name="Linking_37">#REF!</definedName>
    <definedName name="Linking_38">#REF!</definedName>
    <definedName name="Linking_39">#REF!</definedName>
    <definedName name="Linking_4">'P&amp;L'!$B$3:$AI$107</definedName>
    <definedName name="Linking_40">#REF!</definedName>
    <definedName name="Linking_41">#REF!</definedName>
    <definedName name="Linking_42">#REF!</definedName>
    <definedName name="Linking_43">#REF!</definedName>
    <definedName name="Linking_44">#REF!</definedName>
    <definedName name="Linking_45">'P&amp;L'!$B$4:$AI$107</definedName>
    <definedName name="Linking_46">#REF!</definedName>
    <definedName name="Linking_47">#REF!</definedName>
    <definedName name="Linking_48">#REF!</definedName>
    <definedName name="Linking_49">'Cash Flow Statement'!$B$4:$AI$58</definedName>
    <definedName name="Linking_5">'Cash Flow Statement'!$B$3:$AI$58</definedName>
    <definedName name="Linking_50">#REF!</definedName>
    <definedName name="Linking_51">'Financial Summary'!$B$7:$AU$60</definedName>
    <definedName name="Linking_52">'Financial Summary'!$B$64:$W$97</definedName>
    <definedName name="Linking_53">#REF!</definedName>
    <definedName name="Linking_54">'P&amp;L'!$B$4:$AK$107</definedName>
    <definedName name="Linking_55">'Cash Flow Statement'!$B$4:$AK$58</definedName>
    <definedName name="Linking_56">'Balance Sheet'!$B$4:$AK$60</definedName>
    <definedName name="Linking_57">#REF!</definedName>
    <definedName name="Linking_58">SoTP!$B$7:$BX$50</definedName>
    <definedName name="Linking_59">#REF!</definedName>
    <definedName name="Linking_6">'Balance Sheet'!$B$4:$AI$60</definedName>
    <definedName name="Linking_60">#REF!</definedName>
    <definedName name="Linking_61">#REF!</definedName>
    <definedName name="Linking_62">#REF!</definedName>
    <definedName name="Linking_63">SoTP!$B$7:$BX$49</definedName>
    <definedName name="Linking_64">#REF!</definedName>
    <definedName name="Linking_65">'Financial Summary'!$B$7:$AV$60</definedName>
    <definedName name="Linking_66">'Financial Summary'!$B$64:$X$97</definedName>
    <definedName name="Linking_67">SoTP!$B$7:$BY$50</definedName>
    <definedName name="Linking_68">'Balance Sheet'!$B$3:$AK$60</definedName>
    <definedName name="Linking_69">'Cash Flow Statement'!$B$3:$AK$39</definedName>
    <definedName name="Linking_7">#REF!</definedName>
    <definedName name="Linking_70">'Cash Flow Statement'!$B$3:$AK$58</definedName>
    <definedName name="Linking_71">#REF!</definedName>
    <definedName name="Linking_72">'P&amp;L'!$B$3:$AK$107</definedName>
    <definedName name="Linking_73">#REF!</definedName>
    <definedName name="Linking_74">#REF!</definedName>
    <definedName name="Linking_75" xml:space="preserve">                                                                                                            'Financial Summary'!$B$7:$AW$60</definedName>
    <definedName name="Linking_76">'Balance Sheet'!$B$4:$AH$60</definedName>
    <definedName name="Linking_77">'Cash Flow Statement'!$B$4:$AH$58</definedName>
    <definedName name="Linking_78">'P&amp;L'!$B$4:$AH$107</definedName>
    <definedName name="Linking_79">#REF!</definedName>
    <definedName name="Linking_8">#REF!</definedName>
    <definedName name="Linking_80">'Financial Summary'!$B$64:$Y$97</definedName>
    <definedName name="Linking_81">#REF!</definedName>
    <definedName name="Linking_82">#REF!</definedName>
    <definedName name="Linking_9">#REF!</definedName>
    <definedName name="Linking_Range_101">PE!$B$73:$J$84</definedName>
    <definedName name="Linking_Range_104">#REF!</definedName>
    <definedName name="Linking_Range_120">'P&amp;L'!$B$5:$V$107</definedName>
    <definedName name="Linking_Range_121">'Cash Flow Statement'!$B$5:$V$59</definedName>
    <definedName name="Linking_Range_122">'Balance Sheet'!$B$5:$V$60</definedName>
    <definedName name="lstexchcodes">"Drop Down 22"</definedName>
    <definedName name="na">"  n/a "</definedName>
    <definedName name="NBN_accesslease">#REF!</definedName>
    <definedName name="NBN_regrelief">#REF!</definedName>
    <definedName name="nbn_rollout">#REF!</definedName>
    <definedName name="_xlnm.Print_Area" localSheetId="2">MENU!$A$1:$I$59</definedName>
    <definedName name="ProfitLoss" localSheetId="5">'Cost + BS Assumptions'!$3:$11</definedName>
    <definedName name="ProfitLoss" localSheetId="6">'P&amp;L'!$6:$108</definedName>
    <definedName name="ProfitLoss" localSheetId="4">'Revenue Assumptions'!$5:$1867</definedName>
    <definedName name="ProfitLoss_Data" localSheetId="6">'P&amp;L'!$D$75:$E$94</definedName>
    <definedName name="ProfitLossAnalysis" localSheetId="6">'P&amp;L'!$110:$150</definedName>
    <definedName name="ProjectName" localSheetId="8">{"Client Name or Project Name"}</definedName>
    <definedName name="ProjectName" localSheetId="7">{"Client Name or Project Name"}</definedName>
    <definedName name="ProjectName" localSheetId="5">{"Client Name or Project Name"}</definedName>
    <definedName name="ProjectName" localSheetId="3">{"Client Name or Project Name"}</definedName>
    <definedName name="ProjectName" localSheetId="2">{"Client Name or Project Name"}</definedName>
    <definedName name="ProjectName" localSheetId="6">{"Client Name or Project Name"}</definedName>
    <definedName name="ProjectName" localSheetId="10">{"Client Name or Project Name"}</definedName>
    <definedName name="ProjectName" localSheetId="11">{"Client Name or Project Name"}</definedName>
    <definedName name="ProjectName">{"Client Name or Project Name"}</definedName>
    <definedName name="sadfdsa">PE!$B$73:$J$84</definedName>
    <definedName name="saFDad">'P&amp;L'!$B$5:$X$107</definedName>
    <definedName name="sdfaadsf">#REF!</definedName>
    <definedName name="sdfadsafsa">'Balance Sheet'!$B$5:$X$61</definedName>
    <definedName name="sdfsd">#REF!</definedName>
    <definedName name="sds" hidden="1">{"'보고양식'!$A$58:$K$111"}</definedName>
    <definedName name="sens" localSheetId="5">'Cost + BS Assumptions'!sens</definedName>
    <definedName name="sens">'Cost + BS Assumptions'!sens</definedName>
    <definedName name="sfdfs">SoTP!$B$6:$BP$49</definedName>
    <definedName name="snes" localSheetId="5">'Cost + BS Assumptions'!snes</definedName>
    <definedName name="snes">'Cost + BS Assumptions'!snes</definedName>
    <definedName name="solver_cvg" localSheetId="8" hidden="1">0.001</definedName>
    <definedName name="solver_cvg" localSheetId="7" hidden="1">0.001</definedName>
    <definedName name="solver_cvg" localSheetId="5" hidden="1">0.001</definedName>
    <definedName name="solver_cvg" localSheetId="6" hidden="1">0.001</definedName>
    <definedName name="solver_cvg" localSheetId="4" hidden="1">0.001</definedName>
    <definedName name="solver_drv" localSheetId="8" hidden="1">1</definedName>
    <definedName name="solver_drv" localSheetId="7" hidden="1">1</definedName>
    <definedName name="solver_drv" localSheetId="5" hidden="1">1</definedName>
    <definedName name="solver_drv" localSheetId="6" hidden="1">1</definedName>
    <definedName name="solver_drv" localSheetId="4" hidden="1">1</definedName>
    <definedName name="solver_est" localSheetId="8" hidden="1">1</definedName>
    <definedName name="solver_est" localSheetId="7" hidden="1">1</definedName>
    <definedName name="solver_est" localSheetId="5" hidden="1">1</definedName>
    <definedName name="solver_est" localSheetId="6" hidden="1">1</definedName>
    <definedName name="solver_est" localSheetId="4" hidden="1">1</definedName>
    <definedName name="solver_itr" localSheetId="8" hidden="1">100</definedName>
    <definedName name="solver_itr" localSheetId="7" hidden="1">100</definedName>
    <definedName name="solver_itr" localSheetId="5" hidden="1">100</definedName>
    <definedName name="solver_itr" localSheetId="6" hidden="1">100</definedName>
    <definedName name="solver_itr" localSheetId="4" hidden="1">100</definedName>
    <definedName name="solver_lin" localSheetId="8" hidden="1">2</definedName>
    <definedName name="solver_lin" localSheetId="7" hidden="1">2</definedName>
    <definedName name="solver_lin" localSheetId="5" hidden="1">2</definedName>
    <definedName name="solver_lin" localSheetId="6" hidden="1">2</definedName>
    <definedName name="solver_lin" localSheetId="4" hidden="1">2</definedName>
    <definedName name="solver_neg" localSheetId="8" hidden="1">2</definedName>
    <definedName name="solver_neg" localSheetId="7" hidden="1">2</definedName>
    <definedName name="solver_neg" localSheetId="5" hidden="1">2</definedName>
    <definedName name="solver_neg" localSheetId="6" hidden="1">2</definedName>
    <definedName name="solver_neg" localSheetId="4" hidden="1">2</definedName>
    <definedName name="solver_num" localSheetId="8" hidden="1">0</definedName>
    <definedName name="solver_num" localSheetId="7" hidden="1">0</definedName>
    <definedName name="solver_num" localSheetId="5" hidden="1">0</definedName>
    <definedName name="solver_num" localSheetId="6" hidden="1">0</definedName>
    <definedName name="solver_num" localSheetId="4" hidden="1">0</definedName>
    <definedName name="solver_nwt" localSheetId="8" hidden="1">1</definedName>
    <definedName name="solver_nwt" localSheetId="7" hidden="1">1</definedName>
    <definedName name="solver_nwt" localSheetId="5" hidden="1">1</definedName>
    <definedName name="solver_nwt" localSheetId="6" hidden="1">1</definedName>
    <definedName name="solver_nwt" localSheetId="4" hidden="1">1</definedName>
    <definedName name="solver_pre" localSheetId="8" hidden="1">0.000001</definedName>
    <definedName name="solver_pre" localSheetId="7" hidden="1">0.000001</definedName>
    <definedName name="solver_pre" localSheetId="5" hidden="1">0.000001</definedName>
    <definedName name="solver_pre" localSheetId="6" hidden="1">0.000001</definedName>
    <definedName name="solver_pre" localSheetId="4" hidden="1">0.000001</definedName>
    <definedName name="solver_scl" localSheetId="8" hidden="1">2</definedName>
    <definedName name="solver_scl" localSheetId="7" hidden="1">2</definedName>
    <definedName name="solver_scl" localSheetId="5" hidden="1">2</definedName>
    <definedName name="solver_scl" localSheetId="6" hidden="1">2</definedName>
    <definedName name="solver_scl" localSheetId="4" hidden="1">2</definedName>
    <definedName name="solver_sho" localSheetId="8" hidden="1">2</definedName>
    <definedName name="solver_sho" localSheetId="7" hidden="1">2</definedName>
    <definedName name="solver_sho" localSheetId="5" hidden="1">2</definedName>
    <definedName name="solver_sho" localSheetId="6" hidden="1">2</definedName>
    <definedName name="solver_sho" localSheetId="4" hidden="1">2</definedName>
    <definedName name="solver_tim" localSheetId="8" hidden="1">100</definedName>
    <definedName name="solver_tim" localSheetId="7" hidden="1">100</definedName>
    <definedName name="solver_tim" localSheetId="5" hidden="1">100</definedName>
    <definedName name="solver_tim" localSheetId="6" hidden="1">100</definedName>
    <definedName name="solver_tim" localSheetId="4" hidden="1">100</definedName>
    <definedName name="solver_tol" localSheetId="8" hidden="1">0.05</definedName>
    <definedName name="solver_tol" localSheetId="7" hidden="1">0.05</definedName>
    <definedName name="solver_tol" localSheetId="5" hidden="1">0.05</definedName>
    <definedName name="solver_tol" localSheetId="6" hidden="1">0.05</definedName>
    <definedName name="solver_tol" localSheetId="4" hidden="1">0.05</definedName>
    <definedName name="solver_typ" localSheetId="8" hidden="1">3</definedName>
    <definedName name="solver_typ" localSheetId="7" hidden="1">3</definedName>
    <definedName name="solver_typ" localSheetId="5" hidden="1">3</definedName>
    <definedName name="solver_typ" localSheetId="6" hidden="1">3</definedName>
    <definedName name="solver_typ" localSheetId="4" hidden="1">3</definedName>
    <definedName name="solver_val" localSheetId="8" hidden="1">451.345</definedName>
    <definedName name="solver_val" localSheetId="7" hidden="1">451.345</definedName>
    <definedName name="solver_val" localSheetId="5" hidden="1">91.936</definedName>
    <definedName name="solver_val" localSheetId="6" hidden="1">451.345</definedName>
    <definedName name="solver_val" localSheetId="4" hidden="1">91.936</definedName>
    <definedName name="Template.WIRE">"DBACCESS"</definedName>
    <definedName name="TemplateVersion" localSheetId="5">2</definedName>
    <definedName name="TemplateVersion" localSheetId="2">2</definedName>
    <definedName name="TemplateVersion" localSheetId="4">2</definedName>
    <definedName name="TemplateVersion">2</definedName>
    <definedName name="tryerty" localSheetId="8">{"Client Name or Project Name"}</definedName>
    <definedName name="tryerty" localSheetId="7">{"Client Name or Project Name"}</definedName>
    <definedName name="tryerty" localSheetId="5">{"Client Name or Project Name"}</definedName>
    <definedName name="tryerty" localSheetId="3">{"Client Name or Project Name"}</definedName>
    <definedName name="tryerty" localSheetId="2">{"Client Name or Project Name"}</definedName>
    <definedName name="tryerty" localSheetId="6">{"Client Name or Project Name"}</definedName>
    <definedName name="tryerty" localSheetId="10">{"Client Name or Project Name"}</definedName>
    <definedName name="tryerty" localSheetId="11">{"Client Name or Project Name"}</definedName>
    <definedName name="tryerty">{"Client Name or Project Name"}</definedName>
    <definedName name="ValidDateTable">#REF!</definedName>
    <definedName name="Version.WIRE">1</definedName>
    <definedName name="ws" hidden="1">{"'보고양식'!$A$58:$K$111"}</definedName>
  </definedNames>
  <calcPr calcId="191029" calcMode="manual"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5" i="15" l="1"/>
  <c r="AD166" i="12"/>
  <c r="AE164" i="12"/>
  <c r="AC33" i="8" l="1"/>
  <c r="AC21" i="8"/>
  <c r="AC14" i="8"/>
  <c r="AC22" i="8"/>
  <c r="AC23" i="8"/>
  <c r="AC24" i="8"/>
  <c r="AC29" i="8"/>
  <c r="AC37" i="8"/>
  <c r="AC46" i="8"/>
  <c r="AC49" i="8"/>
  <c r="AC54" i="8"/>
  <c r="AC60" i="8" s="1"/>
  <c r="AC49" i="7"/>
  <c r="AD31" i="7"/>
  <c r="AE31" i="7"/>
  <c r="AF31" i="7"/>
  <c r="AG31" i="7"/>
  <c r="AH31" i="7"/>
  <c r="AI31" i="7"/>
  <c r="AJ31" i="7"/>
  <c r="AK31" i="7"/>
  <c r="AL31" i="7"/>
  <c r="AC29" i="7"/>
  <c r="AC30" i="7"/>
  <c r="AC11" i="7"/>
  <c r="AC20" i="7" s="1"/>
  <c r="AC24" i="7"/>
  <c r="AC28" i="7"/>
  <c r="AC34" i="7"/>
  <c r="AC45" i="7"/>
  <c r="AC53" i="7"/>
  <c r="AC93" i="6"/>
  <c r="AC85" i="6"/>
  <c r="AC100" i="6"/>
  <c r="AC101" i="6"/>
  <c r="AC107" i="6"/>
  <c r="AC165" i="12"/>
  <c r="AC167" i="12"/>
  <c r="AC104" i="12"/>
  <c r="AC105" i="12"/>
  <c r="AC111" i="12"/>
  <c r="AC116" i="12"/>
  <c r="AC25" i="7" s="1"/>
  <c r="AC27" i="7" s="1"/>
  <c r="AC120" i="12"/>
  <c r="AC106" i="12" s="1"/>
  <c r="AC107" i="12" s="1"/>
  <c r="AC88" i="12"/>
  <c r="AC97" i="12"/>
  <c r="AC94" i="12" s="1"/>
  <c r="AC89" i="12" s="1"/>
  <c r="AC83" i="12"/>
  <c r="AC72" i="12" s="1"/>
  <c r="AC76" i="12"/>
  <c r="AC70" i="12"/>
  <c r="AC71" i="12"/>
  <c r="AC40" i="12"/>
  <c r="AC44" i="12" s="1"/>
  <c r="AC24" i="12"/>
  <c r="AC76" i="4"/>
  <c r="AJ61" i="4"/>
  <c r="AJ462" i="4"/>
  <c r="AJ1980" i="4"/>
  <c r="AJ56" i="4" s="1"/>
  <c r="AJ474" i="4"/>
  <c r="AJ395" i="4"/>
  <c r="AJ396" i="4"/>
  <c r="AJ397" i="4" s="1"/>
  <c r="AJ390" i="4"/>
  <c r="AJ400" i="4"/>
  <c r="AJ385" i="4"/>
  <c r="AJ386" i="4"/>
  <c r="AJ387" i="4" s="1"/>
  <c r="AJ369" i="4"/>
  <c r="AJ370" i="4"/>
  <c r="AJ371" i="4"/>
  <c r="AJ372" i="4"/>
  <c r="AJ373" i="4"/>
  <c r="AJ374" i="4"/>
  <c r="AJ366" i="4"/>
  <c r="AI346" i="4"/>
  <c r="AI344" i="4"/>
  <c r="AJ344" i="4"/>
  <c r="AJ354" i="4"/>
  <c r="AJ330" i="4"/>
  <c r="AJ263" i="4"/>
  <c r="AJ265" i="4"/>
  <c r="AJ272" i="4"/>
  <c r="AJ257" i="4"/>
  <c r="AJ258" i="4"/>
  <c r="AJ254" i="4"/>
  <c r="AJ327" i="4" s="1"/>
  <c r="AJ331" i="4" s="1"/>
  <c r="AJ279" i="4"/>
  <c r="AJ280" i="4"/>
  <c r="AI345" i="4"/>
  <c r="AI354" i="4"/>
  <c r="AJ288" i="4"/>
  <c r="AJ289" i="4"/>
  <c r="AJ284" i="4"/>
  <c r="AJ321" i="4"/>
  <c r="AJ239" i="4"/>
  <c r="AJ244" i="4"/>
  <c r="AJ227" i="4"/>
  <c r="AJ234" i="4"/>
  <c r="AJ218" i="4"/>
  <c r="AJ206" i="4"/>
  <c r="AJ207" i="4"/>
  <c r="AJ209" i="4" s="1"/>
  <c r="AJ213" i="4"/>
  <c r="AJ185" i="4"/>
  <c r="AJ192" i="4" s="1"/>
  <c r="AJ191" i="4"/>
  <c r="AJ193" i="4"/>
  <c r="AJ174" i="4"/>
  <c r="AJ175" i="4"/>
  <c r="AJ177" i="4" s="1"/>
  <c r="AJ181" i="4"/>
  <c r="AJ160" i="4"/>
  <c r="AJ161" i="4"/>
  <c r="AJ169" i="4"/>
  <c r="AJ146" i="4"/>
  <c r="AJ147" i="4"/>
  <c r="AJ149" i="4"/>
  <c r="AJ152" i="4" s="1"/>
  <c r="AJ155" i="4"/>
  <c r="AJ132" i="4"/>
  <c r="AJ133" i="4"/>
  <c r="AJ141" i="4"/>
  <c r="AJ135" i="4"/>
  <c r="BA8" i="15"/>
  <c r="BZ8" i="15" s="1"/>
  <c r="BZ38" i="15" s="1"/>
  <c r="AW49" i="5"/>
  <c r="Y45" i="5"/>
  <c r="Y46" i="5"/>
  <c r="AL15" i="7"/>
  <c r="AL28" i="7"/>
  <c r="AL57" i="7"/>
  <c r="AL49" i="6"/>
  <c r="AL50" i="6"/>
  <c r="AL83" i="6"/>
  <c r="AL51" i="7" s="1"/>
  <c r="AL123" i="6"/>
  <c r="AL159" i="6"/>
  <c r="AL161" i="6"/>
  <c r="AL162" i="6"/>
  <c r="AL163" i="6"/>
  <c r="AL164" i="6"/>
  <c r="AL165" i="6"/>
  <c r="AL170" i="6"/>
  <c r="AL187" i="6"/>
  <c r="AL238" i="12"/>
  <c r="AL239" i="12"/>
  <c r="AL289" i="12"/>
  <c r="AL39" i="12" s="1"/>
  <c r="AL294" i="12"/>
  <c r="AL311" i="12"/>
  <c r="AL312" i="12"/>
  <c r="AL318" i="12"/>
  <c r="AL320" i="12"/>
  <c r="AL321" i="12"/>
  <c r="AL322" i="12"/>
  <c r="AL326" i="12"/>
  <c r="AL410" i="12" s="1"/>
  <c r="AL327" i="12"/>
  <c r="AL411" i="12" s="1"/>
  <c r="AL328" i="12"/>
  <c r="AL330" i="12"/>
  <c r="AL331" i="12"/>
  <c r="AL333" i="12" s="1"/>
  <c r="AL334" i="12"/>
  <c r="AL336" i="12"/>
  <c r="AL395" i="12" s="1"/>
  <c r="AL337" i="12"/>
  <c r="AL396" i="12" s="1"/>
  <c r="AL340" i="12"/>
  <c r="AL398" i="12" s="1"/>
  <c r="AL341" i="12"/>
  <c r="AL390" i="12"/>
  <c r="AL419" i="12"/>
  <c r="AL455" i="12"/>
  <c r="AL457" i="12"/>
  <c r="AS2008" i="4"/>
  <c r="AS2009" i="4"/>
  <c r="AD162" i="12"/>
  <c r="Y79" i="5"/>
  <c r="Y95" i="5"/>
  <c r="Y71" i="5"/>
  <c r="Y87" i="5"/>
  <c r="AL358" i="12" l="1"/>
  <c r="AC126" i="12"/>
  <c r="AC84" i="12"/>
  <c r="AC127" i="12"/>
  <c r="AC128" i="12" s="1"/>
  <c r="AC90" i="12"/>
  <c r="AC76" i="6"/>
  <c r="AC91" i="12"/>
  <c r="AC32" i="7"/>
  <c r="AC36" i="7" s="1"/>
  <c r="AC37" i="7" s="1"/>
  <c r="AC129" i="12"/>
  <c r="AC130" i="12" s="1"/>
  <c r="AC73" i="12"/>
  <c r="AC23" i="7" s="1"/>
  <c r="AC77" i="6"/>
  <c r="AC51" i="8"/>
  <c r="AC62" i="8" s="1"/>
  <c r="AC26" i="8"/>
  <c r="AC55" i="7"/>
  <c r="AC62" i="7"/>
  <c r="AC63" i="7" s="1"/>
  <c r="AC121" i="12"/>
  <c r="AI348" i="4"/>
  <c r="AJ377" i="4"/>
  <c r="AJ355" i="4"/>
  <c r="AJ274" i="4"/>
  <c r="AL240" i="12"/>
  <c r="AL218" i="12" s="1"/>
  <c r="AL421" i="12"/>
  <c r="AL185" i="6"/>
  <c r="AL215" i="6"/>
  <c r="AL424" i="12"/>
  <c r="AL422" i="12"/>
  <c r="AL420" i="12"/>
  <c r="AL415" i="12"/>
  <c r="AL423" i="12"/>
  <c r="T167" i="12"/>
  <c r="AB167" i="12"/>
  <c r="AA167" i="12"/>
  <c r="Z167" i="12"/>
  <c r="Y167" i="12"/>
  <c r="X167" i="12"/>
  <c r="W167" i="12"/>
  <c r="V167" i="12"/>
  <c r="U167" i="12"/>
  <c r="R167" i="12"/>
  <c r="P167" i="12"/>
  <c r="K167" i="12"/>
  <c r="E176" i="12"/>
  <c r="F176" i="12"/>
  <c r="G176" i="12"/>
  <c r="H176" i="12"/>
  <c r="I176" i="12"/>
  <c r="J176" i="12"/>
  <c r="K176" i="12"/>
  <c r="L176" i="12"/>
  <c r="M176" i="12"/>
  <c r="N176" i="12"/>
  <c r="O176" i="12"/>
  <c r="P176" i="12"/>
  <c r="Q176" i="12"/>
  <c r="R176" i="12"/>
  <c r="S176" i="12"/>
  <c r="T176" i="12"/>
  <c r="U176" i="12"/>
  <c r="V176" i="12"/>
  <c r="W176" i="12"/>
  <c r="X176" i="12"/>
  <c r="Y176" i="12"/>
  <c r="Z176" i="12"/>
  <c r="AA176" i="12"/>
  <c r="AB176" i="12"/>
  <c r="E177" i="12"/>
  <c r="F177" i="12"/>
  <c r="G177" i="12"/>
  <c r="H177" i="12"/>
  <c r="I177" i="12"/>
  <c r="J177" i="12"/>
  <c r="K177" i="12"/>
  <c r="L177" i="12"/>
  <c r="M177" i="12"/>
  <c r="N177" i="12"/>
  <c r="O177" i="12"/>
  <c r="P177" i="12"/>
  <c r="Q177" i="12"/>
  <c r="R177" i="12"/>
  <c r="S177" i="12"/>
  <c r="T177" i="12"/>
  <c r="U177" i="12"/>
  <c r="V177" i="12"/>
  <c r="W177" i="12"/>
  <c r="X177" i="12"/>
  <c r="Y177" i="12"/>
  <c r="Z177" i="12"/>
  <c r="AA177" i="12"/>
  <c r="AB177" i="12"/>
  <c r="E178" i="12"/>
  <c r="F178" i="12"/>
  <c r="G178" i="12"/>
  <c r="H178" i="12"/>
  <c r="I178" i="12"/>
  <c r="J178" i="12"/>
  <c r="K178" i="12"/>
  <c r="L178" i="12"/>
  <c r="M178" i="12"/>
  <c r="N178" i="12"/>
  <c r="O178" i="12"/>
  <c r="P178" i="12"/>
  <c r="Q178" i="12"/>
  <c r="R178" i="12"/>
  <c r="S178" i="12"/>
  <c r="T178" i="12"/>
  <c r="U178" i="12"/>
  <c r="V178" i="12"/>
  <c r="W178" i="12"/>
  <c r="X178" i="12"/>
  <c r="Y178" i="12"/>
  <c r="Z178" i="12"/>
  <c r="AA178" i="12"/>
  <c r="AB178" i="12"/>
  <c r="D180" i="12"/>
  <c r="E180" i="12"/>
  <c r="F180" i="12"/>
  <c r="G180" i="12"/>
  <c r="H180" i="12"/>
  <c r="I180" i="12"/>
  <c r="J180" i="12"/>
  <c r="K180" i="12"/>
  <c r="L180" i="12"/>
  <c r="M180" i="12"/>
  <c r="N180" i="12"/>
  <c r="O180" i="12"/>
  <c r="P180" i="12"/>
  <c r="Q180" i="12"/>
  <c r="R180" i="12"/>
  <c r="S180" i="12"/>
  <c r="T180" i="12"/>
  <c r="U180" i="12"/>
  <c r="V180" i="12"/>
  <c r="W180" i="12"/>
  <c r="X180" i="12"/>
  <c r="Y180" i="12"/>
  <c r="Z180" i="12"/>
  <c r="AA180" i="12"/>
  <c r="AB180" i="12"/>
  <c r="AC78" i="6" l="1"/>
  <c r="AC102" i="6"/>
  <c r="AC97" i="6"/>
  <c r="AC103" i="6"/>
  <c r="Z179" i="12"/>
  <c r="I179" i="12"/>
  <c r="R181" i="12"/>
  <c r="J181" i="12"/>
  <c r="W181" i="12"/>
  <c r="Y179" i="12"/>
  <c r="H179" i="12"/>
  <c r="P179" i="12"/>
  <c r="Z181" i="12"/>
  <c r="N181" i="12"/>
  <c r="F182" i="12"/>
  <c r="AA181" i="12"/>
  <c r="S181" i="12"/>
  <c r="K181" i="12"/>
  <c r="Q179" i="12"/>
  <c r="O181" i="12"/>
  <c r="R179" i="12"/>
  <c r="X179" i="12"/>
  <c r="G181" i="12"/>
  <c r="F181" i="12"/>
  <c r="U181" i="12"/>
  <c r="N182" i="12"/>
  <c r="J179" i="12"/>
  <c r="M182" i="12"/>
  <c r="X181" i="12"/>
  <c r="P181" i="12"/>
  <c r="H181" i="12"/>
  <c r="V181" i="12"/>
  <c r="E181" i="12"/>
  <c r="W182" i="12"/>
  <c r="O182" i="12"/>
  <c r="G182" i="12"/>
  <c r="F179" i="12"/>
  <c r="U179" i="12"/>
  <c r="M179" i="12"/>
  <c r="E179" i="12"/>
  <c r="N179" i="12"/>
  <c r="AB179" i="12"/>
  <c r="L179" i="12"/>
  <c r="T179" i="12"/>
  <c r="E182" i="12"/>
  <c r="M181" i="12"/>
  <c r="Y181" i="12"/>
  <c r="Q181" i="12"/>
  <c r="I181" i="12"/>
  <c r="AA179" i="12"/>
  <c r="S179" i="12"/>
  <c r="K179" i="12"/>
  <c r="V182" i="12"/>
  <c r="V179" i="12"/>
  <c r="U182" i="12"/>
  <c r="W179" i="12"/>
  <c r="O179" i="12"/>
  <c r="G179" i="12"/>
  <c r="AB182" i="12"/>
  <c r="L182" i="12"/>
  <c r="S182" i="12"/>
  <c r="AB181" i="12"/>
  <c r="T182" i="12"/>
  <c r="AA182" i="12"/>
  <c r="K182" i="12"/>
  <c r="T181" i="12"/>
  <c r="L181" i="12"/>
  <c r="Z182" i="12"/>
  <c r="R182" i="12"/>
  <c r="J182" i="12"/>
  <c r="Y182" i="12"/>
  <c r="Q182" i="12"/>
  <c r="I182" i="12"/>
  <c r="X182" i="12"/>
  <c r="P182" i="12"/>
  <c r="H182" i="12"/>
  <c r="S70" i="12"/>
  <c r="T70" i="12"/>
  <c r="U70" i="12"/>
  <c r="V70" i="12"/>
  <c r="W70" i="12"/>
  <c r="X70" i="12"/>
  <c r="Y70" i="12"/>
  <c r="Z70" i="12"/>
  <c r="AA70" i="12"/>
  <c r="AB70" i="12"/>
  <c r="S71" i="12"/>
  <c r="T71" i="12"/>
  <c r="U71" i="12"/>
  <c r="V71" i="12"/>
  <c r="W71" i="12"/>
  <c r="X71" i="12"/>
  <c r="Y71" i="12"/>
  <c r="Z71" i="12"/>
  <c r="AA71" i="12"/>
  <c r="AB71" i="12"/>
  <c r="AD73" i="12"/>
  <c r="AE73" i="12" s="1"/>
  <c r="AF73" i="12" s="1"/>
  <c r="AG73" i="12" s="1"/>
  <c r="AH73" i="12" s="1"/>
  <c r="AI73" i="12" s="1"/>
  <c r="AJ73" i="12" s="1"/>
  <c r="AK73" i="12" s="1"/>
  <c r="AL73" i="12" s="1"/>
  <c r="AL30" i="7" s="1"/>
  <c r="R70" i="12"/>
  <c r="E76" i="12"/>
  <c r="E77" i="12" s="1"/>
  <c r="F76" i="12"/>
  <c r="F77" i="12" s="1"/>
  <c r="G76" i="12"/>
  <c r="G77" i="12" s="1"/>
  <c r="H76" i="12"/>
  <c r="H77" i="12" s="1"/>
  <c r="I76" i="12"/>
  <c r="I77" i="12" s="1"/>
  <c r="J76" i="12"/>
  <c r="J77" i="12" s="1"/>
  <c r="K76" i="12"/>
  <c r="K77" i="12" s="1"/>
  <c r="L76" i="12"/>
  <c r="L77" i="12" s="1"/>
  <c r="M76" i="12"/>
  <c r="M77" i="12" s="1"/>
  <c r="N76" i="12"/>
  <c r="N77" i="12" s="1"/>
  <c r="O76" i="12"/>
  <c r="O77" i="12" s="1"/>
  <c r="P76" i="12"/>
  <c r="P77" i="12" s="1"/>
  <c r="Q76" i="12"/>
  <c r="Q77" i="12" s="1"/>
  <c r="R76" i="12"/>
  <c r="R77" i="12" s="1"/>
  <c r="S76" i="12"/>
  <c r="T76" i="12"/>
  <c r="U76" i="12"/>
  <c r="V76" i="12"/>
  <c r="W76" i="12"/>
  <c r="X76" i="12"/>
  <c r="Y76" i="12"/>
  <c r="Z76" i="12"/>
  <c r="AA76" i="12"/>
  <c r="AB76" i="12"/>
  <c r="R83" i="12"/>
  <c r="S83" i="12"/>
  <c r="S126" i="12" s="1"/>
  <c r="T83" i="12"/>
  <c r="T72" i="12" s="1"/>
  <c r="U83" i="12"/>
  <c r="U72" i="12" s="1"/>
  <c r="V83" i="12"/>
  <c r="V126" i="12" s="1"/>
  <c r="W83" i="12"/>
  <c r="W84" i="12" s="1"/>
  <c r="X83" i="12"/>
  <c r="X126" i="12" s="1"/>
  <c r="Y83" i="12"/>
  <c r="Y84" i="12" s="1"/>
  <c r="Z83" i="12"/>
  <c r="Z72" i="12" s="1"/>
  <c r="AA83" i="12"/>
  <c r="AA126" i="12" s="1"/>
  <c r="AB83" i="12"/>
  <c r="AB72" i="12" s="1"/>
  <c r="Y88" i="12"/>
  <c r="Z88" i="12"/>
  <c r="AA88" i="12"/>
  <c r="AB88" i="12"/>
  <c r="X97" i="12"/>
  <c r="X127" i="12" s="1"/>
  <c r="Y97" i="12"/>
  <c r="Y98" i="12" s="1"/>
  <c r="Z97" i="12"/>
  <c r="Z127" i="12" s="1"/>
  <c r="AA97" i="12"/>
  <c r="AA127" i="12" s="1"/>
  <c r="AB97" i="12"/>
  <c r="AB90" i="12" s="1"/>
  <c r="Z104" i="12"/>
  <c r="AA104" i="12"/>
  <c r="S105" i="12"/>
  <c r="T105" i="12"/>
  <c r="U105" i="12"/>
  <c r="V105" i="12"/>
  <c r="W105" i="12"/>
  <c r="X105" i="12"/>
  <c r="Y105" i="12"/>
  <c r="Z105" i="12"/>
  <c r="AA105" i="12"/>
  <c r="AB105" i="12"/>
  <c r="R108" i="12"/>
  <c r="S104" i="12" s="1"/>
  <c r="S108" i="12"/>
  <c r="T104" i="12" s="1"/>
  <c r="T108" i="12"/>
  <c r="U108" i="12"/>
  <c r="V108" i="12"/>
  <c r="W104" i="12" s="1"/>
  <c r="W108" i="12"/>
  <c r="X104" i="12" s="1"/>
  <c r="X108" i="12"/>
  <c r="AA108" i="12"/>
  <c r="AB104" i="12" s="1"/>
  <c r="S109" i="12"/>
  <c r="T109" i="12"/>
  <c r="U109" i="12"/>
  <c r="V109" i="12"/>
  <c r="W109" i="12"/>
  <c r="X109" i="12"/>
  <c r="Y109" i="12"/>
  <c r="Z109" i="12"/>
  <c r="AA109" i="12"/>
  <c r="AB109" i="12"/>
  <c r="K111" i="12"/>
  <c r="K112" i="12" s="1"/>
  <c r="L111" i="12"/>
  <c r="L112" i="12" s="1"/>
  <c r="M111" i="12"/>
  <c r="M112" i="12" s="1"/>
  <c r="N111" i="12"/>
  <c r="N112" i="12" s="1"/>
  <c r="O111" i="12"/>
  <c r="O112" i="12" s="1"/>
  <c r="P111" i="12"/>
  <c r="P112" i="12" s="1"/>
  <c r="R111" i="12"/>
  <c r="R112" i="12" s="1"/>
  <c r="S111" i="12"/>
  <c r="T111" i="12"/>
  <c r="U111" i="12"/>
  <c r="V111" i="12"/>
  <c r="W111" i="12"/>
  <c r="X111" i="12"/>
  <c r="Y111" i="12"/>
  <c r="Z111" i="12"/>
  <c r="AA111" i="12"/>
  <c r="AB111" i="12"/>
  <c r="Q114" i="12"/>
  <c r="Q115" i="12"/>
  <c r="S116" i="12"/>
  <c r="T116" i="12"/>
  <c r="U116" i="12"/>
  <c r="V116" i="12"/>
  <c r="W116" i="12"/>
  <c r="X116" i="12"/>
  <c r="Y116" i="12"/>
  <c r="Z116" i="12"/>
  <c r="AA116" i="12"/>
  <c r="AB116" i="12"/>
  <c r="AB119" i="12"/>
  <c r="AB120" i="12" s="1"/>
  <c r="S120" i="12"/>
  <c r="S106" i="12" s="1"/>
  <c r="T120" i="12"/>
  <c r="T106" i="12" s="1"/>
  <c r="U120" i="12"/>
  <c r="U106" i="12" s="1"/>
  <c r="V120" i="12"/>
  <c r="V106" i="12" s="1"/>
  <c r="W120" i="12"/>
  <c r="W106" i="12" s="1"/>
  <c r="X120" i="12"/>
  <c r="Y120" i="12"/>
  <c r="Y106" i="12" s="1"/>
  <c r="Z120" i="12"/>
  <c r="AA120" i="12"/>
  <c r="AA106" i="12" s="1"/>
  <c r="S127" i="12"/>
  <c r="T127" i="12"/>
  <c r="U127" i="12"/>
  <c r="V127" i="12"/>
  <c r="W127" i="12"/>
  <c r="D134" i="12"/>
  <c r="E134" i="12"/>
  <c r="F134" i="12"/>
  <c r="G134" i="12"/>
  <c r="H134" i="12"/>
  <c r="I134" i="12"/>
  <c r="J134" i="12"/>
  <c r="K134" i="12"/>
  <c r="L134" i="12"/>
  <c r="M134" i="12"/>
  <c r="N134" i="12"/>
  <c r="O134" i="12"/>
  <c r="P134" i="12"/>
  <c r="Q134" i="12"/>
  <c r="R134" i="12"/>
  <c r="S134" i="12"/>
  <c r="T134" i="12"/>
  <c r="U134" i="12"/>
  <c r="V134" i="12"/>
  <c r="W134" i="12"/>
  <c r="X134" i="12"/>
  <c r="Y134" i="12"/>
  <c r="Z134" i="12"/>
  <c r="D136" i="12"/>
  <c r="E136" i="12"/>
  <c r="F136" i="12"/>
  <c r="G136" i="12"/>
  <c r="H136" i="12"/>
  <c r="I136" i="12"/>
  <c r="J136" i="12"/>
  <c r="K136" i="12"/>
  <c r="L136" i="12"/>
  <c r="M136" i="12"/>
  <c r="N136" i="12"/>
  <c r="O136" i="12"/>
  <c r="U136" i="12"/>
  <c r="V136" i="12"/>
  <c r="W136" i="12"/>
  <c r="X136" i="12"/>
  <c r="Y136" i="12"/>
  <c r="Z136" i="12"/>
  <c r="AA136" i="12"/>
  <c r="AB136" i="12"/>
  <c r="S142" i="12"/>
  <c r="T142" i="12"/>
  <c r="U142" i="12"/>
  <c r="V142" i="12"/>
  <c r="W142" i="12"/>
  <c r="X142" i="12"/>
  <c r="Y142" i="12"/>
  <c r="Z142" i="12"/>
  <c r="AA142" i="12"/>
  <c r="AB142" i="12"/>
  <c r="S143" i="12"/>
  <c r="T143" i="12"/>
  <c r="V143" i="12"/>
  <c r="W143" i="12"/>
  <c r="X143" i="12"/>
  <c r="Y143" i="12"/>
  <c r="Z143" i="12"/>
  <c r="AA143" i="12"/>
  <c r="AB143" i="12"/>
  <c r="N152" i="12"/>
  <c r="O152" i="12" s="1"/>
  <c r="P152" i="12" s="1"/>
  <c r="Q152" i="12" s="1"/>
  <c r="R152" i="12" s="1"/>
  <c r="I157" i="12"/>
  <c r="J157" i="12"/>
  <c r="K157" i="12"/>
  <c r="L157" i="12"/>
  <c r="M157" i="12"/>
  <c r="N157" i="12"/>
  <c r="O157" i="12"/>
  <c r="S157" i="12"/>
  <c r="S167" i="12" s="1"/>
  <c r="AE157" i="12"/>
  <c r="P158" i="12"/>
  <c r="P159" i="12" s="1"/>
  <c r="Q158" i="12"/>
  <c r="Q159" i="12" s="1"/>
  <c r="T158" i="12"/>
  <c r="T159" i="12" s="1"/>
  <c r="U158" i="12"/>
  <c r="U159" i="12" s="1"/>
  <c r="V158" i="12"/>
  <c r="V159" i="12" s="1"/>
  <c r="AD158" i="12"/>
  <c r="AD159" i="12" s="1"/>
  <c r="W159" i="12"/>
  <c r="X159" i="12"/>
  <c r="Y159" i="12"/>
  <c r="Z159" i="12"/>
  <c r="AA159" i="12"/>
  <c r="W161" i="12"/>
  <c r="X161" i="12" s="1"/>
  <c r="Y161" i="12" s="1"/>
  <c r="Z161" i="12" s="1"/>
  <c r="AA161" i="12" s="1"/>
  <c r="AB161" i="12" s="1"/>
  <c r="T162" i="12"/>
  <c r="V162" i="12"/>
  <c r="W162" i="12" s="1"/>
  <c r="X162" i="12" s="1"/>
  <c r="Y162" i="12" s="1"/>
  <c r="AE162" i="12"/>
  <c r="AF162" i="12" s="1"/>
  <c r="AG162" i="12" s="1"/>
  <c r="AH162" i="12" s="1"/>
  <c r="AI162" i="12" s="1"/>
  <c r="AJ162" i="12" s="1"/>
  <c r="AK162" i="12" s="1"/>
  <c r="AL162" i="12" s="1"/>
  <c r="D163" i="12"/>
  <c r="E163" i="12"/>
  <c r="F163" i="12"/>
  <c r="G163" i="12"/>
  <c r="H163" i="12"/>
  <c r="I163" i="12"/>
  <c r="J163" i="12"/>
  <c r="K163" i="12"/>
  <c r="L163" i="12"/>
  <c r="M163" i="12"/>
  <c r="N163" i="12"/>
  <c r="O163" i="12"/>
  <c r="Q164" i="12"/>
  <c r="D165" i="12"/>
  <c r="E165" i="12"/>
  <c r="F165" i="12"/>
  <c r="G165" i="12"/>
  <c r="H165" i="12"/>
  <c r="I165" i="12"/>
  <c r="J165" i="12"/>
  <c r="K165" i="12"/>
  <c r="L165" i="12"/>
  <c r="M165" i="12"/>
  <c r="N165" i="12"/>
  <c r="O165" i="12"/>
  <c r="R165" i="12"/>
  <c r="V165" i="12"/>
  <c r="W165" i="12"/>
  <c r="X165" i="12"/>
  <c r="Y165" i="12"/>
  <c r="Z165" i="12"/>
  <c r="AA165" i="12"/>
  <c r="AB165" i="12"/>
  <c r="AD21" i="12"/>
  <c r="AE21" i="12" s="1"/>
  <c r="AF21" i="12" s="1"/>
  <c r="AG21" i="12" s="1"/>
  <c r="AH21" i="12" s="1"/>
  <c r="AI21" i="12" s="1"/>
  <c r="AJ21" i="12" s="1"/>
  <c r="AK21" i="12" s="1"/>
  <c r="AL21" i="12" s="1"/>
  <c r="AD14" i="12"/>
  <c r="AE14" i="12" s="1"/>
  <c r="AF14" i="12" s="1"/>
  <c r="AG14" i="12" s="1"/>
  <c r="AH14" i="12" s="1"/>
  <c r="AI14" i="12" s="1"/>
  <c r="AJ14" i="12" s="1"/>
  <c r="AK14" i="12" s="1"/>
  <c r="AL14" i="12" s="1"/>
  <c r="BW47" i="6"/>
  <c r="BW45" i="6"/>
  <c r="BW44" i="6"/>
  <c r="BW43" i="6"/>
  <c r="BW42" i="6"/>
  <c r="BW41" i="6"/>
  <c r="BW40" i="6"/>
  <c r="AC161" i="12" l="1"/>
  <c r="AD161" i="12" s="1"/>
  <c r="AE161" i="12" s="1"/>
  <c r="AF161" i="12" s="1"/>
  <c r="AG161" i="12" s="1"/>
  <c r="AH161" i="12" s="1"/>
  <c r="AI161" i="12" s="1"/>
  <c r="AC104" i="6"/>
  <c r="AL193" i="12"/>
  <c r="AL28" i="6"/>
  <c r="AL25" i="6"/>
  <c r="AL191" i="12"/>
  <c r="M84" i="12"/>
  <c r="E84" i="12"/>
  <c r="X72" i="12"/>
  <c r="X73" i="12" s="1"/>
  <c r="W126" i="12"/>
  <c r="W128" i="12" s="1"/>
  <c r="U129" i="12"/>
  <c r="Y137" i="12"/>
  <c r="Y147" i="12" s="1"/>
  <c r="AB98" i="12"/>
  <c r="AF157" i="12"/>
  <c r="AF158" i="12" s="1"/>
  <c r="AF159" i="12" s="1"/>
  <c r="L135" i="12"/>
  <c r="W129" i="12"/>
  <c r="Z126" i="12"/>
  <c r="Z128" i="12" s="1"/>
  <c r="Q166" i="12"/>
  <c r="Q167" i="12"/>
  <c r="AB137" i="12"/>
  <c r="AB147" i="12" s="1"/>
  <c r="H137" i="12"/>
  <c r="Z135" i="12"/>
  <c r="Z148" i="12" s="1"/>
  <c r="J84" i="12"/>
  <c r="O135" i="12"/>
  <c r="X84" i="12"/>
  <c r="T126" i="12"/>
  <c r="T128" i="12" s="1"/>
  <c r="T129" i="12"/>
  <c r="Y138" i="12"/>
  <c r="S129" i="12"/>
  <c r="AB126" i="12"/>
  <c r="O138" i="12"/>
  <c r="G135" i="12"/>
  <c r="AB127" i="12"/>
  <c r="T84" i="12"/>
  <c r="V128" i="12"/>
  <c r="W138" i="12"/>
  <c r="AA121" i="12"/>
  <c r="W137" i="12"/>
  <c r="W147" i="12" s="1"/>
  <c r="J137" i="12"/>
  <c r="R135" i="12"/>
  <c r="J135" i="12"/>
  <c r="S121" i="12"/>
  <c r="L84" i="12"/>
  <c r="O137" i="12"/>
  <c r="G137" i="12"/>
  <c r="U138" i="12"/>
  <c r="N135" i="12"/>
  <c r="F135" i="12"/>
  <c r="Y90" i="12"/>
  <c r="H84" i="12"/>
  <c r="S128" i="12"/>
  <c r="X128" i="12"/>
  <c r="Y94" i="12"/>
  <c r="Y89" i="12" s="1"/>
  <c r="AA129" i="12"/>
  <c r="Y127" i="12"/>
  <c r="Y126" i="12"/>
  <c r="X121" i="12"/>
  <c r="W135" i="12"/>
  <c r="Z138" i="12"/>
  <c r="X137" i="12"/>
  <c r="X147" i="12" s="1"/>
  <c r="L138" i="12"/>
  <c r="D138" i="12"/>
  <c r="Y129" i="12"/>
  <c r="AB84" i="12"/>
  <c r="AB106" i="12"/>
  <c r="AB107" i="12" s="1"/>
  <c r="AD107" i="12" s="1"/>
  <c r="AE107" i="12" s="1"/>
  <c r="AF107" i="12" s="1"/>
  <c r="AG107" i="12" s="1"/>
  <c r="AH107" i="12" s="1"/>
  <c r="AI107" i="12" s="1"/>
  <c r="AJ107" i="12" s="1"/>
  <c r="AK107" i="12" s="1"/>
  <c r="AL107" i="12" s="1"/>
  <c r="AB129" i="12"/>
  <c r="Z137" i="12"/>
  <c r="N137" i="12"/>
  <c r="F137" i="12"/>
  <c r="V129" i="12"/>
  <c r="U126" i="12"/>
  <c r="U128" i="12" s="1"/>
  <c r="AB94" i="12"/>
  <c r="AB89" i="12" s="1"/>
  <c r="AB91" i="12" s="1"/>
  <c r="AD91" i="12" s="1"/>
  <c r="AE91" i="12" s="1"/>
  <c r="AF91" i="12" s="1"/>
  <c r="AG91" i="12" s="1"/>
  <c r="AH91" i="12" s="1"/>
  <c r="AI91" i="12" s="1"/>
  <c r="AJ91" i="12" s="1"/>
  <c r="AK91" i="12" s="1"/>
  <c r="AL91" i="12" s="1"/>
  <c r="Z84" i="12"/>
  <c r="K84" i="12"/>
  <c r="S72" i="12"/>
  <c r="S73" i="12" s="1"/>
  <c r="U73" i="12"/>
  <c r="N138" i="12"/>
  <c r="L137" i="12"/>
  <c r="V121" i="12"/>
  <c r="U84" i="12"/>
  <c r="I84" i="12"/>
  <c r="I138" i="12"/>
  <c r="D137" i="12"/>
  <c r="Y135" i="12"/>
  <c r="Q135" i="12"/>
  <c r="I135" i="12"/>
  <c r="AA128" i="12"/>
  <c r="Q84" i="12"/>
  <c r="Q83" i="12" s="1"/>
  <c r="F138" i="12"/>
  <c r="I137" i="12"/>
  <c r="H135" i="12"/>
  <c r="AA72" i="12"/>
  <c r="AA73" i="12" s="1"/>
  <c r="AE158" i="12"/>
  <c r="AE159" i="12" s="1"/>
  <c r="AA137" i="12"/>
  <c r="AA147" i="12" s="1"/>
  <c r="E135" i="12"/>
  <c r="X129" i="12"/>
  <c r="P84" i="12"/>
  <c r="P83" i="12" s="1"/>
  <c r="R84" i="12"/>
  <c r="AE166" i="12"/>
  <c r="Z106" i="12"/>
  <c r="Z107" i="12" s="1"/>
  <c r="M137" i="12"/>
  <c r="E137" i="12"/>
  <c r="P135" i="12"/>
  <c r="AA107" i="12"/>
  <c r="Z94" i="12"/>
  <c r="Z89" i="12" s="1"/>
  <c r="Z98" i="12"/>
  <c r="Z90" i="12"/>
  <c r="V84" i="12"/>
  <c r="V72" i="12"/>
  <c r="V73" i="12" s="1"/>
  <c r="AB73" i="12"/>
  <c r="T73" i="12"/>
  <c r="X138" i="12"/>
  <c r="W107" i="12"/>
  <c r="Y104" i="12"/>
  <c r="Y107" i="12" s="1"/>
  <c r="X135" i="12"/>
  <c r="M138" i="12"/>
  <c r="E138" i="12"/>
  <c r="X106" i="12"/>
  <c r="X107" i="12" s="1"/>
  <c r="Z73" i="12"/>
  <c r="AA94" i="12"/>
  <c r="AA89" i="12" s="1"/>
  <c r="AA98" i="12"/>
  <c r="V138" i="12"/>
  <c r="J138" i="12"/>
  <c r="M135" i="12"/>
  <c r="U104" i="12"/>
  <c r="U107" i="12" s="1"/>
  <c r="T107" i="12"/>
  <c r="V104" i="12"/>
  <c r="V107" i="12" s="1"/>
  <c r="K137" i="12"/>
  <c r="V135" i="12"/>
  <c r="S135" i="12"/>
  <c r="K138" i="12"/>
  <c r="K135" i="12"/>
  <c r="Z121" i="12"/>
  <c r="U121" i="12"/>
  <c r="AA90" i="12"/>
  <c r="H138" i="12"/>
  <c r="U135" i="12"/>
  <c r="Z129" i="12"/>
  <c r="Y121" i="12"/>
  <c r="AB121" i="12"/>
  <c r="T121" i="12"/>
  <c r="V137" i="12"/>
  <c r="V147" i="12" s="1"/>
  <c r="G138" i="12"/>
  <c r="T135" i="12"/>
  <c r="Q111" i="12"/>
  <c r="Q112" i="12" s="1"/>
  <c r="N84" i="12"/>
  <c r="O84" i="12"/>
  <c r="F84" i="12"/>
  <c r="G84" i="12"/>
  <c r="AA84" i="12"/>
  <c r="S84" i="12"/>
  <c r="Y72" i="12"/>
  <c r="Y73" i="12" s="1"/>
  <c r="W121" i="12"/>
  <c r="W72" i="12"/>
  <c r="W73" i="12" s="1"/>
  <c r="S107" i="12"/>
  <c r="AK233" i="4"/>
  <c r="AL233" i="4" s="1"/>
  <c r="AM233" i="4" s="1"/>
  <c r="AN233" i="4" s="1"/>
  <c r="AO233" i="4" s="1"/>
  <c r="AP233" i="4" s="1"/>
  <c r="AQ233" i="4" s="1"/>
  <c r="AR233" i="4" s="1"/>
  <c r="AS233" i="4" s="1"/>
  <c r="AS20" i="4" s="1"/>
  <c r="AK66" i="4"/>
  <c r="AL66" i="4" s="1"/>
  <c r="AM66" i="4" s="1"/>
  <c r="AN66" i="4" s="1"/>
  <c r="AO66" i="4" s="1"/>
  <c r="AP66" i="4" s="1"/>
  <c r="AQ66" i="4" s="1"/>
  <c r="AR66" i="4" s="1"/>
  <c r="AS66" i="4" s="1"/>
  <c r="AI1980" i="4"/>
  <c r="AJ1986" i="4" s="1"/>
  <c r="AI1955" i="4"/>
  <c r="AI1957" i="4" s="1"/>
  <c r="AI1958" i="4"/>
  <c r="AI43" i="4"/>
  <c r="AI61" i="4"/>
  <c r="AI395" i="4"/>
  <c r="AI396" i="4"/>
  <c r="AI397" i="4" s="1"/>
  <c r="AJ398" i="4" s="1"/>
  <c r="AI400" i="4"/>
  <c r="AI385" i="4"/>
  <c r="AI386" i="4"/>
  <c r="AI387" i="4" s="1"/>
  <c r="AJ388" i="4" s="1"/>
  <c r="AI390" i="4"/>
  <c r="AI366" i="4"/>
  <c r="AJ375" i="4" s="1"/>
  <c r="AI369" i="4"/>
  <c r="AI370" i="4"/>
  <c r="AI371" i="4"/>
  <c r="AI372" i="4"/>
  <c r="AI373" i="4"/>
  <c r="AI374" i="4"/>
  <c r="AI474" i="4"/>
  <c r="AI462" i="4"/>
  <c r="AI330" i="4"/>
  <c r="AI321" i="4"/>
  <c r="AI279" i="4"/>
  <c r="AI280" i="4"/>
  <c r="AI285" i="4" s="1"/>
  <c r="AI284" i="4"/>
  <c r="AI288" i="4"/>
  <c r="AI289" i="4"/>
  <c r="AI293" i="4" s="1"/>
  <c r="AI292" i="4"/>
  <c r="AI254" i="4"/>
  <c r="AI257" i="4"/>
  <c r="AI258" i="4"/>
  <c r="AI263" i="4"/>
  <c r="AI265" i="4"/>
  <c r="AI272" i="4"/>
  <c r="AI239" i="4"/>
  <c r="AI244" i="4"/>
  <c r="AI227" i="4"/>
  <c r="AI234" i="4"/>
  <c r="AI206" i="4"/>
  <c r="AI207" i="4"/>
  <c r="AI209" i="4" s="1"/>
  <c r="AJ210" i="4" s="1"/>
  <c r="AI213" i="4"/>
  <c r="AI218" i="4"/>
  <c r="AI185" i="4"/>
  <c r="AI191" i="4"/>
  <c r="AI193" i="4"/>
  <c r="AI200" i="4"/>
  <c r="AI174" i="4"/>
  <c r="AI175" i="4"/>
  <c r="AI177" i="4" s="1"/>
  <c r="AJ178" i="4" s="1"/>
  <c r="AI181" i="4"/>
  <c r="AI160" i="4"/>
  <c r="AI161" i="4"/>
  <c r="AI163" i="4" s="1"/>
  <c r="AI169" i="4"/>
  <c r="AI149" i="4"/>
  <c r="AI155" i="4"/>
  <c r="AD149" i="4"/>
  <c r="AE149" i="4"/>
  <c r="AF149" i="4"/>
  <c r="AG149" i="4"/>
  <c r="AH149" i="4"/>
  <c r="AC149" i="4"/>
  <c r="AE135" i="4"/>
  <c r="AF135" i="4"/>
  <c r="AG135" i="4"/>
  <c r="AH135" i="4"/>
  <c r="AI135" i="4"/>
  <c r="AJ136" i="4" s="1"/>
  <c r="AD135" i="4"/>
  <c r="AI132" i="4"/>
  <c r="AI133" i="4"/>
  <c r="AI141" i="4"/>
  <c r="AI69" i="4"/>
  <c r="AI1988" i="4"/>
  <c r="AB40" i="12"/>
  <c r="AB44" i="12" s="1"/>
  <c r="AB260" i="12"/>
  <c r="AB261" i="12"/>
  <c r="AB264" i="12"/>
  <c r="AB268" i="12"/>
  <c r="AB219" i="12"/>
  <c r="AB238" i="12"/>
  <c r="AB239" i="12"/>
  <c r="AB200" i="12"/>
  <c r="AB201" i="12"/>
  <c r="AB202" i="12"/>
  <c r="AB208" i="12"/>
  <c r="AB455" i="12"/>
  <c r="AB24" i="12"/>
  <c r="AC25" i="12" s="1"/>
  <c r="AB457" i="12"/>
  <c r="AB85" i="6"/>
  <c r="AB30" i="7"/>
  <c r="AB29" i="7"/>
  <c r="AB11" i="7"/>
  <c r="AB20" i="7" s="1"/>
  <c r="AB24" i="7"/>
  <c r="AB28" i="7"/>
  <c r="AB45" i="7"/>
  <c r="AB53" i="7" s="1"/>
  <c r="AB33" i="8"/>
  <c r="AB25" i="7"/>
  <c r="AB21" i="8"/>
  <c r="AB14" i="8"/>
  <c r="AB23" i="8"/>
  <c r="AB29" i="8"/>
  <c r="AB46" i="8"/>
  <c r="AB49" i="8"/>
  <c r="AB54" i="8"/>
  <c r="AB60" i="8" s="1"/>
  <c r="AJ161" i="12" l="1"/>
  <c r="AB62" i="7"/>
  <c r="AB63" i="7" s="1"/>
  <c r="AC64" i="7" s="1"/>
  <c r="AC21" i="7"/>
  <c r="AI192" i="4"/>
  <c r="AJ187" i="4"/>
  <c r="AJ186" i="4"/>
  <c r="AJ267" i="4"/>
  <c r="AJ269" i="4" s="1"/>
  <c r="AJ266" i="4"/>
  <c r="AI152" i="4"/>
  <c r="AJ150" i="4"/>
  <c r="AK161" i="12"/>
  <c r="O139" i="12"/>
  <c r="K139" i="12"/>
  <c r="U130" i="12"/>
  <c r="M139" i="12"/>
  <c r="I139" i="12"/>
  <c r="J139" i="12"/>
  <c r="H139" i="12"/>
  <c r="AD165" i="12"/>
  <c r="AD167" i="12"/>
  <c r="AB37" i="8"/>
  <c r="AB134" i="12"/>
  <c r="L139" i="12"/>
  <c r="AB128" i="12"/>
  <c r="AB130" i="12" s="1"/>
  <c r="W130" i="12"/>
  <c r="AG157" i="12"/>
  <c r="Z139" i="12"/>
  <c r="G139" i="12"/>
  <c r="T130" i="12"/>
  <c r="S130" i="12"/>
  <c r="X139" i="12"/>
  <c r="Y91" i="12"/>
  <c r="V130" i="12"/>
  <c r="W139" i="12"/>
  <c r="F139" i="12"/>
  <c r="Y128" i="12"/>
  <c r="Y130" i="12" s="1"/>
  <c r="W148" i="12"/>
  <c r="E139" i="12"/>
  <c r="AA130" i="12"/>
  <c r="X130" i="12"/>
  <c r="N139" i="12"/>
  <c r="Z91" i="12"/>
  <c r="AA91" i="12"/>
  <c r="Z147" i="12"/>
  <c r="X148" i="12"/>
  <c r="Y148" i="12"/>
  <c r="Y139" i="12"/>
  <c r="V139" i="12"/>
  <c r="S148" i="12"/>
  <c r="V148" i="12"/>
  <c r="Z130" i="12"/>
  <c r="AF166" i="12"/>
  <c r="T148" i="12"/>
  <c r="AB76" i="6"/>
  <c r="AB240" i="12"/>
  <c r="AB218" i="12" s="1"/>
  <c r="AB217" i="12" s="1"/>
  <c r="AB27" i="7"/>
  <c r="AB262" i="12"/>
  <c r="AI377" i="4"/>
  <c r="AJ378" i="4" s="1"/>
  <c r="AI1956" i="4"/>
  <c r="AI150" i="4"/>
  <c r="AB204" i="12"/>
  <c r="AI1959" i="4"/>
  <c r="AI295" i="4"/>
  <c r="AI136" i="4"/>
  <c r="AI274" i="4"/>
  <c r="AI260" i="4"/>
  <c r="AI166" i="4"/>
  <c r="AB223" i="12"/>
  <c r="AB209" i="12"/>
  <c r="AB51" i="8"/>
  <c r="AZ8" i="15"/>
  <c r="AV49" i="5"/>
  <c r="X46" i="5"/>
  <c r="X45" i="5"/>
  <c r="X87" i="5"/>
  <c r="X79" i="5"/>
  <c r="X71" i="5"/>
  <c r="X95" i="5"/>
  <c r="AJ195" i="4" l="1"/>
  <c r="AJ230" i="4" s="1"/>
  <c r="AL161" i="12"/>
  <c r="BY8" i="15"/>
  <c r="BY38" i="15" s="1"/>
  <c r="AB138" i="12"/>
  <c r="AF164" i="12"/>
  <c r="AF165" i="12" s="1"/>
  <c r="AE167" i="12"/>
  <c r="AG158" i="12"/>
  <c r="AG159" i="12" s="1"/>
  <c r="AH157" i="12"/>
  <c r="AE165" i="12"/>
  <c r="AG166" i="12"/>
  <c r="AD42" i="8" l="1"/>
  <c r="AE42" i="8" s="1"/>
  <c r="AC134" i="12"/>
  <c r="AC135" i="12" s="1"/>
  <c r="AD88" i="12"/>
  <c r="AC98" i="12"/>
  <c r="AD98" i="12" s="1"/>
  <c r="AE98" i="12" s="1"/>
  <c r="AF98" i="12" s="1"/>
  <c r="AG98" i="12" s="1"/>
  <c r="AH98" i="12" s="1"/>
  <c r="AI98" i="12" s="1"/>
  <c r="AJ98" i="12" s="1"/>
  <c r="AK98" i="12" s="1"/>
  <c r="AL98" i="12" s="1"/>
  <c r="AL139" i="6"/>
  <c r="AI157" i="12"/>
  <c r="AH158" i="12"/>
  <c r="AH159" i="12" s="1"/>
  <c r="AG164" i="12"/>
  <c r="AG165" i="12" s="1"/>
  <c r="AF167" i="12"/>
  <c r="AH166" i="12"/>
  <c r="AF42" i="8"/>
  <c r="AV27" i="5"/>
  <c r="AD97" i="12" l="1"/>
  <c r="AG42" i="8"/>
  <c r="AH42" i="8" s="1"/>
  <c r="AI42" i="8" s="1"/>
  <c r="AW27" i="5"/>
  <c r="AH164" i="12"/>
  <c r="AH165" i="12" s="1"/>
  <c r="AG167" i="12"/>
  <c r="AI158" i="12"/>
  <c r="AI159" i="12" s="1"/>
  <c r="AJ157" i="12"/>
  <c r="AI166" i="12"/>
  <c r="AD90" i="12" l="1"/>
  <c r="AD127" i="12"/>
  <c r="AD94" i="12"/>
  <c r="AD89" i="12" s="1"/>
  <c r="AD92" i="12" s="1"/>
  <c r="AE88" i="12" s="1"/>
  <c r="AE97" i="12" s="1"/>
  <c r="AE127" i="12" s="1"/>
  <c r="AJ42" i="8"/>
  <c r="AJ158" i="12"/>
  <c r="AJ159" i="12" s="1"/>
  <c r="AK157" i="12"/>
  <c r="AL157" i="12" s="1"/>
  <c r="AI164" i="12"/>
  <c r="AH167" i="12"/>
  <c r="AJ166" i="12"/>
  <c r="AE90" i="12" l="1"/>
  <c r="AE94" i="12"/>
  <c r="AE89" i="12" s="1"/>
  <c r="AI165" i="12"/>
  <c r="AK42" i="8"/>
  <c r="AL107" i="6"/>
  <c r="AL158" i="12"/>
  <c r="AJ164" i="12"/>
  <c r="AI167" i="12"/>
  <c r="AK158" i="12"/>
  <c r="AK159" i="12" s="1"/>
  <c r="AE92" i="12"/>
  <c r="AF88" i="12" s="1"/>
  <c r="AF97" i="12" s="1"/>
  <c r="AK166" i="12"/>
  <c r="AA85" i="6"/>
  <c r="AH61" i="4"/>
  <c r="AH1980" i="4"/>
  <c r="AH1986" i="4" s="1"/>
  <c r="AA40" i="12"/>
  <c r="AA31" i="12"/>
  <c r="AA260" i="12"/>
  <c r="AA261" i="12"/>
  <c r="AA264" i="12"/>
  <c r="AA268" i="12"/>
  <c r="AB269" i="12" s="1"/>
  <c r="AA219" i="12"/>
  <c r="AA200" i="12"/>
  <c r="AA201" i="12"/>
  <c r="AA202" i="12"/>
  <c r="AA208" i="12"/>
  <c r="AA209" i="12" s="1"/>
  <c r="AB210" i="12" s="1"/>
  <c r="AA238" i="12"/>
  <c r="AA239" i="12"/>
  <c r="AA455" i="12"/>
  <c r="AA24" i="12"/>
  <c r="AB25" i="12" s="1"/>
  <c r="AA457" i="12"/>
  <c r="AH474" i="4"/>
  <c r="AH462" i="4"/>
  <c r="AH1948" i="4"/>
  <c r="AH1946" i="4"/>
  <c r="AH395" i="4"/>
  <c r="AH396" i="4"/>
  <c r="AH397" i="4" s="1"/>
  <c r="AI398" i="4" s="1"/>
  <c r="AH400" i="4"/>
  <c r="AH385" i="4"/>
  <c r="AH386" i="4"/>
  <c r="AH387" i="4" s="1"/>
  <c r="AI388" i="4" s="1"/>
  <c r="AH390" i="4"/>
  <c r="AH366" i="4"/>
  <c r="AI375" i="4" s="1"/>
  <c r="AH369" i="4"/>
  <c r="AH370" i="4"/>
  <c r="AH371" i="4"/>
  <c r="AH372" i="4"/>
  <c r="AH373" i="4"/>
  <c r="AH374" i="4"/>
  <c r="AH344" i="4"/>
  <c r="AH345" i="4"/>
  <c r="AH348" i="4" s="1"/>
  <c r="AI349" i="4" s="1"/>
  <c r="AH347" i="4"/>
  <c r="AH330" i="4"/>
  <c r="AH331" i="4"/>
  <c r="AH321" i="4"/>
  <c r="AH279" i="4"/>
  <c r="AH280" i="4"/>
  <c r="AH285" i="4" s="1"/>
  <c r="AH284" i="4"/>
  <c r="AH288" i="4"/>
  <c r="AH289" i="4"/>
  <c r="AH293" i="4" s="1"/>
  <c r="AH292" i="4"/>
  <c r="AG279" i="4"/>
  <c r="AG280" i="4"/>
  <c r="AH254" i="4"/>
  <c r="AH257" i="4"/>
  <c r="AH258" i="4"/>
  <c r="AH263" i="4"/>
  <c r="AH272" i="4"/>
  <c r="AH227" i="4"/>
  <c r="AH234" i="4"/>
  <c r="AH239" i="4"/>
  <c r="AH244" i="4"/>
  <c r="AH206" i="4"/>
  <c r="AH207" i="4"/>
  <c r="AH209" i="4" s="1"/>
  <c r="AI210" i="4" s="1"/>
  <c r="AH213" i="4"/>
  <c r="AH218" i="4"/>
  <c r="AG190" i="4"/>
  <c r="AH191" i="4" s="1"/>
  <c r="AH200" i="4"/>
  <c r="AH174" i="4"/>
  <c r="AH175" i="4"/>
  <c r="AH177" i="4" s="1"/>
  <c r="AI178" i="4" s="1"/>
  <c r="AH160" i="4"/>
  <c r="AH161" i="4"/>
  <c r="AH163" i="4" s="1"/>
  <c r="AI164" i="4" s="1"/>
  <c r="AH155" i="4"/>
  <c r="AH132" i="4"/>
  <c r="AH133" i="4"/>
  <c r="AK135" i="4" s="1"/>
  <c r="AL135" i="4" s="1"/>
  <c r="AH141" i="4"/>
  <c r="AA30" i="7"/>
  <c r="AA29" i="7"/>
  <c r="AA11" i="7"/>
  <c r="AA20" i="7" s="1"/>
  <c r="AB21" i="7" s="1"/>
  <c r="AA24" i="7"/>
  <c r="AA28" i="7"/>
  <c r="AA45" i="7"/>
  <c r="AA53" i="7" s="1"/>
  <c r="AA25" i="7"/>
  <c r="AA21" i="8"/>
  <c r="AA33" i="8"/>
  <c r="AA134" i="12" s="1"/>
  <c r="AA14" i="8"/>
  <c r="AA23" i="8"/>
  <c r="AA29" i="8"/>
  <c r="AA46" i="8"/>
  <c r="AA49" i="8"/>
  <c r="AA54" i="8"/>
  <c r="AA60" i="8" s="1"/>
  <c r="AL166" i="12" l="1"/>
  <c r="AJ165" i="12"/>
  <c r="AL42" i="8"/>
  <c r="AL134" i="6"/>
  <c r="AL140" i="6" s="1"/>
  <c r="AL101" i="6"/>
  <c r="AL127" i="6" s="1"/>
  <c r="AL159" i="12"/>
  <c r="AL136" i="6" s="1"/>
  <c r="AL135" i="6"/>
  <c r="AA135" i="12"/>
  <c r="AB135" i="12"/>
  <c r="AA138" i="12"/>
  <c r="AK164" i="12"/>
  <c r="AJ167" i="12"/>
  <c r="AF90" i="12"/>
  <c r="AF94" i="12"/>
  <c r="AF89" i="12" s="1"/>
  <c r="AF127" i="12"/>
  <c r="AA76" i="6"/>
  <c r="AA24" i="8"/>
  <c r="AA223" i="12"/>
  <c r="AB224" i="12" s="1"/>
  <c r="AB236" i="12"/>
  <c r="AH222" i="4"/>
  <c r="AI201" i="4"/>
  <c r="AA37" i="8"/>
  <c r="AA262" i="12"/>
  <c r="AH1949" i="4"/>
  <c r="AA240" i="12"/>
  <c r="AA218" i="12" s="1"/>
  <c r="AA217" i="12" s="1"/>
  <c r="AA236" i="12"/>
  <c r="AA27" i="7"/>
  <c r="AA33" i="7" s="1"/>
  <c r="AA44" i="12"/>
  <c r="AA204" i="12"/>
  <c r="AB205" i="12" s="1"/>
  <c r="AH295" i="4"/>
  <c r="AH274" i="4"/>
  <c r="AH260" i="4"/>
  <c r="AI261" i="4" s="1"/>
  <c r="AH193" i="4"/>
  <c r="AH166" i="4"/>
  <c r="AA51" i="8"/>
  <c r="AK167" i="12" l="1"/>
  <c r="AL164" i="12"/>
  <c r="AF92" i="12"/>
  <c r="AG88" i="12" s="1"/>
  <c r="AG97" i="12" s="1"/>
  <c r="AD33" i="8"/>
  <c r="AB148" i="12"/>
  <c r="AB139" i="12"/>
  <c r="AA139" i="12"/>
  <c r="AA148" i="12"/>
  <c r="AK165" i="12"/>
  <c r="AA36" i="7"/>
  <c r="AA37" i="7" s="1"/>
  <c r="AA55" i="7"/>
  <c r="AL100" i="6" l="1"/>
  <c r="AL167" i="12"/>
  <c r="AL48" i="7" s="1"/>
  <c r="AL165" i="12"/>
  <c r="AE33" i="8"/>
  <c r="AG90" i="12"/>
  <c r="AG127" i="12"/>
  <c r="AG94" i="12"/>
  <c r="AG89" i="12" s="1"/>
  <c r="AY8" i="15"/>
  <c r="AJ15" i="7"/>
  <c r="AK15" i="7"/>
  <c r="AJ28" i="7"/>
  <c r="AK28" i="7"/>
  <c r="AJ57" i="7"/>
  <c r="AK57" i="7"/>
  <c r="AJ123" i="6"/>
  <c r="AK123" i="6"/>
  <c r="AJ159" i="6"/>
  <c r="AK159" i="6"/>
  <c r="AJ161" i="6"/>
  <c r="AK161" i="6"/>
  <c r="AJ162" i="6"/>
  <c r="AK162" i="6"/>
  <c r="AJ163" i="6"/>
  <c r="AK163" i="6"/>
  <c r="AJ164" i="6"/>
  <c r="AK164" i="6"/>
  <c r="AJ165" i="6"/>
  <c r="AK165" i="6"/>
  <c r="AJ170" i="6"/>
  <c r="AK170" i="6"/>
  <c r="AJ187" i="6"/>
  <c r="AK187" i="6"/>
  <c r="AJ455" i="12"/>
  <c r="AK455" i="12"/>
  <c r="AJ457" i="12"/>
  <c r="AK457" i="12"/>
  <c r="AJ238" i="12"/>
  <c r="AK238" i="12"/>
  <c r="AJ239" i="12"/>
  <c r="AK239" i="12"/>
  <c r="AJ294" i="12"/>
  <c r="AK294" i="12"/>
  <c r="AJ318" i="12"/>
  <c r="AK318" i="12"/>
  <c r="AJ320" i="12"/>
  <c r="AK320" i="12"/>
  <c r="AJ321" i="12"/>
  <c r="AK321" i="12"/>
  <c r="AJ322" i="12"/>
  <c r="AK322" i="12"/>
  <c r="AL450" i="12"/>
  <c r="AJ326" i="12"/>
  <c r="AJ410" i="12" s="1"/>
  <c r="AK326" i="12"/>
  <c r="AK410" i="12" s="1"/>
  <c r="AJ327" i="12"/>
  <c r="AJ411" i="12" s="1"/>
  <c r="AK327" i="12"/>
  <c r="AK411" i="12" s="1"/>
  <c r="AJ328" i="12"/>
  <c r="AK328" i="12"/>
  <c r="AJ330" i="12"/>
  <c r="AK330" i="12"/>
  <c r="AJ331" i="12"/>
  <c r="AJ333" i="12" s="1"/>
  <c r="AK331" i="12"/>
  <c r="AK333" i="12" s="1"/>
  <c r="AJ334" i="12"/>
  <c r="AK334" i="12"/>
  <c r="AJ336" i="12"/>
  <c r="AJ395" i="12" s="1"/>
  <c r="AJ420" i="12" s="1"/>
  <c r="AK336" i="12"/>
  <c r="AK395" i="12" s="1"/>
  <c r="AK420" i="12" s="1"/>
  <c r="AJ337" i="12"/>
  <c r="AJ396" i="12" s="1"/>
  <c r="AJ421" i="12" s="1"/>
  <c r="AK337" i="12"/>
  <c r="AJ341" i="12"/>
  <c r="AK341" i="12"/>
  <c r="AJ390" i="12"/>
  <c r="AK390" i="12"/>
  <c r="AJ419" i="12"/>
  <c r="AK419" i="12"/>
  <c r="AJ289" i="12"/>
  <c r="AJ39" i="12" s="1"/>
  <c r="AK289" i="12"/>
  <c r="AK39" i="12" s="1"/>
  <c r="AQ2008" i="4"/>
  <c r="AR2008" i="4"/>
  <c r="AQ2009" i="4"/>
  <c r="AR2009" i="4"/>
  <c r="W45" i="5"/>
  <c r="W46" i="5"/>
  <c r="AU49" i="5"/>
  <c r="W71" i="5"/>
  <c r="W87" i="5"/>
  <c r="W79" i="5"/>
  <c r="W95" i="5"/>
  <c r="AG92" i="12" l="1"/>
  <c r="AH88" i="12" s="1"/>
  <c r="AH97" i="12" s="1"/>
  <c r="BX8" i="15"/>
  <c r="BX38" i="15" s="1"/>
  <c r="AF33" i="8"/>
  <c r="AV21" i="5"/>
  <c r="AJ240" i="12"/>
  <c r="AJ218" i="12" s="1"/>
  <c r="AJ422" i="12"/>
  <c r="AK424" i="12"/>
  <c r="AJ424" i="12"/>
  <c r="AJ358" i="12"/>
  <c r="AJ415" i="12"/>
  <c r="AK422" i="12"/>
  <c r="AK240" i="12"/>
  <c r="AK218" i="12" s="1"/>
  <c r="AK215" i="6"/>
  <c r="AK185" i="6"/>
  <c r="AK396" i="12"/>
  <c r="AK421" i="12" s="1"/>
  <c r="AK358" i="12"/>
  <c r="AK415" i="12"/>
  <c r="AJ215" i="6"/>
  <c r="AJ185" i="6"/>
  <c r="AK450" i="12"/>
  <c r="Z28" i="7"/>
  <c r="BE30" i="6"/>
  <c r="BE28" i="6"/>
  <c r="BE29" i="6" s="1"/>
  <c r="BG55" i="6"/>
  <c r="BF55" i="6" s="1"/>
  <c r="BE184" i="6"/>
  <c r="BE192" i="6" s="1"/>
  <c r="BE172" i="6"/>
  <c r="BE168" i="6"/>
  <c r="BE171" i="6" s="1"/>
  <c r="BE78" i="6"/>
  <c r="BE71" i="6"/>
  <c r="BE69" i="6"/>
  <c r="BE67" i="6"/>
  <c r="BE65" i="6"/>
  <c r="BE64" i="6"/>
  <c r="BE62" i="6"/>
  <c r="BE61" i="6"/>
  <c r="BE60" i="6"/>
  <c r="BE59" i="6"/>
  <c r="BE40" i="6"/>
  <c r="BE46" i="6" s="1"/>
  <c r="BE13" i="6"/>
  <c r="BE21" i="6" s="1"/>
  <c r="BB43" i="6"/>
  <c r="BE66" i="6" s="1"/>
  <c r="BB40" i="6"/>
  <c r="BB28" i="6"/>
  <c r="BD218" i="6"/>
  <c r="BD217" i="6"/>
  <c r="BD214" i="6"/>
  <c r="BD213" i="6"/>
  <c r="BD212" i="6"/>
  <c r="BD211" i="6"/>
  <c r="BD210" i="6"/>
  <c r="BD209" i="6"/>
  <c r="BD208" i="6"/>
  <c r="BD93" i="6"/>
  <c r="BD90" i="6"/>
  <c r="BD87" i="6"/>
  <c r="BD84" i="6"/>
  <c r="BD83" i="6"/>
  <c r="BD55" i="6"/>
  <c r="BD195" i="6"/>
  <c r="BD169" i="6"/>
  <c r="BS133" i="6"/>
  <c r="BS134" i="6" s="1"/>
  <c r="BS131" i="6"/>
  <c r="BS125" i="6"/>
  <c r="BS126" i="6" s="1"/>
  <c r="AW21" i="5" l="1"/>
  <c r="AG33" i="8"/>
  <c r="AH94" i="12"/>
  <c r="AH89" i="12" s="1"/>
  <c r="AH90" i="12"/>
  <c r="AH127" i="12"/>
  <c r="AU21" i="5"/>
  <c r="AU27" i="5"/>
  <c r="BB46" i="6"/>
  <c r="BE68" i="6" s="1"/>
  <c r="BE186" i="6"/>
  <c r="BE189" i="6" s="1"/>
  <c r="BE48" i="6"/>
  <c r="BE51" i="6" s="1"/>
  <c r="BE63" i="6"/>
  <c r="AH33" i="8" l="1"/>
  <c r="AH92" i="12"/>
  <c r="AI88" i="12" s="1"/>
  <c r="BE56" i="6"/>
  <c r="BE80" i="6" s="1"/>
  <c r="BE86" i="6" s="1"/>
  <c r="BE88" i="6" s="1"/>
  <c r="BE32" i="6"/>
  <c r="AI33" i="8" l="1"/>
  <c r="AI97" i="12"/>
  <c r="BE91" i="6"/>
  <c r="BE94" i="6"/>
  <c r="AJ33" i="8" l="1"/>
  <c r="AI94" i="12"/>
  <c r="AI89" i="12" s="1"/>
  <c r="AI127" i="12"/>
  <c r="AI90" i="12"/>
  <c r="BE97" i="6"/>
  <c r="AK33" i="8" l="1"/>
  <c r="AI92" i="12"/>
  <c r="AJ88" i="12" s="1"/>
  <c r="AL33" i="8" l="1"/>
  <c r="AJ97" i="12"/>
  <c r="AJ94" i="12" l="1"/>
  <c r="AJ89" i="12" s="1"/>
  <c r="AJ127" i="12"/>
  <c r="AJ90" i="12"/>
  <c r="AJ92" i="12" l="1"/>
  <c r="AK88" i="12" s="1"/>
  <c r="AK97" i="12" l="1"/>
  <c r="AK90" i="12" l="1"/>
  <c r="AK127" i="12"/>
  <c r="AK94" i="12"/>
  <c r="AK89" i="12" s="1"/>
  <c r="AK92" i="12" l="1"/>
  <c r="AL88" i="12" s="1"/>
  <c r="AL97" i="12" s="1"/>
  <c r="AL90" i="12" l="1"/>
  <c r="AL127" i="12"/>
  <c r="AL94" i="12"/>
  <c r="AL49" i="7" l="1"/>
  <c r="AL89" i="12"/>
  <c r="AL92" i="12" s="1"/>
  <c r="AL23" i="8" s="1"/>
  <c r="Z358" i="12" l="1"/>
  <c r="Y358" i="12"/>
  <c r="X358" i="12"/>
  <c r="W358" i="12"/>
  <c r="V358" i="12"/>
  <c r="U358" i="12"/>
  <c r="T358" i="12"/>
  <c r="S358" i="12"/>
  <c r="Z261" i="12"/>
  <c r="Y261" i="12"/>
  <c r="X261" i="12"/>
  <c r="Z208" i="12"/>
  <c r="Y208" i="12"/>
  <c r="X208" i="12"/>
  <c r="AB1936" i="4"/>
  <c r="AC1936" i="4"/>
  <c r="AB1937" i="4"/>
  <c r="AC1937" i="4"/>
  <c r="AB1938" i="4"/>
  <c r="AC1938" i="4"/>
  <c r="AB1939" i="4"/>
  <c r="AC1939" i="4"/>
  <c r="AB1940" i="4"/>
  <c r="AC1940" i="4"/>
  <c r="AB1941" i="4"/>
  <c r="AC1941" i="4"/>
  <c r="Z70" i="8"/>
  <c r="X205" i="6"/>
  <c r="Y205" i="6"/>
  <c r="W205" i="6"/>
  <c r="Z44" i="6" l="1"/>
  <c r="Z36" i="12"/>
  <c r="Z307" i="12" s="1"/>
  <c r="Z294" i="12"/>
  <c r="Z291" i="12"/>
  <c r="Z290" i="12"/>
  <c r="Z57" i="12" s="1"/>
  <c r="Z17" i="6"/>
  <c r="AA17" i="6"/>
  <c r="Z42" i="6"/>
  <c r="BD42" i="6" s="1"/>
  <c r="BC42" i="6" s="1"/>
  <c r="Z20" i="6"/>
  <c r="AA291" i="12"/>
  <c r="Z100" i="6"/>
  <c r="BD100" i="6" s="1"/>
  <c r="AG51" i="4"/>
  <c r="AG50" i="4"/>
  <c r="AG49" i="4"/>
  <c r="Z85" i="6"/>
  <c r="P222" i="14" s="1"/>
  <c r="S45" i="5"/>
  <c r="T45" i="5"/>
  <c r="R45" i="5"/>
  <c r="Z47" i="6"/>
  <c r="Z50" i="6"/>
  <c r="BD50" i="6" s="1"/>
  <c r="BC50" i="6" s="1"/>
  <c r="Z49" i="6"/>
  <c r="BD49" i="6" s="1"/>
  <c r="BC49" i="6" s="1"/>
  <c r="Z28" i="6"/>
  <c r="BD28" i="6" s="1"/>
  <c r="Z27" i="6"/>
  <c r="Z26" i="6"/>
  <c r="Z25" i="6"/>
  <c r="AG59" i="4"/>
  <c r="AG61" i="4" s="1"/>
  <c r="AG56" i="4"/>
  <c r="Z286" i="12" s="1"/>
  <c r="Z54" i="12" s="1"/>
  <c r="AG354" i="4"/>
  <c r="AG37" i="4" s="1"/>
  <c r="Z40" i="6"/>
  <c r="Z31" i="12"/>
  <c r="Z38" i="6" s="1"/>
  <c r="Z39" i="6"/>
  <c r="Z45" i="6"/>
  <c r="T16" i="15" s="1"/>
  <c r="Z41" i="6"/>
  <c r="BD41" i="6" s="1"/>
  <c r="BC41" i="6" s="1"/>
  <c r="Z37" i="6"/>
  <c r="BD37" i="6" s="1"/>
  <c r="BC37" i="6" s="1"/>
  <c r="Z29" i="12"/>
  <c r="Z36" i="6" s="1"/>
  <c r="BD36" i="6" s="1"/>
  <c r="BC36" i="6" s="1"/>
  <c r="AG474" i="4"/>
  <c r="AG462" i="4"/>
  <c r="AF1969" i="4"/>
  <c r="AG405" i="4"/>
  <c r="AG395" i="4"/>
  <c r="AG396" i="4"/>
  <c r="AG397" i="4" s="1"/>
  <c r="AH398" i="4" s="1"/>
  <c r="AG400" i="4"/>
  <c r="AG385" i="4"/>
  <c r="AG386" i="4"/>
  <c r="AG387" i="4" s="1"/>
  <c r="AH388" i="4" s="1"/>
  <c r="AG390" i="4"/>
  <c r="AG369" i="4"/>
  <c r="AG370" i="4"/>
  <c r="AG371" i="4"/>
  <c r="AG372" i="4"/>
  <c r="AG373" i="4"/>
  <c r="AG374" i="4"/>
  <c r="AG344" i="4"/>
  <c r="AG345" i="4"/>
  <c r="AG348" i="4" s="1"/>
  <c r="AH349" i="4" s="1"/>
  <c r="AG347" i="4"/>
  <c r="AG330" i="4"/>
  <c r="AG331" i="4"/>
  <c r="AG321" i="4"/>
  <c r="AK321" i="4" s="1"/>
  <c r="AL321" i="4" s="1"/>
  <c r="AM321" i="4" s="1"/>
  <c r="AN321" i="4" s="1"/>
  <c r="AO321" i="4" s="1"/>
  <c r="AP321" i="4" s="1"/>
  <c r="AQ321" i="4" s="1"/>
  <c r="AG292" i="4"/>
  <c r="AJ292" i="4" s="1"/>
  <c r="AK292" i="4" s="1"/>
  <c r="AL292" i="4" s="1"/>
  <c r="AM292" i="4" s="1"/>
  <c r="AN292" i="4" s="1"/>
  <c r="AO292" i="4" s="1"/>
  <c r="AP292" i="4" s="1"/>
  <c r="AQ292" i="4" s="1"/>
  <c r="AG284" i="4"/>
  <c r="AG288" i="4"/>
  <c r="AG289" i="4"/>
  <c r="AG293" i="4" s="1"/>
  <c r="AG263" i="4"/>
  <c r="AG272" i="4"/>
  <c r="AG257" i="4"/>
  <c r="AG258" i="4"/>
  <c r="AG254" i="4"/>
  <c r="AG244" i="4"/>
  <c r="AG239" i="4"/>
  <c r="AG227" i="4"/>
  <c r="AG234" i="4"/>
  <c r="AG218" i="4"/>
  <c r="AG206" i="4"/>
  <c r="AG207" i="4"/>
  <c r="AG209" i="4" s="1"/>
  <c r="AG213" i="4"/>
  <c r="AG191" i="4"/>
  <c r="AG193" i="4"/>
  <c r="AG200" i="4"/>
  <c r="AG181" i="4"/>
  <c r="AG174" i="4"/>
  <c r="AK174" i="4" s="1"/>
  <c r="AG175" i="4"/>
  <c r="AG177" i="4" s="1"/>
  <c r="AH178" i="4" s="1"/>
  <c r="AG160" i="4"/>
  <c r="AG161" i="4"/>
  <c r="AG163" i="4" s="1"/>
  <c r="AG133" i="4"/>
  <c r="AH136" i="4" s="1"/>
  <c r="AG132" i="4"/>
  <c r="Z264" i="12"/>
  <c r="Z268" i="12"/>
  <c r="AA269" i="12" s="1"/>
  <c r="Z236" i="12"/>
  <c r="Z200" i="12"/>
  <c r="Z201" i="12"/>
  <c r="Z49" i="7"/>
  <c r="Z45" i="7"/>
  <c r="Z11" i="7"/>
  <c r="Z20" i="7" s="1"/>
  <c r="AS26" i="5"/>
  <c r="Z44" i="8"/>
  <c r="Z36" i="8"/>
  <c r="Z37" i="8" s="1"/>
  <c r="AD37" i="8" s="1"/>
  <c r="AE37" i="8" s="1"/>
  <c r="AF37" i="8" s="1"/>
  <c r="AG37" i="8" s="1"/>
  <c r="AH37" i="8" s="1"/>
  <c r="AI37" i="8" s="1"/>
  <c r="AJ37" i="8" s="1"/>
  <c r="AK37" i="8" s="1"/>
  <c r="AL37" i="8" s="1"/>
  <c r="Z23" i="8"/>
  <c r="X23" i="8"/>
  <c r="Y23" i="8"/>
  <c r="Z21" i="8"/>
  <c r="Z24" i="8"/>
  <c r="Z22" i="8"/>
  <c r="Z14" i="8"/>
  <c r="AX8" i="15"/>
  <c r="AQ36" i="5"/>
  <c r="AP8" i="5"/>
  <c r="AQ8" i="5"/>
  <c r="AT49" i="5"/>
  <c r="V46" i="5"/>
  <c r="AE289" i="12"/>
  <c r="AE39" i="12" s="1"/>
  <c r="AF289" i="12"/>
  <c r="AF39" i="12" s="1"/>
  <c r="AG289" i="12"/>
  <c r="AG39" i="12" s="1"/>
  <c r="AH289" i="12"/>
  <c r="AH39" i="12" s="1"/>
  <c r="AI289" i="12"/>
  <c r="AI39" i="12" s="1"/>
  <c r="AD28" i="7"/>
  <c r="AE28" i="7"/>
  <c r="AF28" i="7"/>
  <c r="AG28" i="7"/>
  <c r="AH28" i="7"/>
  <c r="AI28" i="7"/>
  <c r="BB66" i="6"/>
  <c r="BB29" i="6"/>
  <c r="BB184" i="6"/>
  <c r="BB186" i="6" s="1"/>
  <c r="BB189" i="6" s="1"/>
  <c r="BE190" i="6" s="1"/>
  <c r="BB172" i="6"/>
  <c r="BB168" i="6"/>
  <c r="BB171" i="6" s="1"/>
  <c r="BB78" i="6"/>
  <c r="BB71" i="6"/>
  <c r="BB69" i="6"/>
  <c r="BB67" i="6"/>
  <c r="BB65" i="6"/>
  <c r="BB64" i="6"/>
  <c r="BB62" i="6"/>
  <c r="BB61" i="6"/>
  <c r="BB60" i="6"/>
  <c r="BB59" i="6"/>
  <c r="BC55" i="6"/>
  <c r="BB30" i="6"/>
  <c r="BB13" i="6"/>
  <c r="BB21" i="6" s="1"/>
  <c r="BE22" i="6" s="1"/>
  <c r="AT23" i="15"/>
  <c r="AT24" i="15" s="1"/>
  <c r="AH1973" i="4"/>
  <c r="AI1973" i="4" s="1"/>
  <c r="AJ1973" i="4" s="1"/>
  <c r="AK1973" i="4" s="1"/>
  <c r="AL1973" i="4" s="1"/>
  <c r="AM1973" i="4" s="1"/>
  <c r="AN1973" i="4" s="1"/>
  <c r="AO1973" i="4" s="1"/>
  <c r="AP1973" i="4" s="1"/>
  <c r="AQ1973" i="4" s="1"/>
  <c r="AR1973" i="4" s="1"/>
  <c r="AS1973" i="4" s="1"/>
  <c r="AH1971" i="4"/>
  <c r="AI1971" i="4" s="1"/>
  <c r="AJ1971" i="4" s="1"/>
  <c r="AK1971" i="4" s="1"/>
  <c r="AL1971" i="4" s="1"/>
  <c r="AM1971" i="4" s="1"/>
  <c r="AN1971" i="4" s="1"/>
  <c r="AO1971" i="4" s="1"/>
  <c r="AP1971" i="4" s="1"/>
  <c r="AQ1971" i="4" s="1"/>
  <c r="AG1970" i="4"/>
  <c r="AF1970" i="4" s="1"/>
  <c r="AI1946" i="4"/>
  <c r="AJ1946" i="4" s="1"/>
  <c r="AK1946" i="4" s="1"/>
  <c r="AL1946" i="4" s="1"/>
  <c r="AM1946" i="4" s="1"/>
  <c r="AF1955" i="4"/>
  <c r="AF1953" i="4"/>
  <c r="AF1949" i="4"/>
  <c r="AF1947" i="4"/>
  <c r="AF1954" i="4" s="1"/>
  <c r="AD331" i="4"/>
  <c r="AE331" i="4"/>
  <c r="AF331" i="4"/>
  <c r="AE330" i="4"/>
  <c r="AF330" i="4"/>
  <c r="AD330" i="4"/>
  <c r="AF321" i="4"/>
  <c r="AE321" i="4"/>
  <c r="AD321" i="4"/>
  <c r="X223" i="12"/>
  <c r="Y223" i="12"/>
  <c r="X236" i="12"/>
  <c r="Y236" i="12"/>
  <c r="X239" i="12"/>
  <c r="Y239" i="12"/>
  <c r="Y85" i="6"/>
  <c r="R41" i="5" s="1"/>
  <c r="Y33" i="12"/>
  <c r="Y260" i="12"/>
  <c r="Y264" i="12"/>
  <c r="Y268" i="12"/>
  <c r="Y254" i="12"/>
  <c r="Y200" i="12"/>
  <c r="Y201" i="12"/>
  <c r="Y202" i="12"/>
  <c r="Y24" i="12"/>
  <c r="Y457" i="12"/>
  <c r="AF27" i="4"/>
  <c r="AG2008" i="4" s="1"/>
  <c r="AF28" i="4"/>
  <c r="AG2009" i="4" s="1"/>
  <c r="AF1983" i="4"/>
  <c r="AF1984" i="4"/>
  <c r="AF385" i="4"/>
  <c r="AF386" i="4"/>
  <c r="AF387" i="4" s="1"/>
  <c r="AF390" i="4"/>
  <c r="AF395" i="4"/>
  <c r="AF396" i="4"/>
  <c r="AF397" i="4" s="1"/>
  <c r="AF400" i="4"/>
  <c r="AF405" i="4"/>
  <c r="AF366" i="4"/>
  <c r="AF369" i="4"/>
  <c r="AF370" i="4"/>
  <c r="AF371" i="4"/>
  <c r="AF372" i="4"/>
  <c r="AF373" i="4"/>
  <c r="AF374" i="4"/>
  <c r="AF347" i="4"/>
  <c r="AF344" i="4"/>
  <c r="AF345" i="4"/>
  <c r="AF348" i="4" s="1"/>
  <c r="AF354" i="4"/>
  <c r="AF37" i="4" s="1"/>
  <c r="AF279" i="4"/>
  <c r="AK279" i="4" s="1"/>
  <c r="AL279" i="4" s="1"/>
  <c r="AM279" i="4" s="1"/>
  <c r="AN279" i="4" s="1"/>
  <c r="AO279" i="4" s="1"/>
  <c r="AP279" i="4" s="1"/>
  <c r="AQ279" i="4" s="1"/>
  <c r="AF280" i="4"/>
  <c r="AF285" i="4" s="1"/>
  <c r="AF284" i="4"/>
  <c r="AF288" i="4"/>
  <c r="AF289" i="4"/>
  <c r="AF293" i="4" s="1"/>
  <c r="AF292" i="4"/>
  <c r="AF257" i="4"/>
  <c r="AF258" i="4"/>
  <c r="AF263" i="4"/>
  <c r="AF265" i="4"/>
  <c r="AF272" i="4"/>
  <c r="AF254" i="4"/>
  <c r="AF244" i="4"/>
  <c r="AF239" i="4"/>
  <c r="AF227" i="4"/>
  <c r="AF206" i="4"/>
  <c r="AF218" i="4"/>
  <c r="AF174" i="4"/>
  <c r="AF175" i="4"/>
  <c r="AF177" i="4" s="1"/>
  <c r="AF1939" i="4" s="1"/>
  <c r="AF181" i="4"/>
  <c r="AF160" i="4"/>
  <c r="AF161" i="4"/>
  <c r="AF163" i="4" s="1"/>
  <c r="AF1938" i="4" s="1"/>
  <c r="AF169" i="4"/>
  <c r="AF155" i="4"/>
  <c r="AF132" i="4"/>
  <c r="AF133" i="4"/>
  <c r="AF141" i="4"/>
  <c r="Y19" i="7"/>
  <c r="Y44" i="8"/>
  <c r="Y36" i="8"/>
  <c r="Y37" i="8" s="1"/>
  <c r="Y21" i="8"/>
  <c r="Y14" i="8"/>
  <c r="Y29" i="8"/>
  <c r="Y49" i="8"/>
  <c r="Y54" i="8"/>
  <c r="Y60" i="8" s="1"/>
  <c r="Y67" i="8"/>
  <c r="Y70" i="8"/>
  <c r="Y30" i="7"/>
  <c r="Y49" i="7"/>
  <c r="Y29" i="7"/>
  <c r="Y11" i="7"/>
  <c r="AP37" i="5"/>
  <c r="Y45" i="7"/>
  <c r="AW8" i="15"/>
  <c r="AP55" i="5"/>
  <c r="AQ55" i="5"/>
  <c r="AP36" i="5"/>
  <c r="T8" i="5"/>
  <c r="AI57" i="7"/>
  <c r="AI123" i="6"/>
  <c r="AI187" i="6"/>
  <c r="AI457" i="12"/>
  <c r="AI239" i="12"/>
  <c r="AI294" i="12"/>
  <c r="AI336" i="12"/>
  <c r="AI395" i="12" s="1"/>
  <c r="AI340" i="12"/>
  <c r="AI398" i="12" s="1"/>
  <c r="AI423" i="12" s="1"/>
  <c r="AI419" i="12"/>
  <c r="AP2008" i="4"/>
  <c r="AP2009" i="4"/>
  <c r="AI330" i="12"/>
  <c r="AM132" i="4"/>
  <c r="AN132" i="4" s="1"/>
  <c r="AO132" i="4" s="1"/>
  <c r="AP132" i="4" s="1"/>
  <c r="AQ132" i="4" s="1"/>
  <c r="AE133" i="4"/>
  <c r="AE138" i="4" s="1"/>
  <c r="AE145" i="4"/>
  <c r="AE185" i="4" s="1"/>
  <c r="AE192" i="4" s="1"/>
  <c r="AE161" i="4"/>
  <c r="AE163" i="4" s="1"/>
  <c r="AE175" i="4"/>
  <c r="AE177" i="4" s="1"/>
  <c r="AE1939" i="4" s="1"/>
  <c r="AE207" i="4"/>
  <c r="AE209" i="4" s="1"/>
  <c r="AE1941" i="4" s="1"/>
  <c r="AE206" i="4"/>
  <c r="AF207" i="4"/>
  <c r="AF209" i="4" s="1"/>
  <c r="AF1941" i="4" s="1"/>
  <c r="AF213" i="4"/>
  <c r="AF18" i="4"/>
  <c r="AE227" i="4"/>
  <c r="AE194" i="4"/>
  <c r="AE193" i="4"/>
  <c r="AF21" i="4"/>
  <c r="AE279" i="4"/>
  <c r="AE284" i="4"/>
  <c r="AE288" i="4"/>
  <c r="AE292" i="4"/>
  <c r="AE254" i="4"/>
  <c r="AE280" i="4"/>
  <c r="AE285" i="4" s="1"/>
  <c r="AE289" i="4"/>
  <c r="AE293" i="4" s="1"/>
  <c r="AE304" i="4"/>
  <c r="AE305" i="4" s="1"/>
  <c r="AE303" i="4"/>
  <c r="Z310" i="4"/>
  <c r="Z312" i="4" s="1"/>
  <c r="Z313" i="4" s="1"/>
  <c r="AD311" i="4"/>
  <c r="AE311" i="4" s="1"/>
  <c r="AE318" i="4"/>
  <c r="AE319" i="4" s="1"/>
  <c r="AF39" i="4"/>
  <c r="AG40" i="4"/>
  <c r="AE374" i="4"/>
  <c r="AE386" i="4"/>
  <c r="AE387" i="4" s="1"/>
  <c r="AE396" i="4"/>
  <c r="AE397" i="4" s="1"/>
  <c r="AE405" i="4"/>
  <c r="AE1984" i="4"/>
  <c r="AE59" i="4"/>
  <c r="AE461" i="4"/>
  <c r="AF462" i="4" s="1"/>
  <c r="AF32" i="4"/>
  <c r="AF38" i="4"/>
  <c r="AF40" i="4"/>
  <c r="AF41" i="4"/>
  <c r="AD272" i="4"/>
  <c r="AE272" i="4"/>
  <c r="AD263" i="4"/>
  <c r="AE263" i="4"/>
  <c r="AD265" i="4"/>
  <c r="AD266" i="4" s="1"/>
  <c r="AE265" i="4"/>
  <c r="AE258" i="4"/>
  <c r="AD258" i="4"/>
  <c r="AE257" i="4"/>
  <c r="AD257" i="4"/>
  <c r="AH330" i="12"/>
  <c r="AG330" i="12"/>
  <c r="AF330" i="12"/>
  <c r="AE330" i="12"/>
  <c r="X359" i="12"/>
  <c r="AD330" i="12"/>
  <c r="AC330" i="12"/>
  <c r="AB330" i="12"/>
  <c r="AA330" i="12"/>
  <c r="Z330" i="12"/>
  <c r="Y330" i="12"/>
  <c r="W330" i="12"/>
  <c r="W392" i="12" s="1"/>
  <c r="V330" i="12"/>
  <c r="T330" i="12"/>
  <c r="R336" i="12"/>
  <c r="AV71" i="6"/>
  <c r="AV69" i="6"/>
  <c r="AV67" i="6"/>
  <c r="AV66" i="6"/>
  <c r="AV65" i="6"/>
  <c r="AV64" i="6"/>
  <c r="AV62" i="6"/>
  <c r="AV61" i="6"/>
  <c r="AV60" i="6"/>
  <c r="AV59" i="6"/>
  <c r="AS46" i="6"/>
  <c r="AS48" i="6" s="1"/>
  <c r="Y49" i="6"/>
  <c r="Y50" i="6"/>
  <c r="X36" i="6"/>
  <c r="X37" i="6"/>
  <c r="R11" i="15" s="1"/>
  <c r="AS11" i="15" s="1"/>
  <c r="X38" i="6"/>
  <c r="X39" i="6"/>
  <c r="AX39" i="6" s="1"/>
  <c r="AW39" i="6" s="1"/>
  <c r="X41" i="6"/>
  <c r="X42" i="6"/>
  <c r="R14" i="15" s="1"/>
  <c r="AS14" i="15" s="1"/>
  <c r="X43" i="6"/>
  <c r="X45" i="6"/>
  <c r="AX45" i="6" s="1"/>
  <c r="AW45" i="6" s="1"/>
  <c r="X47" i="6"/>
  <c r="R17" i="15" s="1"/>
  <c r="X49" i="6"/>
  <c r="X50" i="6"/>
  <c r="X77" i="6"/>
  <c r="AY40" i="6"/>
  <c r="BA93" i="6"/>
  <c r="AZ93" i="6" s="1"/>
  <c r="AY78" i="6"/>
  <c r="AV184" i="6"/>
  <c r="AV192" i="6" s="1"/>
  <c r="AV40" i="6"/>
  <c r="AY71" i="6"/>
  <c r="AY69" i="6"/>
  <c r="AY67" i="6"/>
  <c r="AY66" i="6"/>
  <c r="AY65" i="6"/>
  <c r="AY64" i="6"/>
  <c r="AY62" i="6"/>
  <c r="AY61" i="6"/>
  <c r="AY60" i="6"/>
  <c r="AY59" i="6"/>
  <c r="BA55" i="6"/>
  <c r="AZ55" i="6" s="1"/>
  <c r="AX55" i="6"/>
  <c r="AW55" i="6" s="1"/>
  <c r="W36" i="6"/>
  <c r="W37" i="6"/>
  <c r="W38" i="6"/>
  <c r="AU38" i="6" s="1"/>
  <c r="AT38" i="6" s="1"/>
  <c r="W39" i="6"/>
  <c r="AU39" i="6" s="1"/>
  <c r="AT39" i="6" s="1"/>
  <c r="W41" i="6"/>
  <c r="W42" i="6"/>
  <c r="W43" i="6"/>
  <c r="W45" i="6"/>
  <c r="AU45" i="6" s="1"/>
  <c r="AT45" i="6" s="1"/>
  <c r="W47" i="6"/>
  <c r="M205" i="14" s="1"/>
  <c r="W49" i="6"/>
  <c r="AU49" i="6" s="1"/>
  <c r="AT49" i="6" s="1"/>
  <c r="W50" i="6"/>
  <c r="AU50" i="6" s="1"/>
  <c r="AT50" i="6" s="1"/>
  <c r="AE49" i="4"/>
  <c r="AE50" i="4"/>
  <c r="AE51" i="4"/>
  <c r="AE1988" i="4"/>
  <c r="X293" i="12" s="1"/>
  <c r="X60" i="12" s="1"/>
  <c r="AD49" i="4"/>
  <c r="AD50" i="4"/>
  <c r="AD2029" i="4" s="1"/>
  <c r="AD51" i="4"/>
  <c r="AD1980" i="4"/>
  <c r="AD56" i="4" s="1"/>
  <c r="AD461" i="4"/>
  <c r="AD462" i="4" s="1"/>
  <c r="AD1988" i="4"/>
  <c r="AD2036" i="4" s="1"/>
  <c r="V18" i="6"/>
  <c r="O22" i="5" s="1"/>
  <c r="AY30" i="6"/>
  <c r="X25" i="6"/>
  <c r="X26" i="6"/>
  <c r="AX26" i="6" s="1"/>
  <c r="AW26" i="6" s="1"/>
  <c r="X27" i="6"/>
  <c r="X28" i="6"/>
  <c r="AX28" i="6" s="1"/>
  <c r="AV28" i="6"/>
  <c r="AV29" i="6" s="1"/>
  <c r="AL428" i="12" s="1"/>
  <c r="W25" i="6"/>
  <c r="AU25" i="6" s="1"/>
  <c r="AT25" i="6" s="1"/>
  <c r="W26" i="6"/>
  <c r="AU26" i="6" s="1"/>
  <c r="AT26" i="6" s="1"/>
  <c r="W27" i="6"/>
  <c r="W28" i="6"/>
  <c r="AU28" i="6" s="1"/>
  <c r="AS28" i="6"/>
  <c r="AS29" i="6" s="1"/>
  <c r="AI428" i="12" s="1"/>
  <c r="AV30" i="6"/>
  <c r="V25" i="6"/>
  <c r="AR25" i="6" s="1"/>
  <c r="AQ25" i="6" s="1"/>
  <c r="V26" i="6"/>
  <c r="V27" i="6"/>
  <c r="AS30" i="6"/>
  <c r="AY28" i="6"/>
  <c r="AY29" i="6" s="1"/>
  <c r="AP28" i="6"/>
  <c r="AP29" i="6" s="1"/>
  <c r="AF428" i="12" s="1"/>
  <c r="AC219" i="12"/>
  <c r="AD219" i="12" s="1"/>
  <c r="AE219" i="12" s="1"/>
  <c r="AF219" i="12" s="1"/>
  <c r="AG219" i="12" s="1"/>
  <c r="AH219" i="12" s="1"/>
  <c r="AI219" i="12" s="1"/>
  <c r="AJ219" i="12" s="1"/>
  <c r="AK219" i="12" s="1"/>
  <c r="AL219" i="12" s="1"/>
  <c r="AY13" i="6"/>
  <c r="AY21" i="6" s="1"/>
  <c r="AV13" i="6"/>
  <c r="AV21" i="6" s="1"/>
  <c r="AS13" i="6"/>
  <c r="AS21" i="6" s="1"/>
  <c r="AP13" i="6"/>
  <c r="AP21" i="6" s="1"/>
  <c r="AP32" i="6" s="1"/>
  <c r="AA49" i="6"/>
  <c r="W207" i="6"/>
  <c r="X54" i="8"/>
  <c r="X60" i="8" s="1"/>
  <c r="X14" i="8"/>
  <c r="W54" i="8"/>
  <c r="W60" i="8" s="1"/>
  <c r="W14" i="8"/>
  <c r="V54" i="8"/>
  <c r="V59" i="8"/>
  <c r="V14" i="8"/>
  <c r="U54" i="8"/>
  <c r="U60" i="8" s="1"/>
  <c r="T54" i="8"/>
  <c r="T60" i="8" s="1"/>
  <c r="T9" i="8"/>
  <c r="S54" i="8"/>
  <c r="S60" i="8" s="1"/>
  <c r="S14" i="8"/>
  <c r="S9" i="7"/>
  <c r="S11" i="7" s="1"/>
  <c r="S24" i="7"/>
  <c r="AJ44" i="5" s="1"/>
  <c r="S25" i="7"/>
  <c r="S29" i="7"/>
  <c r="S30" i="7"/>
  <c r="S43" i="7"/>
  <c r="S46" i="7"/>
  <c r="S47" i="7"/>
  <c r="S48" i="7"/>
  <c r="AJ48" i="5" s="1"/>
  <c r="R9" i="7"/>
  <c r="R11" i="7" s="1"/>
  <c r="R24" i="7"/>
  <c r="R25" i="7"/>
  <c r="AI45" i="5" s="1"/>
  <c r="R29" i="7"/>
  <c r="R30" i="7"/>
  <c r="R43" i="7"/>
  <c r="R46" i="7"/>
  <c r="R47" i="7"/>
  <c r="R48" i="7"/>
  <c r="AI48" i="5" s="1"/>
  <c r="Q9" i="7"/>
  <c r="Q11" i="7" s="1"/>
  <c r="Q24" i="7"/>
  <c r="AH44" i="5" s="1"/>
  <c r="Q29" i="7"/>
  <c r="Q30" i="7"/>
  <c r="Q44" i="7"/>
  <c r="Q45" i="7"/>
  <c r="AH49" i="5" s="1"/>
  <c r="Q48" i="7"/>
  <c r="P11" i="7"/>
  <c r="P24" i="7"/>
  <c r="P25" i="7"/>
  <c r="AG45" i="5" s="1"/>
  <c r="P29" i="7"/>
  <c r="P30" i="7"/>
  <c r="P44" i="7"/>
  <c r="P45" i="7"/>
  <c r="P48" i="7"/>
  <c r="AG48" i="5" s="1"/>
  <c r="O11" i="7"/>
  <c r="O24" i="7"/>
  <c r="AF44" i="5" s="1"/>
  <c r="O25" i="7"/>
  <c r="AF45" i="5" s="1"/>
  <c r="O30" i="7"/>
  <c r="O44" i="7"/>
  <c r="O45" i="7"/>
  <c r="O48" i="7"/>
  <c r="N11" i="7"/>
  <c r="N24" i="7"/>
  <c r="AE44" i="5" s="1"/>
  <c r="N25" i="7"/>
  <c r="AE45" i="5" s="1"/>
  <c r="N30" i="7"/>
  <c r="N44" i="7"/>
  <c r="N45" i="7"/>
  <c r="N48" i="7"/>
  <c r="M11" i="7"/>
  <c r="M65" i="7"/>
  <c r="M24" i="7"/>
  <c r="M25" i="7"/>
  <c r="AD45" i="5" s="1"/>
  <c r="M30" i="7"/>
  <c r="M44" i="7"/>
  <c r="M48" i="7"/>
  <c r="L11" i="7"/>
  <c r="L24" i="7"/>
  <c r="AC44" i="5" s="1"/>
  <c r="L25" i="7"/>
  <c r="AC45" i="5" s="1"/>
  <c r="L30" i="7"/>
  <c r="L44" i="7"/>
  <c r="L45" i="7"/>
  <c r="L48" i="7"/>
  <c r="K11" i="7"/>
  <c r="K24" i="7"/>
  <c r="K25" i="7"/>
  <c r="K30" i="7"/>
  <c r="K44" i="7"/>
  <c r="K47" i="7"/>
  <c r="K45" i="7" s="1"/>
  <c r="J11" i="7"/>
  <c r="J30" i="7"/>
  <c r="J44" i="7"/>
  <c r="J46" i="7"/>
  <c r="J45" i="7" s="1"/>
  <c r="I11" i="7"/>
  <c r="I30" i="7"/>
  <c r="I46" i="7"/>
  <c r="I47" i="7"/>
  <c r="H11" i="7"/>
  <c r="H19" i="7"/>
  <c r="H27" i="7"/>
  <c r="H30" i="7"/>
  <c r="H44" i="7"/>
  <c r="H46" i="7"/>
  <c r="H45" i="7" s="1"/>
  <c r="G11" i="7"/>
  <c r="G30" i="7"/>
  <c r="G46" i="7"/>
  <c r="G45" i="7" s="1"/>
  <c r="G53" i="7" s="1"/>
  <c r="R54" i="8"/>
  <c r="R60" i="8" s="1"/>
  <c r="Q54" i="8"/>
  <c r="Q60" i="8" s="1"/>
  <c r="P54" i="8"/>
  <c r="P60" i="8" s="1"/>
  <c r="P14" i="8"/>
  <c r="O54" i="8"/>
  <c r="O60" i="8" s="1"/>
  <c r="AF33" i="5" s="1"/>
  <c r="N54" i="8"/>
  <c r="N60" i="8" s="1"/>
  <c r="M54" i="8"/>
  <c r="M60" i="8" s="1"/>
  <c r="L54" i="8"/>
  <c r="L60" i="8" s="1"/>
  <c r="K54" i="8"/>
  <c r="K60" i="8" s="1"/>
  <c r="J54" i="8"/>
  <c r="J60" i="8" s="1"/>
  <c r="X22" i="8"/>
  <c r="X36" i="8"/>
  <c r="X37" i="8" s="1"/>
  <c r="X24" i="8"/>
  <c r="W22" i="8"/>
  <c r="W23" i="8"/>
  <c r="W36" i="8"/>
  <c r="V22" i="8"/>
  <c r="AM13" i="5" s="1"/>
  <c r="V23" i="8"/>
  <c r="V36" i="8"/>
  <c r="V37" i="8" s="1"/>
  <c r="V24" i="8"/>
  <c r="U22" i="8"/>
  <c r="U23" i="8"/>
  <c r="U36" i="8"/>
  <c r="T22" i="8"/>
  <c r="T23" i="8"/>
  <c r="T36" i="8"/>
  <c r="S22" i="8"/>
  <c r="S23" i="8"/>
  <c r="R22" i="8"/>
  <c r="R37" i="8"/>
  <c r="P22" i="8"/>
  <c r="P37" i="8"/>
  <c r="P24" i="8"/>
  <c r="O24" i="8"/>
  <c r="N22" i="8"/>
  <c r="AE13" i="5" s="1"/>
  <c r="N24" i="8"/>
  <c r="AE14" i="5" s="1"/>
  <c r="M22" i="8"/>
  <c r="M24" i="8"/>
  <c r="AD14" i="5" s="1"/>
  <c r="L22" i="8"/>
  <c r="AC13" i="5" s="1"/>
  <c r="L24" i="8"/>
  <c r="K24" i="8"/>
  <c r="J22" i="8"/>
  <c r="J24" i="8"/>
  <c r="AN178" i="4"/>
  <c r="AO178" i="4" s="1"/>
  <c r="AP178" i="4" s="1"/>
  <c r="AQ178" i="4" s="1"/>
  <c r="AK371" i="4"/>
  <c r="AL371" i="4" s="1"/>
  <c r="AM371" i="4" s="1"/>
  <c r="AN371" i="4" s="1"/>
  <c r="AO371" i="4" s="1"/>
  <c r="AP371" i="4" s="1"/>
  <c r="AQ371" i="4" s="1"/>
  <c r="AK344" i="4"/>
  <c r="AL344" i="4" s="1"/>
  <c r="AM344" i="4" s="1"/>
  <c r="AN344" i="4" s="1"/>
  <c r="AO344" i="4" s="1"/>
  <c r="AP344" i="4" s="1"/>
  <c r="AQ344" i="4" s="1"/>
  <c r="AJ347" i="4"/>
  <c r="AL347" i="4" s="1"/>
  <c r="AM347" i="4" s="1"/>
  <c r="AN347" i="4" s="1"/>
  <c r="AO347" i="4" s="1"/>
  <c r="AP347" i="4" s="1"/>
  <c r="AQ347" i="4" s="1"/>
  <c r="AR347" i="4" s="1"/>
  <c r="AS347" i="4" s="1"/>
  <c r="AK206" i="4"/>
  <c r="AL206" i="4" s="1"/>
  <c r="AM206" i="4" s="1"/>
  <c r="AN206" i="4" s="1"/>
  <c r="AO206" i="4" s="1"/>
  <c r="AP206" i="4" s="1"/>
  <c r="AQ206" i="4" s="1"/>
  <c r="AE13" i="4"/>
  <c r="AE14" i="4"/>
  <c r="AE15" i="4"/>
  <c r="AE16" i="4"/>
  <c r="AE17" i="4"/>
  <c r="AE18" i="4"/>
  <c r="AE20" i="4"/>
  <c r="AE21" i="4"/>
  <c r="AE22" i="4"/>
  <c r="AE30" i="4"/>
  <c r="AE31" i="4"/>
  <c r="AE32" i="4"/>
  <c r="AE354" i="4"/>
  <c r="AE37" i="4" s="1"/>
  <c r="X282" i="12" s="1"/>
  <c r="X50" i="12" s="1"/>
  <c r="AE38" i="4"/>
  <c r="AE39" i="4"/>
  <c r="AE40" i="4"/>
  <c r="AE41" i="4"/>
  <c r="AE42" i="4"/>
  <c r="AE43" i="4"/>
  <c r="R76" i="6"/>
  <c r="R85" i="6"/>
  <c r="R143" i="6" s="1"/>
  <c r="Q76" i="6"/>
  <c r="Q84" i="6"/>
  <c r="Q85" i="6" s="1"/>
  <c r="J41" i="5" s="1"/>
  <c r="P76" i="6"/>
  <c r="P77" i="6"/>
  <c r="P85" i="6"/>
  <c r="O76" i="6"/>
  <c r="O77" i="6"/>
  <c r="O85" i="6"/>
  <c r="O143" i="6" s="1"/>
  <c r="N76" i="6"/>
  <c r="N77" i="6"/>
  <c r="N85" i="6"/>
  <c r="G41" i="5" s="1"/>
  <c r="M76" i="6"/>
  <c r="M77" i="6"/>
  <c r="M85" i="6"/>
  <c r="M143" i="6" s="1"/>
  <c r="L76" i="6"/>
  <c r="L77" i="6"/>
  <c r="K76" i="6"/>
  <c r="K77" i="6"/>
  <c r="L85" i="6"/>
  <c r="K85" i="6"/>
  <c r="D41" i="5" s="1"/>
  <c r="J76" i="6"/>
  <c r="J77" i="6"/>
  <c r="J85" i="6"/>
  <c r="J143" i="6" s="1"/>
  <c r="S85" i="6"/>
  <c r="L41" i="5" s="1"/>
  <c r="AA13" i="4"/>
  <c r="AA14" i="4"/>
  <c r="AA15" i="4"/>
  <c r="AA16" i="4"/>
  <c r="AA17" i="4"/>
  <c r="AA18" i="4"/>
  <c r="AA20" i="4"/>
  <c r="AA21" i="4"/>
  <c r="AA22" i="4"/>
  <c r="T326" i="12"/>
  <c r="T385" i="12" s="1"/>
  <c r="T178" i="6"/>
  <c r="T181" i="6"/>
  <c r="T182" i="6"/>
  <c r="T183" i="6"/>
  <c r="T185" i="6"/>
  <c r="T187" i="6"/>
  <c r="T85" i="6"/>
  <c r="U326" i="12"/>
  <c r="U385" i="12" s="1"/>
  <c r="U178" i="6"/>
  <c r="U321" i="12"/>
  <c r="U372" i="12" s="1"/>
  <c r="U182" i="6"/>
  <c r="U183" i="6"/>
  <c r="U185" i="6"/>
  <c r="U187" i="6"/>
  <c r="U84" i="6"/>
  <c r="V176" i="6"/>
  <c r="AR176" i="6" s="1"/>
  <c r="AQ176" i="6" s="1"/>
  <c r="V177" i="6"/>
  <c r="V178" i="6"/>
  <c r="AR178" i="6" s="1"/>
  <c r="AQ178" i="6" s="1"/>
  <c r="V179" i="6"/>
  <c r="V180" i="6"/>
  <c r="V181" i="6"/>
  <c r="V182" i="6"/>
  <c r="AR182" i="6" s="1"/>
  <c r="AQ182" i="6" s="1"/>
  <c r="V183" i="6"/>
  <c r="V185" i="6"/>
  <c r="V187" i="6"/>
  <c r="V85" i="6"/>
  <c r="W77" i="6"/>
  <c r="AU77" i="6" s="1"/>
  <c r="AT77" i="6" s="1"/>
  <c r="W85" i="6"/>
  <c r="X101" i="6"/>
  <c r="R33" i="15" s="1"/>
  <c r="X85" i="6"/>
  <c r="M133" i="4"/>
  <c r="M140" i="4" s="1"/>
  <c r="M147" i="4"/>
  <c r="M154" i="4" s="1"/>
  <c r="M15" i="4"/>
  <c r="M16" i="4"/>
  <c r="M17" i="4"/>
  <c r="M18" i="4"/>
  <c r="M20" i="4"/>
  <c r="M21" i="4"/>
  <c r="M22" i="4"/>
  <c r="F162" i="6"/>
  <c r="F337" i="12"/>
  <c r="F167" i="6"/>
  <c r="AG49" i="12"/>
  <c r="AH49" i="12" s="1"/>
  <c r="AI49" i="12" s="1"/>
  <c r="AJ49" i="12" s="1"/>
  <c r="AK49" i="12" s="1"/>
  <c r="AL49" i="12" s="1"/>
  <c r="L5" i="4"/>
  <c r="E5" i="12" s="1"/>
  <c r="AD13" i="4"/>
  <c r="AD14" i="4"/>
  <c r="AD1996" i="4" s="1"/>
  <c r="AD15" i="4"/>
  <c r="AD16" i="4"/>
  <c r="AD17" i="4"/>
  <c r="AD1999" i="4" s="1"/>
  <c r="AD18" i="4"/>
  <c r="AD2000" i="4" s="1"/>
  <c r="AD20" i="4"/>
  <c r="AD21" i="4"/>
  <c r="AD22" i="4"/>
  <c r="AD2004" i="4" s="1"/>
  <c r="AD280" i="4"/>
  <c r="AD285" i="4" s="1"/>
  <c r="AD289" i="4"/>
  <c r="AD293" i="4" s="1"/>
  <c r="AD254" i="4"/>
  <c r="AD30" i="4"/>
  <c r="AD31" i="4"/>
  <c r="AD2012" i="4" s="1"/>
  <c r="AD32" i="4"/>
  <c r="AD354" i="4"/>
  <c r="AD38" i="4"/>
  <c r="AD2018" i="4" s="1"/>
  <c r="AD39" i="4"/>
  <c r="AD2019" i="4" s="1"/>
  <c r="AD40" i="4"/>
  <c r="AD41" i="4"/>
  <c r="AD2021" i="4" s="1"/>
  <c r="AD42" i="4"/>
  <c r="AD2022" i="4" s="1"/>
  <c r="AD43" i="4"/>
  <c r="AD59" i="4"/>
  <c r="W16" i="6" s="1"/>
  <c r="G34" i="5"/>
  <c r="F34" i="5"/>
  <c r="E34" i="5"/>
  <c r="D34" i="5"/>
  <c r="N186" i="6"/>
  <c r="M186" i="6"/>
  <c r="F32" i="5" s="1"/>
  <c r="L186" i="6"/>
  <c r="BF42" i="15" s="1"/>
  <c r="K186" i="6"/>
  <c r="D32" i="5" s="1"/>
  <c r="L34" i="5"/>
  <c r="K34" i="5"/>
  <c r="J34" i="5"/>
  <c r="I34" i="5"/>
  <c r="H34" i="5"/>
  <c r="S186" i="6"/>
  <c r="R186" i="6"/>
  <c r="Q186" i="6"/>
  <c r="P186" i="6"/>
  <c r="O186" i="6"/>
  <c r="AP21" i="5"/>
  <c r="Q89" i="6"/>
  <c r="Y107" i="6"/>
  <c r="AP23" i="15"/>
  <c r="AQ23" i="15" s="1"/>
  <c r="B3" i="4"/>
  <c r="X21" i="8"/>
  <c r="X44" i="8"/>
  <c r="X46" i="8" s="1"/>
  <c r="Y331" i="12"/>
  <c r="AA187" i="6"/>
  <c r="BG187" i="6" s="1"/>
  <c r="BF187" i="6" s="1"/>
  <c r="Z381" i="12"/>
  <c r="AA381" i="12" s="1"/>
  <c r="Z187" i="6"/>
  <c r="S46" i="5"/>
  <c r="AA107" i="6"/>
  <c r="AA55" i="5"/>
  <c r="AA36" i="5"/>
  <c r="AA8" i="5"/>
  <c r="B8" i="5"/>
  <c r="B4" i="14"/>
  <c r="AC55" i="5"/>
  <c r="AD55" i="5"/>
  <c r="AE55" i="5"/>
  <c r="AF55" i="5"/>
  <c r="AG55" i="5"/>
  <c r="AH55" i="5"/>
  <c r="AI55" i="5"/>
  <c r="AJ55" i="5"/>
  <c r="AK55" i="5"/>
  <c r="AL55" i="5"/>
  <c r="AM55" i="5"/>
  <c r="AC36" i="5"/>
  <c r="AD36" i="5"/>
  <c r="AE36" i="5"/>
  <c r="AF36" i="5"/>
  <c r="AG36" i="5"/>
  <c r="AH36" i="5"/>
  <c r="AI36" i="5"/>
  <c r="AJ36" i="5"/>
  <c r="AK36" i="5"/>
  <c r="AL36" i="5"/>
  <c r="AM36" i="5"/>
  <c r="AC8" i="5"/>
  <c r="AD8" i="5"/>
  <c r="AE8" i="5"/>
  <c r="AF8" i="5"/>
  <c r="AG8" i="5"/>
  <c r="AH8" i="5"/>
  <c r="AI8" i="5"/>
  <c r="AJ8" i="5"/>
  <c r="AK8" i="5"/>
  <c r="AL8" i="5"/>
  <c r="AM8" i="5"/>
  <c r="D5" i="8"/>
  <c r="D65" i="8" s="1"/>
  <c r="E4" i="8"/>
  <c r="F4" i="8" s="1"/>
  <c r="G4" i="8" s="1"/>
  <c r="H4" i="8" s="1"/>
  <c r="I4" i="8" s="1"/>
  <c r="J4" i="8" s="1"/>
  <c r="K4" i="8" s="1"/>
  <c r="L4" i="8" s="1"/>
  <c r="M4" i="8" s="1"/>
  <c r="N4" i="8" s="1"/>
  <c r="O4" i="8" s="1"/>
  <c r="P4" i="8" s="1"/>
  <c r="Q4" i="8" s="1"/>
  <c r="R4" i="8" s="1"/>
  <c r="S4" i="8" s="1"/>
  <c r="T4" i="8" s="1"/>
  <c r="U4" i="8" s="1"/>
  <c r="V4" i="8" s="1"/>
  <c r="W4" i="8" s="1"/>
  <c r="X4" i="8" s="1"/>
  <c r="Y4" i="8" s="1"/>
  <c r="Z4" i="8" s="1"/>
  <c r="AA4" i="8" s="1"/>
  <c r="AB4" i="8" s="1"/>
  <c r="AC4" i="8" s="1"/>
  <c r="AD4" i="8" s="1"/>
  <c r="AE4" i="8" s="1"/>
  <c r="AF4" i="8" s="1"/>
  <c r="AG4" i="8" s="1"/>
  <c r="AH4" i="8" s="1"/>
  <c r="AI4" i="8" s="1"/>
  <c r="AJ4" i="8" s="1"/>
  <c r="AK4" i="8" s="1"/>
  <c r="AL4" i="8" s="1"/>
  <c r="B3" i="8"/>
  <c r="D5" i="7"/>
  <c r="E4" i="7"/>
  <c r="F4" i="7" s="1"/>
  <c r="G4" i="7" s="1"/>
  <c r="H4" i="7" s="1"/>
  <c r="I4" i="7" s="1"/>
  <c r="J4" i="7" s="1"/>
  <c r="K4" i="7" s="1"/>
  <c r="L4" i="7" s="1"/>
  <c r="M4" i="7" s="1"/>
  <c r="N4" i="7" s="1"/>
  <c r="O4" i="7" s="1"/>
  <c r="P4" i="7" s="1"/>
  <c r="Q4" i="7" s="1"/>
  <c r="R4" i="7" s="1"/>
  <c r="S4" i="7" s="1"/>
  <c r="T4" i="7" s="1"/>
  <c r="U4" i="7" s="1"/>
  <c r="V4" i="7" s="1"/>
  <c r="W4" i="7" s="1"/>
  <c r="X4" i="7" s="1"/>
  <c r="Y4" i="7" s="1"/>
  <c r="Z4" i="7" s="1"/>
  <c r="AA4" i="7" s="1"/>
  <c r="AB4" i="7" s="1"/>
  <c r="AC4" i="7" s="1"/>
  <c r="AD4" i="7" s="1"/>
  <c r="AE4" i="7" s="1"/>
  <c r="AF4" i="7" s="1"/>
  <c r="AG4" i="7" s="1"/>
  <c r="AH4" i="7" s="1"/>
  <c r="AI4" i="7" s="1"/>
  <c r="AJ4" i="7" s="1"/>
  <c r="AK4" i="7" s="1"/>
  <c r="AL4" i="7" s="1"/>
  <c r="B3" i="7"/>
  <c r="D5" i="6"/>
  <c r="E4" i="6"/>
  <c r="F4" i="6" s="1"/>
  <c r="G4" i="6" s="1"/>
  <c r="H4" i="6" s="1"/>
  <c r="I4" i="6" s="1"/>
  <c r="J4" i="6" s="1"/>
  <c r="K4" i="6" s="1"/>
  <c r="L4" i="6" s="1"/>
  <c r="M4" i="6" s="1"/>
  <c r="N4" i="6" s="1"/>
  <c r="O4" i="6" s="1"/>
  <c r="P4" i="6" s="1"/>
  <c r="Q4" i="6" s="1"/>
  <c r="R4" i="6" s="1"/>
  <c r="S4" i="6" s="1"/>
  <c r="T4" i="6" s="1"/>
  <c r="U4" i="6" s="1"/>
  <c r="V4" i="6" s="1"/>
  <c r="W4" i="6" s="1"/>
  <c r="X4" i="6" s="1"/>
  <c r="Y4" i="6" s="1"/>
  <c r="Z4" i="6" s="1"/>
  <c r="AA4" i="6" s="1"/>
  <c r="AB4" i="6" s="1"/>
  <c r="AC4" i="6" s="1"/>
  <c r="AD4" i="6" s="1"/>
  <c r="AE4" i="6" s="1"/>
  <c r="AF4" i="6" s="1"/>
  <c r="AG4" i="6" s="1"/>
  <c r="AH4" i="6" s="1"/>
  <c r="AI4" i="6" s="1"/>
  <c r="AJ4" i="6" s="1"/>
  <c r="AK4" i="6" s="1"/>
  <c r="AL4" i="6" s="1"/>
  <c r="B3" i="6"/>
  <c r="B3" i="12"/>
  <c r="B4" i="12"/>
  <c r="E4" i="12"/>
  <c r="F4" i="12" s="1"/>
  <c r="G4" i="12" s="1"/>
  <c r="H4" i="12" s="1"/>
  <c r="I4" i="12" s="1"/>
  <c r="J4" i="12" s="1"/>
  <c r="K4" i="12" s="1"/>
  <c r="L4" i="12" s="1"/>
  <c r="M4" i="12" s="1"/>
  <c r="N4" i="12" s="1"/>
  <c r="O4" i="12" s="1"/>
  <c r="P4" i="12" s="1"/>
  <c r="Q4" i="12" s="1"/>
  <c r="R4" i="12" s="1"/>
  <c r="S4" i="12" s="1"/>
  <c r="T4" i="12" s="1"/>
  <c r="U4" i="12" s="1"/>
  <c r="V4" i="12" s="1"/>
  <c r="W4" i="12" s="1"/>
  <c r="X4" i="12" s="1"/>
  <c r="Y4" i="12" s="1"/>
  <c r="Z4" i="12" s="1"/>
  <c r="AA4" i="12" s="1"/>
  <c r="AB4" i="12" s="1"/>
  <c r="AC4" i="12" s="1"/>
  <c r="AD4" i="12" s="1"/>
  <c r="AE4" i="12" s="1"/>
  <c r="AF4" i="12" s="1"/>
  <c r="AG4" i="12" s="1"/>
  <c r="AH4" i="12" s="1"/>
  <c r="AI4" i="12" s="1"/>
  <c r="AJ4" i="12" s="1"/>
  <c r="AK4" i="12" s="1"/>
  <c r="AL4" i="12" s="1"/>
  <c r="B4" i="4"/>
  <c r="B4" i="15" s="1"/>
  <c r="AY39" i="15" s="1"/>
  <c r="E4" i="4"/>
  <c r="F4" i="4" s="1"/>
  <c r="G4" i="4" s="1"/>
  <c r="H4" i="4" s="1"/>
  <c r="I4" i="4" s="1"/>
  <c r="J4" i="4" s="1"/>
  <c r="K4" i="4" s="1"/>
  <c r="L4" i="4" s="1"/>
  <c r="M4" i="4" s="1"/>
  <c r="N4" i="4" s="1"/>
  <c r="O4" i="4" s="1"/>
  <c r="P4" i="4" s="1"/>
  <c r="Q4" i="4" s="1"/>
  <c r="R4" i="4" s="1"/>
  <c r="S4" i="4" s="1"/>
  <c r="T4" i="4" s="1"/>
  <c r="U4" i="4" s="1"/>
  <c r="V4" i="4" s="1"/>
  <c r="W4" i="4" s="1"/>
  <c r="X4" i="4" s="1"/>
  <c r="Y4" i="4" s="1"/>
  <c r="Z4" i="4" s="1"/>
  <c r="AA4" i="4" s="1"/>
  <c r="AD4" i="4" s="1"/>
  <c r="AE4" i="4" s="1"/>
  <c r="AF4" i="4" s="1"/>
  <c r="AG4" i="4" s="1"/>
  <c r="AH4" i="4" s="1"/>
  <c r="AI4" i="4" s="1"/>
  <c r="AJ4" i="4" s="1"/>
  <c r="AK4" i="4" s="1"/>
  <c r="AL4" i="4" s="1"/>
  <c r="AM4" i="4" s="1"/>
  <c r="AN4" i="4" s="1"/>
  <c r="AO4" i="4" s="1"/>
  <c r="AP4" i="4" s="1"/>
  <c r="AQ4" i="4" s="1"/>
  <c r="AR4" i="4" s="1"/>
  <c r="AS4" i="4" s="1"/>
  <c r="B3" i="15"/>
  <c r="B3" i="14"/>
  <c r="B3" i="5"/>
  <c r="W101" i="6"/>
  <c r="Y187" i="6"/>
  <c r="BA187" i="6" s="1"/>
  <c r="AZ187" i="6" s="1"/>
  <c r="X176" i="6"/>
  <c r="X177" i="6"/>
  <c r="AX177" i="6" s="1"/>
  <c r="AW177" i="6" s="1"/>
  <c r="X178" i="6"/>
  <c r="X179" i="6"/>
  <c r="X180" i="6"/>
  <c r="X181" i="6"/>
  <c r="AX181" i="6" s="1"/>
  <c r="AW181" i="6" s="1"/>
  <c r="X182" i="6"/>
  <c r="AX182" i="6" s="1"/>
  <c r="AW182" i="6" s="1"/>
  <c r="X183" i="6"/>
  <c r="AX183" i="6" s="1"/>
  <c r="AW183" i="6" s="1"/>
  <c r="X185" i="6"/>
  <c r="X187" i="6"/>
  <c r="AX187" i="6" s="1"/>
  <c r="AW187" i="6" s="1"/>
  <c r="W176" i="6"/>
  <c r="W177" i="6"/>
  <c r="W178" i="6"/>
  <c r="AU178" i="6" s="1"/>
  <c r="AT178" i="6" s="1"/>
  <c r="W179" i="6"/>
  <c r="W180" i="6"/>
  <c r="W181" i="6"/>
  <c r="W182" i="6"/>
  <c r="AU182" i="6" s="1"/>
  <c r="AT182" i="6" s="1"/>
  <c r="W183" i="6"/>
  <c r="AU183" i="6" s="1"/>
  <c r="AT183" i="6" s="1"/>
  <c r="W185" i="6"/>
  <c r="W187" i="6"/>
  <c r="AU187" i="6" s="1"/>
  <c r="AS187" i="6"/>
  <c r="I76" i="6"/>
  <c r="I77" i="6"/>
  <c r="I85" i="6"/>
  <c r="I143" i="6" s="1"/>
  <c r="H76" i="6"/>
  <c r="H77" i="6"/>
  <c r="H85" i="6"/>
  <c r="H143" i="6" s="1"/>
  <c r="G76" i="6"/>
  <c r="G77" i="6"/>
  <c r="G85" i="6"/>
  <c r="G143" i="6" s="1"/>
  <c r="F76" i="6"/>
  <c r="F77" i="6"/>
  <c r="F85" i="6"/>
  <c r="F143" i="6" s="1"/>
  <c r="E76" i="6"/>
  <c r="E77" i="6"/>
  <c r="D76" i="6"/>
  <c r="D77" i="6"/>
  <c r="D85" i="6"/>
  <c r="D143" i="6" s="1"/>
  <c r="T331" i="12"/>
  <c r="T333" i="12" s="1"/>
  <c r="T394" i="12" s="1"/>
  <c r="T165" i="6"/>
  <c r="T169" i="6"/>
  <c r="T170" i="6"/>
  <c r="U331" i="12"/>
  <c r="U333" i="12" s="1"/>
  <c r="U394" i="12" s="1"/>
  <c r="U165" i="6"/>
  <c r="U169" i="6"/>
  <c r="U340" i="12" s="1"/>
  <c r="U398" i="12" s="1"/>
  <c r="U170" i="6"/>
  <c r="S326" i="12"/>
  <c r="S385" i="12" s="1"/>
  <c r="Z13" i="4"/>
  <c r="Z14" i="4"/>
  <c r="Z15" i="4"/>
  <c r="Z16" i="4"/>
  <c r="Z17" i="4"/>
  <c r="Z18" i="4"/>
  <c r="Z20" i="4"/>
  <c r="Z21" i="4"/>
  <c r="Z22" i="4"/>
  <c r="S165" i="6"/>
  <c r="S169" i="6"/>
  <c r="S340" i="12" s="1"/>
  <c r="S398" i="12" s="1"/>
  <c r="S423" i="12" s="1"/>
  <c r="S170" i="6"/>
  <c r="AE369" i="4"/>
  <c r="AE370" i="4"/>
  <c r="AE371" i="4"/>
  <c r="AE372" i="4"/>
  <c r="AE373" i="4"/>
  <c r="AE1983" i="4"/>
  <c r="AO2009" i="4"/>
  <c r="AN2009" i="4"/>
  <c r="AM2009" i="4"/>
  <c r="AL2009" i="4"/>
  <c r="AK2009" i="4"/>
  <c r="AJ2009" i="4"/>
  <c r="AI2009" i="4"/>
  <c r="AH2009" i="4"/>
  <c r="AE28" i="4"/>
  <c r="AD28" i="4"/>
  <c r="AD2009" i="4" s="1"/>
  <c r="AO2008" i="4"/>
  <c r="AN2008" i="4"/>
  <c r="AM2008" i="4"/>
  <c r="AL2008" i="4"/>
  <c r="AK2008" i="4"/>
  <c r="AJ2008" i="4"/>
  <c r="AI2008" i="4"/>
  <c r="AH2008" i="4"/>
  <c r="AE27" i="4"/>
  <c r="AD27" i="4"/>
  <c r="AD2008" i="4" s="1"/>
  <c r="AE200" i="4"/>
  <c r="AE222" i="4" s="1"/>
  <c r="AE181" i="4"/>
  <c r="AD181" i="4"/>
  <c r="AD200" i="4"/>
  <c r="AD222" i="4" s="1"/>
  <c r="AD223" i="4" s="1"/>
  <c r="AD374" i="4"/>
  <c r="AD1983" i="4"/>
  <c r="AD1984" i="4"/>
  <c r="K185" i="4"/>
  <c r="AA193" i="4"/>
  <c r="Y185" i="4"/>
  <c r="Y192" i="4" s="1"/>
  <c r="Z193" i="4"/>
  <c r="X185" i="4"/>
  <c r="Y193" i="4"/>
  <c r="W185" i="4"/>
  <c r="X193" i="4"/>
  <c r="V185" i="4"/>
  <c r="W193" i="4"/>
  <c r="U185" i="4"/>
  <c r="U192" i="4" s="1"/>
  <c r="V193" i="4"/>
  <c r="T185" i="4"/>
  <c r="T192" i="4" s="1"/>
  <c r="U193" i="4"/>
  <c r="S185" i="4"/>
  <c r="S192" i="4" s="1"/>
  <c r="T193" i="4"/>
  <c r="R185" i="4"/>
  <c r="S193" i="4"/>
  <c r="Q185" i="4"/>
  <c r="Q192" i="4" s="1"/>
  <c r="R193" i="4"/>
  <c r="P185" i="4"/>
  <c r="Q193" i="4"/>
  <c r="O185" i="4"/>
  <c r="O192" i="4" s="1"/>
  <c r="P193" i="4"/>
  <c r="N185" i="4"/>
  <c r="N192" i="4" s="1"/>
  <c r="O193" i="4"/>
  <c r="M185" i="4"/>
  <c r="N193" i="4"/>
  <c r="L185" i="4"/>
  <c r="L192" i="4" s="1"/>
  <c r="L193" i="4"/>
  <c r="M193" i="4"/>
  <c r="AD193" i="4"/>
  <c r="Z200" i="4"/>
  <c r="Z222" i="4" s="1"/>
  <c r="AD227" i="4"/>
  <c r="AA227" i="4"/>
  <c r="Z227" i="4"/>
  <c r="AB348" i="12"/>
  <c r="AC348" i="12" s="1"/>
  <c r="AD348" i="12" s="1"/>
  <c r="AE348" i="12" s="1"/>
  <c r="AF348" i="12" s="1"/>
  <c r="AG348" i="12" s="1"/>
  <c r="AH348" i="12" s="1"/>
  <c r="AI348" i="12" s="1"/>
  <c r="AJ348" i="12" s="1"/>
  <c r="AH215" i="6"/>
  <c r="BN215" i="6" s="1"/>
  <c r="AC215" i="6"/>
  <c r="AF185" i="6"/>
  <c r="V101" i="6"/>
  <c r="V127" i="6" s="1"/>
  <c r="AQ11" i="15"/>
  <c r="AQ10" i="15"/>
  <c r="AQ12" i="15"/>
  <c r="AQ13" i="15"/>
  <c r="AQ14" i="15"/>
  <c r="AQ15" i="15"/>
  <c r="AQ16" i="15"/>
  <c r="Q89" i="8"/>
  <c r="R89" i="8" s="1"/>
  <c r="R90" i="8" s="1"/>
  <c r="T25" i="7"/>
  <c r="AK45" i="5" s="1"/>
  <c r="T29" i="7"/>
  <c r="T30" i="7"/>
  <c r="T9" i="7"/>
  <c r="T11" i="7" s="1"/>
  <c r="T43" i="7"/>
  <c r="T46" i="7"/>
  <c r="T45" i="7" s="1"/>
  <c r="T21" i="8"/>
  <c r="T26" i="8"/>
  <c r="T44" i="8"/>
  <c r="T45" i="8"/>
  <c r="T46" i="8"/>
  <c r="C65" i="8"/>
  <c r="D5" i="12"/>
  <c r="J336" i="12"/>
  <c r="R326" i="12"/>
  <c r="R385" i="12" s="1"/>
  <c r="K13" i="4"/>
  <c r="K147" i="4"/>
  <c r="K154" i="4" s="1"/>
  <c r="K14" i="4" s="1"/>
  <c r="K15" i="4"/>
  <c r="K16" i="4"/>
  <c r="K17" i="4"/>
  <c r="K18" i="4"/>
  <c r="K20" i="4"/>
  <c r="K21" i="4"/>
  <c r="K22" i="4"/>
  <c r="L133" i="4"/>
  <c r="L140" i="4" s="1"/>
  <c r="L13" i="4" s="1"/>
  <c r="L147" i="4"/>
  <c r="L154" i="4" s="1"/>
  <c r="L14" i="4" s="1"/>
  <c r="L15" i="4"/>
  <c r="L16" i="4"/>
  <c r="L17" i="4"/>
  <c r="L18" i="4"/>
  <c r="L20" i="4"/>
  <c r="L21" i="4"/>
  <c r="L22" i="4"/>
  <c r="N133" i="4"/>
  <c r="N140" i="4" s="1"/>
  <c r="N147" i="4"/>
  <c r="N154" i="4" s="1"/>
  <c r="N14" i="4" s="1"/>
  <c r="N15" i="4"/>
  <c r="N16" i="4"/>
  <c r="N17" i="4"/>
  <c r="N18" i="4"/>
  <c r="N20" i="4"/>
  <c r="N21" i="4"/>
  <c r="N22" i="4"/>
  <c r="O133" i="4"/>
  <c r="O140" i="4" s="1"/>
  <c r="O13" i="4" s="1"/>
  <c r="O147" i="4"/>
  <c r="O154" i="4" s="1"/>
  <c r="O14" i="4" s="1"/>
  <c r="O15" i="4"/>
  <c r="O16" i="4"/>
  <c r="O17" i="4"/>
  <c r="O18" i="4"/>
  <c r="O20" i="4"/>
  <c r="O21" i="4"/>
  <c r="O22" i="4"/>
  <c r="P133" i="4"/>
  <c r="P140" i="4" s="1"/>
  <c r="P13" i="4" s="1"/>
  <c r="P147" i="4"/>
  <c r="P154" i="4" s="1"/>
  <c r="P14" i="4" s="1"/>
  <c r="P15" i="4"/>
  <c r="P16" i="4"/>
  <c r="P17" i="4"/>
  <c r="P18" i="4"/>
  <c r="P20" i="4"/>
  <c r="P21" i="4"/>
  <c r="P22" i="4"/>
  <c r="Q133" i="4"/>
  <c r="Q140" i="4" s="1"/>
  <c r="Q147" i="4"/>
  <c r="Q154" i="4" s="1"/>
  <c r="Q14" i="4" s="1"/>
  <c r="Q15" i="4"/>
  <c r="Q16" i="4"/>
  <c r="Q17" i="4"/>
  <c r="Q18" i="4"/>
  <c r="Q20" i="4"/>
  <c r="Q21" i="4"/>
  <c r="Q22" i="4"/>
  <c r="R133" i="4"/>
  <c r="R140" i="4" s="1"/>
  <c r="R147" i="4"/>
  <c r="R154" i="4" s="1"/>
  <c r="R14" i="4" s="1"/>
  <c r="R15" i="4"/>
  <c r="R16" i="4"/>
  <c r="R17" i="4"/>
  <c r="R18" i="4"/>
  <c r="R20" i="4"/>
  <c r="R21" i="4"/>
  <c r="R22" i="4"/>
  <c r="S133" i="4"/>
  <c r="S140" i="4" s="1"/>
  <c r="S147" i="4"/>
  <c r="S154" i="4" s="1"/>
  <c r="S14" i="4" s="1"/>
  <c r="S15" i="4"/>
  <c r="S16" i="4"/>
  <c r="S17" i="4"/>
  <c r="S18" i="4"/>
  <c r="S20" i="4"/>
  <c r="S21" i="4"/>
  <c r="S22" i="4"/>
  <c r="T13" i="4"/>
  <c r="T14" i="4"/>
  <c r="T15" i="4"/>
  <c r="T16" i="4"/>
  <c r="T17" i="4"/>
  <c r="T18" i="4"/>
  <c r="T20" i="4"/>
  <c r="T21" i="4"/>
  <c r="T22" i="4"/>
  <c r="U13" i="4"/>
  <c r="U14" i="4"/>
  <c r="U15" i="4"/>
  <c r="U16" i="4"/>
  <c r="U17" i="4"/>
  <c r="U18" i="4"/>
  <c r="U20" i="4"/>
  <c r="U21" i="4"/>
  <c r="U22" i="4"/>
  <c r="V13" i="4"/>
  <c r="V14" i="4"/>
  <c r="V15" i="4"/>
  <c r="V16" i="4"/>
  <c r="V17" i="4"/>
  <c r="V18" i="4"/>
  <c r="V20" i="4"/>
  <c r="V21" i="4"/>
  <c r="V22" i="4"/>
  <c r="W13" i="4"/>
  <c r="W14" i="4"/>
  <c r="W15" i="4"/>
  <c r="W16" i="4"/>
  <c r="W17" i="4"/>
  <c r="W18" i="4"/>
  <c r="W20" i="4"/>
  <c r="W21" i="4"/>
  <c r="W22" i="4"/>
  <c r="X13" i="4"/>
  <c r="X14" i="4"/>
  <c r="X15" i="4"/>
  <c r="X16" i="4"/>
  <c r="X17" i="4"/>
  <c r="X18" i="4"/>
  <c r="X20" i="4"/>
  <c r="X21" i="4"/>
  <c r="X22" i="4"/>
  <c r="Y13" i="4"/>
  <c r="Y14" i="4"/>
  <c r="Y15" i="4"/>
  <c r="Y16" i="4"/>
  <c r="Y17" i="4"/>
  <c r="Y18" i="4"/>
  <c r="Y20" i="4"/>
  <c r="Y21" i="4"/>
  <c r="Y22" i="4"/>
  <c r="D162" i="6"/>
  <c r="E162" i="6"/>
  <c r="G162" i="6"/>
  <c r="I162" i="6"/>
  <c r="K162" i="6"/>
  <c r="N162" i="6"/>
  <c r="Q162" i="6"/>
  <c r="V162" i="6"/>
  <c r="AR162" i="6" s="1"/>
  <c r="AQ162" i="6" s="1"/>
  <c r="V331" i="12"/>
  <c r="W331" i="12"/>
  <c r="X331" i="12"/>
  <c r="V164" i="6"/>
  <c r="AR164" i="6" s="1"/>
  <c r="AQ164" i="6" s="1"/>
  <c r="W164" i="6"/>
  <c r="AU164" i="6" s="1"/>
  <c r="AT164" i="6" s="1"/>
  <c r="X164" i="6"/>
  <c r="AX164" i="6" s="1"/>
  <c r="AW164" i="6" s="1"/>
  <c r="R165" i="6"/>
  <c r="AP165" i="6"/>
  <c r="AP168" i="6" s="1"/>
  <c r="AF339" i="12" s="1"/>
  <c r="AS165" i="6"/>
  <c r="AS168" i="6" s="1"/>
  <c r="AI339" i="12" s="1"/>
  <c r="D336" i="12"/>
  <c r="D337" i="12"/>
  <c r="E336" i="12"/>
  <c r="E337" i="12"/>
  <c r="G336" i="12"/>
  <c r="G337" i="12"/>
  <c r="H337" i="12"/>
  <c r="I336" i="12"/>
  <c r="I337" i="12"/>
  <c r="J337" i="12"/>
  <c r="K337" i="12"/>
  <c r="L337" i="12"/>
  <c r="M337" i="12"/>
  <c r="N336" i="12"/>
  <c r="N337" i="12"/>
  <c r="O336" i="12"/>
  <c r="Q336" i="12"/>
  <c r="Q337" i="12"/>
  <c r="R337" i="12"/>
  <c r="R331" i="12"/>
  <c r="T166" i="6"/>
  <c r="D167" i="6"/>
  <c r="E167" i="6"/>
  <c r="G167" i="6"/>
  <c r="H167" i="6"/>
  <c r="I167" i="6"/>
  <c r="J167" i="6"/>
  <c r="K167" i="6"/>
  <c r="L167" i="6"/>
  <c r="M167" i="6"/>
  <c r="N167" i="6"/>
  <c r="O167" i="6"/>
  <c r="P167" i="6"/>
  <c r="Q167" i="6"/>
  <c r="R167" i="6"/>
  <c r="AV168" i="6"/>
  <c r="AY168" i="6"/>
  <c r="AY171" i="6" s="1"/>
  <c r="D169" i="6"/>
  <c r="E169" i="6"/>
  <c r="F169" i="6"/>
  <c r="G169" i="6"/>
  <c r="H169" i="6"/>
  <c r="I169" i="6"/>
  <c r="J169" i="6"/>
  <c r="K170" i="6"/>
  <c r="L170" i="6"/>
  <c r="M169" i="6"/>
  <c r="N169" i="6"/>
  <c r="O169" i="6"/>
  <c r="P169" i="6"/>
  <c r="P340" i="12" s="1"/>
  <c r="Q169" i="6"/>
  <c r="Q340" i="12" s="1"/>
  <c r="R169" i="6"/>
  <c r="R340" i="12" s="1"/>
  <c r="R398" i="12" s="1"/>
  <c r="AR169" i="6"/>
  <c r="AQ169" i="6" s="1"/>
  <c r="AG340" i="12" s="1"/>
  <c r="AG398" i="12" s="1"/>
  <c r="AG423" i="12" s="1"/>
  <c r="AU169" i="6"/>
  <c r="AX169" i="6"/>
  <c r="AW169" i="6" s="1"/>
  <c r="BA169" i="6"/>
  <c r="AZ169" i="6" s="1"/>
  <c r="BC169" i="6"/>
  <c r="BG169" i="6"/>
  <c r="BF169" i="6" s="1"/>
  <c r="BH169" i="6"/>
  <c r="BI169" i="6"/>
  <c r="BJ169" i="6"/>
  <c r="BK169" i="6"/>
  <c r="BL169" i="6"/>
  <c r="BM169" i="6"/>
  <c r="BN169" i="6"/>
  <c r="J170" i="6"/>
  <c r="N170" i="6"/>
  <c r="O170" i="6"/>
  <c r="Q170" i="6"/>
  <c r="R170" i="6"/>
  <c r="V170" i="6"/>
  <c r="AR170" i="6" s="1"/>
  <c r="AQ170" i="6" s="1"/>
  <c r="W170" i="6"/>
  <c r="AU170" i="6" s="1"/>
  <c r="AT170" i="6" s="1"/>
  <c r="X170" i="6"/>
  <c r="AX170" i="6" s="1"/>
  <c r="AW170" i="6" s="1"/>
  <c r="AS172" i="6"/>
  <c r="AV172" i="6"/>
  <c r="AY172" i="6"/>
  <c r="D176" i="6"/>
  <c r="E176" i="6"/>
  <c r="F176" i="6"/>
  <c r="G176" i="6"/>
  <c r="H176" i="6"/>
  <c r="Z349" i="12"/>
  <c r="AA349" i="12" s="1"/>
  <c r="AB349" i="12" s="1"/>
  <c r="AC349" i="12" s="1"/>
  <c r="AD349" i="12" s="1"/>
  <c r="AE349" i="12" s="1"/>
  <c r="AF349" i="12" s="1"/>
  <c r="AG349" i="12" s="1"/>
  <c r="AH349" i="12" s="1"/>
  <c r="AI349" i="12" s="1"/>
  <c r="AJ349" i="12" s="1"/>
  <c r="AK349" i="12" s="1"/>
  <c r="AL349" i="12" s="1"/>
  <c r="AL370" i="12" s="1"/>
  <c r="D179" i="6"/>
  <c r="E179" i="6"/>
  <c r="F179" i="6"/>
  <c r="G179" i="6"/>
  <c r="H179" i="6"/>
  <c r="K180" i="6"/>
  <c r="L180" i="6"/>
  <c r="M180" i="6"/>
  <c r="N180" i="6"/>
  <c r="O180" i="6"/>
  <c r="P180" i="6"/>
  <c r="Q180" i="6"/>
  <c r="Z351" i="12"/>
  <c r="AA351" i="12" s="1"/>
  <c r="AB351" i="12" s="1"/>
  <c r="AC351" i="12" s="1"/>
  <c r="AD351" i="12" s="1"/>
  <c r="AE351" i="12" s="1"/>
  <c r="AF351" i="12" s="1"/>
  <c r="AG351" i="12" s="1"/>
  <c r="AH351" i="12" s="1"/>
  <c r="AI351" i="12" s="1"/>
  <c r="AJ351" i="12" s="1"/>
  <c r="X322" i="12"/>
  <c r="X352" i="12" s="1"/>
  <c r="Y352" i="12" s="1"/>
  <c r="Z352" i="12" s="1"/>
  <c r="AA352" i="12" s="1"/>
  <c r="AB352" i="12" s="1"/>
  <c r="AC352" i="12" s="1"/>
  <c r="AD352" i="12" s="1"/>
  <c r="AE352" i="12" s="1"/>
  <c r="AF352" i="12" s="1"/>
  <c r="AG352" i="12" s="1"/>
  <c r="AH352" i="12" s="1"/>
  <c r="AI352" i="12" s="1"/>
  <c r="AJ352" i="12" s="1"/>
  <c r="Y374" i="12"/>
  <c r="Z374" i="12" s="1"/>
  <c r="Z182" i="6" s="1"/>
  <c r="Y377" i="12"/>
  <c r="Y183" i="6" s="1"/>
  <c r="BA183" i="6" s="1"/>
  <c r="AZ183" i="6" s="1"/>
  <c r="AP184" i="6"/>
  <c r="AP186" i="6" s="1"/>
  <c r="AP189" i="6" s="1"/>
  <c r="AS184" i="6"/>
  <c r="AS186" i="6" s="1"/>
  <c r="AY184" i="6"/>
  <c r="J186" i="6"/>
  <c r="BD42" i="15" s="1"/>
  <c r="AB187" i="6"/>
  <c r="AC187" i="6"/>
  <c r="BI187" i="6" s="1"/>
  <c r="AD187" i="6"/>
  <c r="BJ187" i="6" s="1"/>
  <c r="AE187" i="6"/>
  <c r="BK187" i="6" s="1"/>
  <c r="AF187" i="6"/>
  <c r="BL187" i="6" s="1"/>
  <c r="AG187" i="6"/>
  <c r="BM187" i="6" s="1"/>
  <c r="AH187" i="6"/>
  <c r="BN187" i="6" s="1"/>
  <c r="W188" i="6"/>
  <c r="X188" i="6"/>
  <c r="Y188" i="6"/>
  <c r="L190" i="6"/>
  <c r="M190" i="6"/>
  <c r="N190" i="6"/>
  <c r="O190" i="6"/>
  <c r="P190" i="6"/>
  <c r="Q190" i="6"/>
  <c r="R190" i="6"/>
  <c r="S190" i="6"/>
  <c r="F193" i="6"/>
  <c r="G192" i="6"/>
  <c r="I192" i="6"/>
  <c r="I193" i="6" s="1"/>
  <c r="K193" i="6"/>
  <c r="AR195" i="6"/>
  <c r="AQ195" i="6" s="1"/>
  <c r="AU195" i="6"/>
  <c r="AT195" i="6" s="1"/>
  <c r="AX195" i="6"/>
  <c r="AW195" i="6" s="1"/>
  <c r="BA195" i="6"/>
  <c r="AZ195" i="6" s="1"/>
  <c r="BC195" i="6"/>
  <c r="BG195" i="6"/>
  <c r="BF195" i="6" s="1"/>
  <c r="BH195" i="6"/>
  <c r="BI195" i="6"/>
  <c r="BJ195" i="6"/>
  <c r="BK195" i="6"/>
  <c r="BL195" i="6"/>
  <c r="BM195" i="6"/>
  <c r="BN195" i="6"/>
  <c r="AS28" i="15"/>
  <c r="AD474" i="4"/>
  <c r="AE474" i="4"/>
  <c r="V25" i="7"/>
  <c r="AM45" i="5" s="1"/>
  <c r="U25" i="7"/>
  <c r="AL45" i="5" s="1"/>
  <c r="V21" i="12"/>
  <c r="W193" i="12" s="1"/>
  <c r="H22" i="8"/>
  <c r="G22" i="8"/>
  <c r="F22" i="8"/>
  <c r="D22" i="8"/>
  <c r="Y27" i="6"/>
  <c r="C25" i="6"/>
  <c r="W24" i="12"/>
  <c r="W427" i="12" s="1"/>
  <c r="X24" i="12"/>
  <c r="X301" i="12"/>
  <c r="X302" i="12"/>
  <c r="X303" i="12"/>
  <c r="X33" i="12"/>
  <c r="X40" i="12" s="1"/>
  <c r="W33" i="12"/>
  <c r="W40" i="12" s="1"/>
  <c r="W44" i="12" s="1"/>
  <c r="X305" i="12"/>
  <c r="X306" i="12"/>
  <c r="X307" i="12"/>
  <c r="X308" i="12"/>
  <c r="X310" i="12"/>
  <c r="X311" i="12"/>
  <c r="Y311" i="12"/>
  <c r="Z311" i="12"/>
  <c r="AA311" i="12"/>
  <c r="X312" i="12"/>
  <c r="Y312" i="12"/>
  <c r="Z312" i="12"/>
  <c r="X300" i="12"/>
  <c r="X294" i="12"/>
  <c r="W294" i="12"/>
  <c r="Y294" i="12"/>
  <c r="AA294" i="12"/>
  <c r="AB294" i="12"/>
  <c r="AC294" i="12"/>
  <c r="AD294" i="12"/>
  <c r="AE294" i="12"/>
  <c r="AF294" i="12"/>
  <c r="AG294" i="12"/>
  <c r="AH294" i="12"/>
  <c r="AD62" i="12"/>
  <c r="AE62" i="12" s="1"/>
  <c r="AF62" i="12" s="1"/>
  <c r="AG62" i="12" s="1"/>
  <c r="AH62" i="12" s="1"/>
  <c r="AI62" i="12" s="1"/>
  <c r="AJ62" i="12" s="1"/>
  <c r="AK62" i="12" s="1"/>
  <c r="AL62" i="12" s="1"/>
  <c r="AD61" i="12"/>
  <c r="AE61" i="12" s="1"/>
  <c r="AF61" i="12" s="1"/>
  <c r="AG61" i="12" s="1"/>
  <c r="AH61" i="12" s="1"/>
  <c r="AI61" i="12" s="1"/>
  <c r="AJ61" i="12" s="1"/>
  <c r="AK61" i="12" s="1"/>
  <c r="AL61" i="12" s="1"/>
  <c r="AE400" i="4"/>
  <c r="AD400" i="4"/>
  <c r="AD396" i="4"/>
  <c r="AD397" i="4" s="1"/>
  <c r="AD398" i="4" s="1"/>
  <c r="AE395" i="4"/>
  <c r="AD395" i="4"/>
  <c r="AE390" i="4"/>
  <c r="AD390" i="4"/>
  <c r="AD386" i="4"/>
  <c r="AD387" i="4" s="1"/>
  <c r="AD388" i="4" s="1"/>
  <c r="AE385" i="4"/>
  <c r="AD385" i="4"/>
  <c r="AE345" i="4"/>
  <c r="AE348" i="4" s="1"/>
  <c r="W264" i="12"/>
  <c r="X264" i="12"/>
  <c r="W268" i="12"/>
  <c r="V268" i="12"/>
  <c r="X268" i="12"/>
  <c r="V207" i="12"/>
  <c r="V208" i="12" s="1"/>
  <c r="V209" i="12" s="1"/>
  <c r="V202" i="12"/>
  <c r="W208" i="12"/>
  <c r="W209" i="12" s="1"/>
  <c r="W202" i="12"/>
  <c r="X201" i="12"/>
  <c r="W201" i="12"/>
  <c r="X200" i="12"/>
  <c r="AE366" i="4"/>
  <c r="AD366" i="4"/>
  <c r="AD375" i="4" s="1"/>
  <c r="AE308" i="4"/>
  <c r="AD308" i="4"/>
  <c r="AE191" i="4"/>
  <c r="AD191" i="4"/>
  <c r="AA191" i="4"/>
  <c r="Z191" i="4"/>
  <c r="Y191" i="4"/>
  <c r="X191" i="4"/>
  <c r="W191" i="4"/>
  <c r="V191" i="4"/>
  <c r="U191" i="4"/>
  <c r="T191" i="4"/>
  <c r="S191" i="4"/>
  <c r="R191" i="4"/>
  <c r="Q191" i="4"/>
  <c r="P191" i="4"/>
  <c r="O191" i="4"/>
  <c r="N191" i="4"/>
  <c r="M191" i="4"/>
  <c r="L191" i="4"/>
  <c r="K191" i="4"/>
  <c r="AD318" i="4"/>
  <c r="AD319" i="4" s="1"/>
  <c r="AA318" i="4"/>
  <c r="Z318" i="4"/>
  <c r="AD292" i="4"/>
  <c r="AD284" i="4"/>
  <c r="AD288" i="4"/>
  <c r="AD279" i="4"/>
  <c r="AD373" i="4"/>
  <c r="AD372" i="4"/>
  <c r="AD371" i="4"/>
  <c r="AD370" i="4"/>
  <c r="AD369" i="4"/>
  <c r="AD207" i="4"/>
  <c r="AD209" i="4" s="1"/>
  <c r="AD1941" i="4" s="1"/>
  <c r="AE218" i="4"/>
  <c r="AE239" i="4"/>
  <c r="AE244" i="4"/>
  <c r="AA1980" i="4"/>
  <c r="Z1980" i="4"/>
  <c r="AD405" i="4"/>
  <c r="T200" i="4"/>
  <c r="U200" i="4"/>
  <c r="V200" i="4"/>
  <c r="V222" i="4" s="1"/>
  <c r="W200" i="4"/>
  <c r="W222" i="4" s="1"/>
  <c r="X200" i="4"/>
  <c r="X222" i="4" s="1"/>
  <c r="Y200" i="4"/>
  <c r="Y222" i="4" s="1"/>
  <c r="AA200" i="4"/>
  <c r="AD244" i="4"/>
  <c r="J191" i="4"/>
  <c r="I191" i="4"/>
  <c r="H191" i="4"/>
  <c r="G191" i="4"/>
  <c r="F191" i="4"/>
  <c r="E191" i="4"/>
  <c r="AD218" i="4"/>
  <c r="AD161" i="4"/>
  <c r="AD163" i="4" s="1"/>
  <c r="AD164" i="4" s="1"/>
  <c r="AD133" i="4"/>
  <c r="AD1936" i="4" s="1"/>
  <c r="AV78" i="6"/>
  <c r="BA218" i="6"/>
  <c r="AZ218" i="6" s="1"/>
  <c r="BA217" i="6"/>
  <c r="AZ217" i="6" s="1"/>
  <c r="BA214" i="6"/>
  <c r="AZ214" i="6" s="1"/>
  <c r="BA213" i="6"/>
  <c r="AZ213" i="6" s="1"/>
  <c r="BA212" i="6"/>
  <c r="AZ212" i="6" s="1"/>
  <c r="BA211" i="6"/>
  <c r="AZ211" i="6" s="1"/>
  <c r="BA210" i="6"/>
  <c r="AZ210" i="6" s="1"/>
  <c r="BA209" i="6"/>
  <c r="AZ209" i="6" s="1"/>
  <c r="BA208" i="6"/>
  <c r="AZ208" i="6" s="1"/>
  <c r="B4" i="5"/>
  <c r="G210" i="14"/>
  <c r="AU8" i="15"/>
  <c r="AV8" i="15"/>
  <c r="E5" i="4"/>
  <c r="F5" i="4" s="1"/>
  <c r="G5" i="4" s="1"/>
  <c r="H5" i="4" s="1"/>
  <c r="I5" i="4" s="1"/>
  <c r="J5" i="4" s="1"/>
  <c r="L132" i="4"/>
  <c r="M132" i="4"/>
  <c r="N132" i="4"/>
  <c r="O132" i="4"/>
  <c r="P132" i="4"/>
  <c r="Q132" i="4"/>
  <c r="R132" i="4"/>
  <c r="S132" i="4"/>
  <c r="T132" i="4"/>
  <c r="U132" i="4"/>
  <c r="V132" i="4"/>
  <c r="W132" i="4"/>
  <c r="X132" i="4"/>
  <c r="Y132" i="4"/>
  <c r="Z132" i="4"/>
  <c r="AA132" i="4"/>
  <c r="AD132" i="4"/>
  <c r="AE132" i="4"/>
  <c r="K133" i="4"/>
  <c r="K135" i="4" s="1"/>
  <c r="L136" i="4" s="1"/>
  <c r="T133" i="4"/>
  <c r="T135" i="4" s="1"/>
  <c r="U133" i="4"/>
  <c r="U135" i="4" s="1"/>
  <c r="V133" i="4"/>
  <c r="V135" i="4" s="1"/>
  <c r="W133" i="4"/>
  <c r="W135" i="4" s="1"/>
  <c r="X133" i="4"/>
  <c r="X135" i="4" s="1"/>
  <c r="Y133" i="4"/>
  <c r="Y135" i="4" s="1"/>
  <c r="Z133" i="4"/>
  <c r="Z135" i="4" s="1"/>
  <c r="AA133" i="4"/>
  <c r="AA135" i="4" s="1"/>
  <c r="L146" i="4"/>
  <c r="M146" i="4"/>
  <c r="N146" i="4"/>
  <c r="O146" i="4"/>
  <c r="P146" i="4"/>
  <c r="Q146" i="4"/>
  <c r="R146" i="4"/>
  <c r="S146" i="4"/>
  <c r="T146" i="4"/>
  <c r="U146" i="4"/>
  <c r="V146" i="4"/>
  <c r="W146" i="4"/>
  <c r="X146" i="4"/>
  <c r="Y146" i="4"/>
  <c r="T147" i="4"/>
  <c r="T149" i="4" s="1"/>
  <c r="T150" i="4" s="1"/>
  <c r="U147" i="4"/>
  <c r="U149" i="4" s="1"/>
  <c r="V147" i="4"/>
  <c r="V149" i="4" s="1"/>
  <c r="W147" i="4"/>
  <c r="W149" i="4" s="1"/>
  <c r="X147" i="4"/>
  <c r="X149" i="4" s="1"/>
  <c r="Y147" i="4"/>
  <c r="Y149" i="4" s="1"/>
  <c r="T160" i="4"/>
  <c r="U160" i="4"/>
  <c r="V160" i="4"/>
  <c r="W160" i="4"/>
  <c r="X160" i="4"/>
  <c r="Y160" i="4"/>
  <c r="Z160" i="4"/>
  <c r="AA160" i="4"/>
  <c r="AD160" i="4"/>
  <c r="AE160" i="4"/>
  <c r="S161" i="4"/>
  <c r="T161" i="4"/>
  <c r="T163" i="4" s="1"/>
  <c r="U161" i="4"/>
  <c r="U163" i="4" s="1"/>
  <c r="V161" i="4"/>
  <c r="V163" i="4" s="1"/>
  <c r="W161" i="4"/>
  <c r="W163" i="4" s="1"/>
  <c r="X161" i="4"/>
  <c r="X163" i="4" s="1"/>
  <c r="Y161" i="4"/>
  <c r="Y163" i="4" s="1"/>
  <c r="Z161" i="4"/>
  <c r="Z163" i="4" s="1"/>
  <c r="Z1938" i="4" s="1"/>
  <c r="AA161" i="4"/>
  <c r="AA163" i="4" s="1"/>
  <c r="AA1938" i="4" s="1"/>
  <c r="V174" i="4"/>
  <c r="W174" i="4"/>
  <c r="X174" i="4"/>
  <c r="Y174" i="4"/>
  <c r="Z174" i="4"/>
  <c r="AA174" i="4"/>
  <c r="AD174" i="4"/>
  <c r="AE174" i="4"/>
  <c r="U175" i="4"/>
  <c r="U177" i="4" s="1"/>
  <c r="V175" i="4"/>
  <c r="V177" i="4" s="1"/>
  <c r="W175" i="4"/>
  <c r="W177" i="4" s="1"/>
  <c r="X175" i="4"/>
  <c r="X177" i="4" s="1"/>
  <c r="Y175" i="4"/>
  <c r="Y177" i="4" s="1"/>
  <c r="Z175" i="4"/>
  <c r="Z177" i="4" s="1"/>
  <c r="Z1939" i="4" s="1"/>
  <c r="AA175" i="4"/>
  <c r="AA177" i="4" s="1"/>
  <c r="AA1939" i="4" s="1"/>
  <c r="AD175" i="4"/>
  <c r="AD177" i="4" s="1"/>
  <c r="M136" i="4"/>
  <c r="N136" i="4"/>
  <c r="O136" i="4"/>
  <c r="P136" i="4"/>
  <c r="Q136" i="4"/>
  <c r="R136" i="4"/>
  <c r="S136" i="4"/>
  <c r="L150" i="4"/>
  <c r="M150" i="4"/>
  <c r="N150" i="4"/>
  <c r="O150" i="4"/>
  <c r="P150" i="4"/>
  <c r="Q150" i="4"/>
  <c r="R150" i="4"/>
  <c r="S150" i="4"/>
  <c r="U141" i="4"/>
  <c r="V141" i="4"/>
  <c r="W141" i="4"/>
  <c r="X141" i="4"/>
  <c r="Y141" i="4"/>
  <c r="Z141" i="4"/>
  <c r="AA141" i="4"/>
  <c r="AD141" i="4"/>
  <c r="AE141" i="4"/>
  <c r="U155" i="4"/>
  <c r="V155" i="4"/>
  <c r="W155" i="4"/>
  <c r="X155" i="4"/>
  <c r="Y155" i="4"/>
  <c r="Z155" i="4"/>
  <c r="AA155" i="4"/>
  <c r="AD155" i="4"/>
  <c r="AE155" i="4"/>
  <c r="U169" i="4"/>
  <c r="V169" i="4"/>
  <c r="W169" i="4"/>
  <c r="X169" i="4"/>
  <c r="Y169" i="4"/>
  <c r="Z169" i="4"/>
  <c r="AA169" i="4"/>
  <c r="AD169" i="4"/>
  <c r="AE169" i="4"/>
  <c r="V181" i="4"/>
  <c r="W181" i="4"/>
  <c r="X181" i="4"/>
  <c r="Y181" i="4"/>
  <c r="Z181" i="4"/>
  <c r="AA181" i="4"/>
  <c r="Q239" i="4"/>
  <c r="R239" i="4"/>
  <c r="S239" i="4"/>
  <c r="T239" i="4"/>
  <c r="U239" i="4"/>
  <c r="V239" i="4"/>
  <c r="W239" i="4"/>
  <c r="X239" i="4"/>
  <c r="Y239" i="4"/>
  <c r="Z239" i="4"/>
  <c r="AA239" i="4"/>
  <c r="AD239" i="4"/>
  <c r="Q206" i="4"/>
  <c r="R206" i="4"/>
  <c r="S206" i="4"/>
  <c r="T206" i="4"/>
  <c r="U206" i="4"/>
  <c r="V206" i="4"/>
  <c r="W206" i="4"/>
  <c r="X206" i="4"/>
  <c r="Y206" i="4"/>
  <c r="Z206" i="4"/>
  <c r="AA206" i="4"/>
  <c r="AD206" i="4"/>
  <c r="Q207" i="4"/>
  <c r="Q209" i="4" s="1"/>
  <c r="R207" i="4"/>
  <c r="R209" i="4" s="1"/>
  <c r="S207" i="4"/>
  <c r="S209" i="4" s="1"/>
  <c r="T207" i="4"/>
  <c r="T209" i="4" s="1"/>
  <c r="U207" i="4"/>
  <c r="U209" i="4" s="1"/>
  <c r="V207" i="4"/>
  <c r="V209" i="4" s="1"/>
  <c r="W207" i="4"/>
  <c r="W209" i="4" s="1"/>
  <c r="X207" i="4"/>
  <c r="X209" i="4" s="1"/>
  <c r="Y207" i="4"/>
  <c r="Y209" i="4" s="1"/>
  <c r="Z207" i="4"/>
  <c r="Z209" i="4" s="1"/>
  <c r="Z1941" i="4" s="1"/>
  <c r="AA207" i="4"/>
  <c r="AA209" i="4" s="1"/>
  <c r="AA1941" i="4" s="1"/>
  <c r="Q213" i="4"/>
  <c r="R213" i="4"/>
  <c r="S213" i="4"/>
  <c r="T213" i="4"/>
  <c r="U213" i="4"/>
  <c r="V213" i="4"/>
  <c r="W213" i="4"/>
  <c r="X213" i="4"/>
  <c r="Y213" i="4"/>
  <c r="Z213" i="4"/>
  <c r="AA213" i="4"/>
  <c r="AD213" i="4"/>
  <c r="AE213" i="4"/>
  <c r="K227" i="4"/>
  <c r="L227" i="4"/>
  <c r="M227" i="4"/>
  <c r="M228" i="4" s="1"/>
  <c r="N227" i="4"/>
  <c r="N228" i="4" s="1"/>
  <c r="O227" i="4"/>
  <c r="P227" i="4"/>
  <c r="P228" i="4" s="1"/>
  <c r="Q227" i="4"/>
  <c r="Q228" i="4" s="1"/>
  <c r="R227" i="4"/>
  <c r="R228" i="4" s="1"/>
  <c r="S227" i="4"/>
  <c r="T227" i="4"/>
  <c r="T228" i="4" s="1"/>
  <c r="U227" i="4"/>
  <c r="U228" i="4" s="1"/>
  <c r="V227" i="4"/>
  <c r="W227" i="4"/>
  <c r="W228" i="4" s="1"/>
  <c r="X227" i="4"/>
  <c r="X228" i="4" s="1"/>
  <c r="Y227" i="4"/>
  <c r="Y228" i="4" s="1"/>
  <c r="L234" i="4"/>
  <c r="M234" i="4"/>
  <c r="N234" i="4"/>
  <c r="O234" i="4"/>
  <c r="P234" i="4"/>
  <c r="Q234" i="4"/>
  <c r="R234" i="4"/>
  <c r="S234" i="4"/>
  <c r="T234" i="4"/>
  <c r="U234" i="4"/>
  <c r="V234" i="4"/>
  <c r="W234" i="4"/>
  <c r="X234" i="4"/>
  <c r="Y234" i="4"/>
  <c r="Z234" i="4"/>
  <c r="AA234" i="4"/>
  <c r="AD234" i="4"/>
  <c r="AE234" i="4"/>
  <c r="T303" i="4"/>
  <c r="U303" i="4"/>
  <c r="V303" i="4"/>
  <c r="W303" i="4"/>
  <c r="X303" i="4"/>
  <c r="Y303" i="4"/>
  <c r="Z303" i="4"/>
  <c r="AA303" i="4"/>
  <c r="AD303" i="4"/>
  <c r="S304" i="4"/>
  <c r="S305" i="4" s="1"/>
  <c r="T304" i="4"/>
  <c r="T305" i="4" s="1"/>
  <c r="U304" i="4"/>
  <c r="U305" i="4" s="1"/>
  <c r="V304" i="4"/>
  <c r="V305" i="4" s="1"/>
  <c r="W304" i="4"/>
  <c r="W305" i="4" s="1"/>
  <c r="X304" i="4"/>
  <c r="X305" i="4" s="1"/>
  <c r="Y304" i="4"/>
  <c r="Y305" i="4" s="1"/>
  <c r="Z304" i="4"/>
  <c r="Z305" i="4" s="1"/>
  <c r="AA304" i="4"/>
  <c r="AA305" i="4" s="1"/>
  <c r="AD304" i="4"/>
  <c r="AD305" i="4" s="1"/>
  <c r="AD306" i="4" s="1"/>
  <c r="O308" i="4"/>
  <c r="P308" i="4"/>
  <c r="Q308" i="4"/>
  <c r="R308" i="4"/>
  <c r="S308" i="4"/>
  <c r="T308" i="4"/>
  <c r="U308" i="4"/>
  <c r="V308" i="4"/>
  <c r="W308" i="4"/>
  <c r="X308" i="4"/>
  <c r="Y308" i="4"/>
  <c r="Z308" i="4"/>
  <c r="AA308" i="4"/>
  <c r="V311" i="4"/>
  <c r="W311" i="4"/>
  <c r="X311" i="4"/>
  <c r="Y311" i="4"/>
  <c r="V312" i="4"/>
  <c r="V313" i="4" s="1"/>
  <c r="W312" i="4"/>
  <c r="W313" i="4" s="1"/>
  <c r="X312" i="4"/>
  <c r="X313" i="4" s="1"/>
  <c r="Y312" i="4"/>
  <c r="Y313" i="4" s="1"/>
  <c r="V316" i="4"/>
  <c r="W316" i="4"/>
  <c r="X316" i="4"/>
  <c r="Y316" i="4"/>
  <c r="Z316" i="4"/>
  <c r="AA316" i="4"/>
  <c r="AD316" i="4"/>
  <c r="AE316" i="4"/>
  <c r="AA1983" i="4"/>
  <c r="AA1984" i="4"/>
  <c r="AA1985" i="4"/>
  <c r="T334" i="12"/>
  <c r="T393" i="12" s="1"/>
  <c r="G362" i="12"/>
  <c r="H362" i="12"/>
  <c r="I362" i="12"/>
  <c r="J362" i="12"/>
  <c r="K362" i="12"/>
  <c r="L362" i="12"/>
  <c r="M362" i="12"/>
  <c r="N362" i="12"/>
  <c r="O362" i="12"/>
  <c r="P362" i="12"/>
  <c r="I363" i="12"/>
  <c r="J363" i="12"/>
  <c r="K363" i="12"/>
  <c r="L363" i="12"/>
  <c r="M363" i="12"/>
  <c r="N363" i="12"/>
  <c r="O363" i="12"/>
  <c r="V375" i="12"/>
  <c r="V378" i="12" s="1"/>
  <c r="V382" i="12" s="1"/>
  <c r="W375" i="12"/>
  <c r="W378" i="12" s="1"/>
  <c r="X375" i="12"/>
  <c r="X378" i="12" s="1"/>
  <c r="X382" i="12" s="1"/>
  <c r="X49" i="7"/>
  <c r="X19" i="7"/>
  <c r="X30" i="7"/>
  <c r="W19" i="7"/>
  <c r="W49" i="7"/>
  <c r="W30" i="7"/>
  <c r="W25" i="7"/>
  <c r="AN45" i="5" s="1"/>
  <c r="X25" i="7"/>
  <c r="AO45" i="5" s="1"/>
  <c r="X29" i="7"/>
  <c r="X11" i="7"/>
  <c r="S21" i="8"/>
  <c r="S26" i="8"/>
  <c r="BD40" i="15"/>
  <c r="AD49" i="5"/>
  <c r="AN48" i="5"/>
  <c r="AM48" i="5"/>
  <c r="AL48" i="5"/>
  <c r="AK48" i="5"/>
  <c r="O46" i="5"/>
  <c r="N46" i="5"/>
  <c r="M46" i="5"/>
  <c r="L46" i="5"/>
  <c r="J46" i="5"/>
  <c r="N45" i="5"/>
  <c r="M45" i="5"/>
  <c r="L45" i="5"/>
  <c r="K45" i="5"/>
  <c r="J45" i="5"/>
  <c r="I45" i="5"/>
  <c r="H45" i="5"/>
  <c r="G45" i="5"/>
  <c r="F45" i="5"/>
  <c r="E45" i="5"/>
  <c r="D45" i="5"/>
  <c r="P43" i="5"/>
  <c r="O43" i="5"/>
  <c r="N43" i="5"/>
  <c r="M43" i="5"/>
  <c r="L43" i="5"/>
  <c r="K43" i="5"/>
  <c r="J43" i="5"/>
  <c r="I43" i="5"/>
  <c r="H43" i="5"/>
  <c r="G43" i="5"/>
  <c r="F43" i="5"/>
  <c r="E43" i="5"/>
  <c r="D43" i="5"/>
  <c r="AJ41" i="5"/>
  <c r="AI41" i="5"/>
  <c r="AN40" i="5"/>
  <c r="AM40" i="5"/>
  <c r="AL40" i="5"/>
  <c r="AK40" i="5"/>
  <c r="AJ40" i="5"/>
  <c r="AI40" i="5"/>
  <c r="AH40" i="5"/>
  <c r="AG40" i="5"/>
  <c r="AF40" i="5"/>
  <c r="AE40" i="5"/>
  <c r="AD40" i="5"/>
  <c r="AC40" i="5"/>
  <c r="AN29" i="5"/>
  <c r="AM29" i="5"/>
  <c r="AN27" i="5"/>
  <c r="AN26" i="5"/>
  <c r="AM27" i="5"/>
  <c r="AM26" i="5"/>
  <c r="AL27" i="5"/>
  <c r="AK27" i="5"/>
  <c r="AJ27" i="5"/>
  <c r="S45" i="8"/>
  <c r="AJ26" i="5"/>
  <c r="AI27" i="5"/>
  <c r="AH27" i="5"/>
  <c r="AG27" i="5"/>
  <c r="AF27" i="5"/>
  <c r="AE27" i="5"/>
  <c r="AD27" i="5"/>
  <c r="M47" i="8"/>
  <c r="AD26" i="5"/>
  <c r="AC27" i="5"/>
  <c r="AL26" i="5"/>
  <c r="AK26" i="5"/>
  <c r="AI26" i="5"/>
  <c r="AH26" i="5"/>
  <c r="Q46" i="8"/>
  <c r="Q47" i="8" s="1"/>
  <c r="AG26" i="5"/>
  <c r="AF26" i="5"/>
  <c r="AE26" i="5"/>
  <c r="AC26" i="5"/>
  <c r="AN25" i="5"/>
  <c r="AM25" i="5"/>
  <c r="AN23" i="5"/>
  <c r="AM23" i="5"/>
  <c r="AL23" i="5"/>
  <c r="AK23" i="5"/>
  <c r="AJ23" i="5"/>
  <c r="AI23" i="5"/>
  <c r="AH23" i="5"/>
  <c r="AG23" i="5"/>
  <c r="AF23" i="5"/>
  <c r="AE23" i="5"/>
  <c r="AD23" i="5"/>
  <c r="AC23" i="5"/>
  <c r="AN22" i="5"/>
  <c r="AM22" i="5"/>
  <c r="AL22" i="5"/>
  <c r="AK22" i="5"/>
  <c r="AK21" i="5"/>
  <c r="AK20" i="5"/>
  <c r="AJ22" i="5"/>
  <c r="AI22" i="5"/>
  <c r="AH22" i="5"/>
  <c r="AG22" i="5"/>
  <c r="AF22" i="5"/>
  <c r="AE22" i="5"/>
  <c r="AD22" i="5"/>
  <c r="AC22" i="5"/>
  <c r="AN21" i="5"/>
  <c r="AM21" i="5"/>
  <c r="AL21" i="5"/>
  <c r="AJ21" i="5"/>
  <c r="AI21" i="5"/>
  <c r="AH21" i="5"/>
  <c r="AG21" i="5"/>
  <c r="AF21" i="5"/>
  <c r="AE21" i="5"/>
  <c r="N38" i="8"/>
  <c r="AE25" i="5" s="1"/>
  <c r="AE20" i="5"/>
  <c r="AD21" i="5"/>
  <c r="AC21" i="5"/>
  <c r="AN20" i="5"/>
  <c r="AM20" i="5"/>
  <c r="AL20" i="5"/>
  <c r="AJ20" i="5"/>
  <c r="AI20" i="5"/>
  <c r="AH20" i="5"/>
  <c r="AG20" i="5"/>
  <c r="AF20" i="5"/>
  <c r="AD20" i="5"/>
  <c r="AC20" i="5"/>
  <c r="AN17" i="5"/>
  <c r="AM17" i="5"/>
  <c r="AN15" i="5"/>
  <c r="AM15" i="5"/>
  <c r="AL15" i="5"/>
  <c r="AK15" i="5"/>
  <c r="AJ15" i="5"/>
  <c r="AI15" i="5"/>
  <c r="AH15" i="5"/>
  <c r="AN12" i="5"/>
  <c r="AM12" i="5"/>
  <c r="AM10" i="5"/>
  <c r="AN10" i="5"/>
  <c r="AL10" i="5"/>
  <c r="AK10" i="5"/>
  <c r="AJ10" i="5"/>
  <c r="AI10" i="5"/>
  <c r="AH10" i="5"/>
  <c r="AG10" i="5"/>
  <c r="AF10" i="5"/>
  <c r="AE10" i="5"/>
  <c r="AD10" i="5"/>
  <c r="AC10" i="5"/>
  <c r="AL9" i="5"/>
  <c r="AF9" i="5"/>
  <c r="AE9" i="5"/>
  <c r="AD9" i="5"/>
  <c r="AC9" i="5"/>
  <c r="P90" i="8"/>
  <c r="O90" i="8"/>
  <c r="O70" i="8"/>
  <c r="O91" i="8" s="1"/>
  <c r="N90" i="8"/>
  <c r="N70" i="8"/>
  <c r="AE56" i="5" s="1"/>
  <c r="S65" i="7"/>
  <c r="R65" i="7"/>
  <c r="Q65" i="7"/>
  <c r="P65" i="7"/>
  <c r="O65" i="7"/>
  <c r="N65" i="7"/>
  <c r="L65" i="7"/>
  <c r="K65" i="7"/>
  <c r="J65" i="7"/>
  <c r="I65" i="7"/>
  <c r="H65" i="7"/>
  <c r="G65" i="7"/>
  <c r="X45" i="7"/>
  <c r="AO49" i="5" s="1"/>
  <c r="AL41" i="5"/>
  <c r="AK41" i="5"/>
  <c r="AH41" i="5"/>
  <c r="AG41" i="5"/>
  <c r="AF41" i="5"/>
  <c r="AE41" i="5"/>
  <c r="AD41" i="5"/>
  <c r="AC41" i="5"/>
  <c r="AJ37" i="5"/>
  <c r="AI37" i="5"/>
  <c r="AH37" i="5"/>
  <c r="AG37" i="5"/>
  <c r="AF37" i="5"/>
  <c r="AE37" i="5"/>
  <c r="AD37" i="5"/>
  <c r="AC37" i="5"/>
  <c r="V139" i="6"/>
  <c r="U139" i="6"/>
  <c r="T139" i="6"/>
  <c r="S139" i="6"/>
  <c r="R139" i="6"/>
  <c r="Q139" i="6"/>
  <c r="P139" i="6"/>
  <c r="O139" i="6"/>
  <c r="N139" i="6"/>
  <c r="M139" i="6"/>
  <c r="L139" i="6"/>
  <c r="K139" i="6"/>
  <c r="J139" i="6"/>
  <c r="I139" i="6"/>
  <c r="H139" i="6"/>
  <c r="G139" i="6"/>
  <c r="F139" i="6"/>
  <c r="E139" i="6"/>
  <c r="D139" i="6"/>
  <c r="S136" i="6"/>
  <c r="R136" i="6"/>
  <c r="O136" i="6"/>
  <c r="N136" i="6"/>
  <c r="M136" i="6"/>
  <c r="L136" i="6"/>
  <c r="K136" i="6"/>
  <c r="J136" i="6"/>
  <c r="I136" i="6"/>
  <c r="H136" i="6"/>
  <c r="G136" i="6"/>
  <c r="F136" i="6"/>
  <c r="E136" i="6"/>
  <c r="D136" i="6"/>
  <c r="S135" i="6"/>
  <c r="R135" i="6"/>
  <c r="O135" i="6"/>
  <c r="N135" i="6"/>
  <c r="M135" i="6"/>
  <c r="L135" i="6"/>
  <c r="K135" i="6"/>
  <c r="J135" i="6"/>
  <c r="I135" i="6"/>
  <c r="H135" i="6"/>
  <c r="G135" i="6"/>
  <c r="F135" i="6"/>
  <c r="E135" i="6"/>
  <c r="D135" i="6"/>
  <c r="Z107" i="6"/>
  <c r="W107" i="6"/>
  <c r="V107" i="6"/>
  <c r="U107" i="6"/>
  <c r="U134" i="6" s="1"/>
  <c r="U140" i="6" s="1"/>
  <c r="T107" i="6"/>
  <c r="T134" i="6" s="1"/>
  <c r="T140" i="6" s="1"/>
  <c r="R107" i="6"/>
  <c r="K55" i="5" s="1"/>
  <c r="Q107" i="6"/>
  <c r="P107" i="6"/>
  <c r="I55" i="5" s="1"/>
  <c r="H107" i="6"/>
  <c r="H134" i="6" s="1"/>
  <c r="H140" i="6" s="1"/>
  <c r="G107" i="6"/>
  <c r="G134" i="6" s="1"/>
  <c r="G140" i="6" s="1"/>
  <c r="F107" i="6"/>
  <c r="F134" i="6" s="1"/>
  <c r="F140" i="6" s="1"/>
  <c r="E107" i="6"/>
  <c r="E134" i="6" s="1"/>
  <c r="E140" i="6" s="1"/>
  <c r="D107" i="6"/>
  <c r="D134" i="6" s="1"/>
  <c r="D140" i="6" s="1"/>
  <c r="T101" i="6"/>
  <c r="N33" i="15" s="1"/>
  <c r="S101" i="6"/>
  <c r="S127" i="6" s="1"/>
  <c r="R101" i="6"/>
  <c r="L33" i="15" s="1"/>
  <c r="P101" i="6"/>
  <c r="P127" i="6" s="1"/>
  <c r="O101" i="6"/>
  <c r="O127" i="6" s="1"/>
  <c r="N101" i="6"/>
  <c r="N127" i="6" s="1"/>
  <c r="M101" i="6"/>
  <c r="M127" i="6" s="1"/>
  <c r="L101" i="6"/>
  <c r="L127" i="6" s="1"/>
  <c r="L70" i="8"/>
  <c r="K101" i="6"/>
  <c r="K127" i="6" s="1"/>
  <c r="J101" i="6"/>
  <c r="J127" i="6" s="1"/>
  <c r="I101" i="6"/>
  <c r="I127" i="6" s="1"/>
  <c r="H101" i="6"/>
  <c r="H127" i="6" s="1"/>
  <c r="G101" i="6"/>
  <c r="G127" i="6" s="1"/>
  <c r="G70" i="8"/>
  <c r="G128" i="6" s="1"/>
  <c r="F101" i="6"/>
  <c r="F127" i="6" s="1"/>
  <c r="F70" i="8"/>
  <c r="U100" i="6"/>
  <c r="T100" i="6"/>
  <c r="S100" i="6"/>
  <c r="R100" i="6"/>
  <c r="P100" i="6"/>
  <c r="O100" i="6"/>
  <c r="I33" i="15" s="1"/>
  <c r="N100" i="6"/>
  <c r="H33" i="15" s="1"/>
  <c r="M100" i="6"/>
  <c r="G33" i="15" s="1"/>
  <c r="L100" i="6"/>
  <c r="F33" i="15" s="1"/>
  <c r="K100" i="6"/>
  <c r="E33" i="15" s="1"/>
  <c r="BE28" i="15" s="1"/>
  <c r="J100" i="6"/>
  <c r="D33" i="15" s="1"/>
  <c r="BD28" i="15" s="1"/>
  <c r="I100" i="6"/>
  <c r="C33" i="15" s="1"/>
  <c r="BC28" i="15" s="1"/>
  <c r="H100" i="6"/>
  <c r="G100" i="6"/>
  <c r="F100" i="6"/>
  <c r="E100" i="6" s="1"/>
  <c r="D100" i="6" s="1"/>
  <c r="W216" i="6"/>
  <c r="AU216" i="6" s="1"/>
  <c r="AT216" i="6" s="1"/>
  <c r="V216" i="6"/>
  <c r="AR216" i="6" s="1"/>
  <c r="AQ216" i="6" s="1"/>
  <c r="U216" i="6"/>
  <c r="T216" i="6"/>
  <c r="W215" i="6"/>
  <c r="AU215" i="6" s="1"/>
  <c r="AT215" i="6" s="1"/>
  <c r="V215" i="6"/>
  <c r="AR215" i="6" s="1"/>
  <c r="AQ215" i="6" s="1"/>
  <c r="U215" i="6"/>
  <c r="T215" i="6"/>
  <c r="Q212" i="6"/>
  <c r="Q213" i="6" s="1"/>
  <c r="P212" i="6"/>
  <c r="P213" i="6" s="1"/>
  <c r="O212" i="6"/>
  <c r="O213" i="6" s="1"/>
  <c r="N212" i="6"/>
  <c r="N213" i="6" s="1"/>
  <c r="M212" i="6"/>
  <c r="M213" i="6" s="1"/>
  <c r="L212" i="6"/>
  <c r="L213" i="6" s="1"/>
  <c r="K212" i="6"/>
  <c r="K213" i="6" s="1"/>
  <c r="J212" i="6"/>
  <c r="J213" i="6" s="1"/>
  <c r="I212" i="6"/>
  <c r="I213" i="6" s="1"/>
  <c r="H212" i="6"/>
  <c r="H213" i="6" s="1"/>
  <c r="G212" i="6"/>
  <c r="G213" i="6" s="1"/>
  <c r="F212" i="6"/>
  <c r="F213" i="6" s="1"/>
  <c r="E212" i="6"/>
  <c r="E213" i="6" s="1"/>
  <c r="D212" i="6"/>
  <c r="D213" i="6" s="1"/>
  <c r="BN93" i="6"/>
  <c r="U28" i="6"/>
  <c r="T28" i="6"/>
  <c r="S28" i="6"/>
  <c r="R28" i="6"/>
  <c r="Q28" i="6"/>
  <c r="P28" i="6"/>
  <c r="O28" i="6"/>
  <c r="N28" i="6"/>
  <c r="M28" i="6"/>
  <c r="L28" i="6"/>
  <c r="K28" i="6"/>
  <c r="J28" i="6"/>
  <c r="I28" i="6"/>
  <c r="H28" i="6"/>
  <c r="G28" i="6"/>
  <c r="F28" i="6"/>
  <c r="E28" i="6"/>
  <c r="D28" i="6"/>
  <c r="U26" i="6"/>
  <c r="T26" i="6"/>
  <c r="S26" i="6"/>
  <c r="R26" i="6"/>
  <c r="Q26" i="6"/>
  <c r="P26" i="6"/>
  <c r="O26" i="6"/>
  <c r="O25" i="6"/>
  <c r="N26" i="6"/>
  <c r="M26" i="6"/>
  <c r="L26" i="6"/>
  <c r="K26" i="6"/>
  <c r="J26" i="6"/>
  <c r="I26" i="6"/>
  <c r="H26" i="6"/>
  <c r="G26" i="6"/>
  <c r="F26" i="6"/>
  <c r="E26" i="6"/>
  <c r="D26" i="6"/>
  <c r="U25" i="6"/>
  <c r="T25" i="6"/>
  <c r="S25" i="6"/>
  <c r="R25" i="6"/>
  <c r="Q25" i="6"/>
  <c r="P25" i="6"/>
  <c r="N25" i="6"/>
  <c r="M25" i="6"/>
  <c r="L25" i="6"/>
  <c r="K25" i="6"/>
  <c r="J25" i="6"/>
  <c r="I25" i="6"/>
  <c r="H25" i="6"/>
  <c r="G25" i="6"/>
  <c r="F25" i="6"/>
  <c r="E25" i="6"/>
  <c r="D25" i="6"/>
  <c r="O435" i="12"/>
  <c r="N435" i="12"/>
  <c r="M435" i="12"/>
  <c r="L435" i="12"/>
  <c r="S404" i="12"/>
  <c r="S403" i="12"/>
  <c r="R363" i="12"/>
  <c r="R396" i="12" s="1"/>
  <c r="R421" i="12" s="1"/>
  <c r="H363" i="12"/>
  <c r="G363" i="12"/>
  <c r="R358" i="12"/>
  <c r="Q358" i="12"/>
  <c r="P358" i="12"/>
  <c r="AF340" i="12"/>
  <c r="AF398" i="12" s="1"/>
  <c r="AF423" i="12" s="1"/>
  <c r="AE398" i="12"/>
  <c r="AD398" i="12"/>
  <c r="AC340" i="12"/>
  <c r="AC398" i="12" s="1"/>
  <c r="AC423" i="12" s="1"/>
  <c r="AB340" i="12"/>
  <c r="AB398" i="12" s="1"/>
  <c r="AB423" i="12" s="1"/>
  <c r="AA340" i="12"/>
  <c r="Z340" i="12"/>
  <c r="Z398" i="12" s="1"/>
  <c r="Z423" i="12" s="1"/>
  <c r="Y340" i="12"/>
  <c r="X340" i="12"/>
  <c r="X398" i="12" s="1"/>
  <c r="W340" i="12"/>
  <c r="W398" i="12" s="1"/>
  <c r="W423" i="12" s="1"/>
  <c r="V340" i="12"/>
  <c r="V398" i="12" s="1"/>
  <c r="V423" i="12" s="1"/>
  <c r="AH336" i="12"/>
  <c r="AH395" i="12" s="1"/>
  <c r="AH420" i="12" s="1"/>
  <c r="AG336" i="12"/>
  <c r="AG395" i="12" s="1"/>
  <c r="AG420" i="12" s="1"/>
  <c r="AF336" i="12"/>
  <c r="AF395" i="12" s="1"/>
  <c r="AE336" i="12"/>
  <c r="AE395" i="12" s="1"/>
  <c r="AE420" i="12" s="1"/>
  <c r="AD336" i="12"/>
  <c r="AD395" i="12" s="1"/>
  <c r="AC336" i="12"/>
  <c r="AB336" i="12"/>
  <c r="AB395" i="12" s="1"/>
  <c r="AB420" i="12" s="1"/>
  <c r="AA336" i="12"/>
  <c r="AA395" i="12" s="1"/>
  <c r="AA420" i="12" s="1"/>
  <c r="Z336" i="12"/>
  <c r="Z395" i="12" s="1"/>
  <c r="Y336" i="12"/>
  <c r="Y395" i="12" s="1"/>
  <c r="Y420" i="12" s="1"/>
  <c r="X336" i="12"/>
  <c r="X395" i="12" s="1"/>
  <c r="X420" i="12" s="1"/>
  <c r="W336" i="12"/>
  <c r="W395" i="12" s="1"/>
  <c r="W420" i="12" s="1"/>
  <c r="V336" i="12"/>
  <c r="V395" i="12" s="1"/>
  <c r="V420" i="12" s="1"/>
  <c r="U336" i="12"/>
  <c r="U395" i="12" s="1"/>
  <c r="U420" i="12" s="1"/>
  <c r="T336" i="12"/>
  <c r="T395" i="12" s="1"/>
  <c r="S336" i="12"/>
  <c r="D327" i="12"/>
  <c r="W349" i="12"/>
  <c r="V349" i="12"/>
  <c r="U349" i="12"/>
  <c r="T349" i="12"/>
  <c r="W260" i="12"/>
  <c r="W261" i="12"/>
  <c r="V260" i="12"/>
  <c r="U260" i="12"/>
  <c r="T260" i="12"/>
  <c r="S260" i="12"/>
  <c r="R260" i="12"/>
  <c r="Q260" i="12"/>
  <c r="P260" i="12"/>
  <c r="AC228" i="12"/>
  <c r="AD228" i="12" s="1"/>
  <c r="AE228" i="12" s="1"/>
  <c r="AF228" i="12" s="1"/>
  <c r="AG228" i="12" s="1"/>
  <c r="AH228" i="12" s="1"/>
  <c r="AI228" i="12" s="1"/>
  <c r="AJ228" i="12" s="1"/>
  <c r="AK228" i="12" s="1"/>
  <c r="AL228" i="12" s="1"/>
  <c r="Z239" i="12"/>
  <c r="AC239" i="12"/>
  <c r="AD239" i="12"/>
  <c r="AE239" i="12"/>
  <c r="AF239" i="12"/>
  <c r="AG239" i="12"/>
  <c r="AH239" i="12"/>
  <c r="AC457" i="12"/>
  <c r="AD457" i="12"/>
  <c r="AE457" i="12"/>
  <c r="AF457" i="12"/>
  <c r="AG457" i="12"/>
  <c r="AH457" i="12"/>
  <c r="AE201" i="12"/>
  <c r="AF201" i="12" s="1"/>
  <c r="AG201" i="12" s="1"/>
  <c r="AH201" i="12" s="1"/>
  <c r="AI201" i="12" s="1"/>
  <c r="AJ201" i="12" s="1"/>
  <c r="S452" i="12"/>
  <c r="R452" i="12"/>
  <c r="Q452" i="12"/>
  <c r="P452" i="12"/>
  <c r="O452" i="12"/>
  <c r="N452" i="12"/>
  <c r="M452" i="12"/>
  <c r="W451" i="12"/>
  <c r="V451" i="12"/>
  <c r="U451" i="12"/>
  <c r="T451" i="12"/>
  <c r="S451" i="12"/>
  <c r="R451" i="12"/>
  <c r="Q451" i="12"/>
  <c r="P451" i="12"/>
  <c r="O451" i="12"/>
  <c r="N451" i="12"/>
  <c r="M451" i="12"/>
  <c r="W450" i="12"/>
  <c r="V450" i="12"/>
  <c r="U450" i="12"/>
  <c r="T450" i="12"/>
  <c r="S450" i="12"/>
  <c r="R450" i="12"/>
  <c r="Q450" i="12"/>
  <c r="P450" i="12"/>
  <c r="O450" i="12"/>
  <c r="N450" i="12"/>
  <c r="M450" i="12"/>
  <c r="W449" i="12"/>
  <c r="V449" i="12"/>
  <c r="U449" i="12"/>
  <c r="T449" i="12"/>
  <c r="S449" i="12"/>
  <c r="R449" i="12"/>
  <c r="Q449" i="12"/>
  <c r="P449" i="12"/>
  <c r="O449" i="12"/>
  <c r="N449" i="12"/>
  <c r="M449" i="12"/>
  <c r="W448" i="12"/>
  <c r="T448" i="12"/>
  <c r="S448" i="12"/>
  <c r="R448" i="12"/>
  <c r="Q448" i="12"/>
  <c r="P448" i="12"/>
  <c r="O448" i="12"/>
  <c r="N448" i="12"/>
  <c r="M448" i="12"/>
  <c r="W447" i="12"/>
  <c r="Q447" i="12"/>
  <c r="P447" i="12"/>
  <c r="O447" i="12"/>
  <c r="N447" i="12"/>
  <c r="M447" i="12"/>
  <c r="W446" i="12"/>
  <c r="W445" i="12"/>
  <c r="V445" i="12"/>
  <c r="U445" i="12"/>
  <c r="T445" i="12"/>
  <c r="S445" i="12"/>
  <c r="R445" i="12"/>
  <c r="Q445" i="12"/>
  <c r="P445" i="12"/>
  <c r="O445" i="12"/>
  <c r="N445" i="12"/>
  <c r="M445" i="12"/>
  <c r="W444" i="12"/>
  <c r="S444" i="12"/>
  <c r="R444" i="12"/>
  <c r="Q444" i="12"/>
  <c r="P444" i="12"/>
  <c r="O444" i="12"/>
  <c r="N444" i="12"/>
  <c r="M444" i="12"/>
  <c r="W443" i="12"/>
  <c r="H208" i="14"/>
  <c r="F208" i="14"/>
  <c r="AD57" i="7"/>
  <c r="AE57" i="7"/>
  <c r="AF57" i="7"/>
  <c r="AG57" i="7"/>
  <c r="AH57" i="7"/>
  <c r="BM208" i="6"/>
  <c r="BN208" i="6"/>
  <c r="BM209" i="6"/>
  <c r="BN209" i="6"/>
  <c r="BM210" i="6"/>
  <c r="BN210" i="6"/>
  <c r="BM211" i="6"/>
  <c r="BN211" i="6"/>
  <c r="BM212" i="6"/>
  <c r="BN212" i="6"/>
  <c r="BM213" i="6"/>
  <c r="BN213" i="6"/>
  <c r="BM214" i="6"/>
  <c r="BN214" i="6"/>
  <c r="BM217" i="6"/>
  <c r="BN217" i="6"/>
  <c r="BM218" i="6"/>
  <c r="BN218" i="6"/>
  <c r="BI208" i="6"/>
  <c r="BJ208" i="6"/>
  <c r="BK208" i="6"/>
  <c r="BL208" i="6"/>
  <c r="BI209" i="6"/>
  <c r="BJ209" i="6"/>
  <c r="BK209" i="6"/>
  <c r="BL209" i="6"/>
  <c r="BI210" i="6"/>
  <c r="BJ210" i="6"/>
  <c r="BK210" i="6"/>
  <c r="BL210" i="6"/>
  <c r="BI211" i="6"/>
  <c r="BJ211" i="6"/>
  <c r="BK211" i="6"/>
  <c r="BL211" i="6"/>
  <c r="BI212" i="6"/>
  <c r="BJ212" i="6"/>
  <c r="BK212" i="6"/>
  <c r="BL212" i="6"/>
  <c r="BI213" i="6"/>
  <c r="BJ213" i="6"/>
  <c r="BK213" i="6"/>
  <c r="BL213" i="6"/>
  <c r="BI214" i="6"/>
  <c r="BJ214" i="6"/>
  <c r="BK214" i="6"/>
  <c r="BL214" i="6"/>
  <c r="BI217" i="6"/>
  <c r="BJ217" i="6"/>
  <c r="BK217" i="6"/>
  <c r="BL217" i="6"/>
  <c r="BI218" i="6"/>
  <c r="BJ218" i="6"/>
  <c r="BK218" i="6"/>
  <c r="BL218" i="6"/>
  <c r="AH123" i="6"/>
  <c r="AG123" i="6"/>
  <c r="AF123" i="6"/>
  <c r="AE123" i="6"/>
  <c r="AD123" i="6"/>
  <c r="AC123" i="6"/>
  <c r="AH419" i="12"/>
  <c r="AG419" i="12"/>
  <c r="AF419" i="12"/>
  <c r="AE419" i="12"/>
  <c r="AD419" i="12"/>
  <c r="AC419" i="12"/>
  <c r="AS78" i="6"/>
  <c r="AP78" i="6"/>
  <c r="AR83" i="6"/>
  <c r="AU83" i="6"/>
  <c r="AR84" i="6"/>
  <c r="AU84" i="6"/>
  <c r="AR87" i="6"/>
  <c r="AQ87" i="6" s="1"/>
  <c r="AU87" i="6"/>
  <c r="AT87" i="6" s="1"/>
  <c r="AR93" i="6"/>
  <c r="AQ93" i="6" s="1"/>
  <c r="AR208" i="6"/>
  <c r="AQ208" i="6" s="1"/>
  <c r="AU208" i="6"/>
  <c r="AT208" i="6" s="1"/>
  <c r="AX208" i="6"/>
  <c r="AW208" i="6" s="1"/>
  <c r="BC208" i="6"/>
  <c r="BG208" i="6"/>
  <c r="BF208" i="6" s="1"/>
  <c r="BH208" i="6"/>
  <c r="AR209" i="6"/>
  <c r="AQ209" i="6" s="1"/>
  <c r="AU209" i="6"/>
  <c r="AT209" i="6" s="1"/>
  <c r="AX209" i="6"/>
  <c r="AW209" i="6" s="1"/>
  <c r="BC209" i="6"/>
  <c r="BG209" i="6"/>
  <c r="BF209" i="6" s="1"/>
  <c r="BH209" i="6"/>
  <c r="AR210" i="6"/>
  <c r="AQ210" i="6" s="1"/>
  <c r="AU210" i="6"/>
  <c r="AT210" i="6" s="1"/>
  <c r="AX210" i="6"/>
  <c r="AW210" i="6" s="1"/>
  <c r="BC210" i="6"/>
  <c r="BG210" i="6"/>
  <c r="BF210" i="6" s="1"/>
  <c r="BH210" i="6"/>
  <c r="AR211" i="6"/>
  <c r="AQ211" i="6" s="1"/>
  <c r="AU211" i="6"/>
  <c r="AT211" i="6" s="1"/>
  <c r="AX211" i="6"/>
  <c r="AW211" i="6" s="1"/>
  <c r="BC211" i="6"/>
  <c r="BG211" i="6"/>
  <c r="BF211" i="6" s="1"/>
  <c r="BH211" i="6"/>
  <c r="AR212" i="6"/>
  <c r="AQ212" i="6" s="1"/>
  <c r="AU212" i="6"/>
  <c r="AT212" i="6" s="1"/>
  <c r="AX212" i="6"/>
  <c r="AW212" i="6" s="1"/>
  <c r="BC212" i="6"/>
  <c r="BG212" i="6"/>
  <c r="BF212" i="6" s="1"/>
  <c r="BH212" i="6"/>
  <c r="AR213" i="6"/>
  <c r="AQ213" i="6" s="1"/>
  <c r="AU213" i="6"/>
  <c r="AT213" i="6" s="1"/>
  <c r="AX213" i="6"/>
  <c r="AW213" i="6" s="1"/>
  <c r="BC213" i="6"/>
  <c r="BG213" i="6"/>
  <c r="BF213" i="6" s="1"/>
  <c r="BH213" i="6"/>
  <c r="AR214" i="6"/>
  <c r="AQ214" i="6" s="1"/>
  <c r="AU214" i="6"/>
  <c r="AT214" i="6" s="1"/>
  <c r="AX214" i="6"/>
  <c r="AW214" i="6" s="1"/>
  <c r="BC214" i="6"/>
  <c r="BG214" i="6"/>
  <c r="BF214" i="6" s="1"/>
  <c r="BH214" i="6"/>
  <c r="AR217" i="6"/>
  <c r="AQ217" i="6" s="1"/>
  <c r="AU217" i="6"/>
  <c r="AT217" i="6" s="1"/>
  <c r="AX217" i="6"/>
  <c r="AW217" i="6" s="1"/>
  <c r="BC217" i="6"/>
  <c r="BG217" i="6"/>
  <c r="BF217" i="6" s="1"/>
  <c r="BH217" i="6"/>
  <c r="AR218" i="6"/>
  <c r="AQ218" i="6" s="1"/>
  <c r="AU218" i="6"/>
  <c r="AT218" i="6" s="1"/>
  <c r="AX218" i="6"/>
  <c r="AW218" i="6" s="1"/>
  <c r="BC218" i="6"/>
  <c r="BG218" i="6"/>
  <c r="BF218" i="6" s="1"/>
  <c r="BH218" i="6"/>
  <c r="W29" i="8"/>
  <c r="T268" i="12"/>
  <c r="U268" i="12"/>
  <c r="T254" i="12"/>
  <c r="T264" i="12"/>
  <c r="U264" i="12"/>
  <c r="V264" i="12"/>
  <c r="T261" i="12"/>
  <c r="U261" i="12"/>
  <c r="V261" i="12"/>
  <c r="V254" i="12"/>
  <c r="W254" i="12"/>
  <c r="W236" i="12"/>
  <c r="V236" i="12"/>
  <c r="U236" i="12"/>
  <c r="T236" i="12"/>
  <c r="S236" i="12"/>
  <c r="R236" i="12"/>
  <c r="O220" i="12"/>
  <c r="T227" i="12"/>
  <c r="U227" i="12" s="1"/>
  <c r="V227" i="12" s="1"/>
  <c r="W227" i="12" s="1"/>
  <c r="X227" i="12" s="1"/>
  <c r="Y227" i="12" s="1"/>
  <c r="Z227" i="12" s="1"/>
  <c r="R223" i="12"/>
  <c r="S223" i="12"/>
  <c r="T223" i="12"/>
  <c r="U223" i="12"/>
  <c r="V223" i="12"/>
  <c r="W223" i="12"/>
  <c r="Q223" i="12"/>
  <c r="P223" i="12"/>
  <c r="R457" i="12"/>
  <c r="Q457" i="12"/>
  <c r="P457" i="12"/>
  <c r="L457" i="12"/>
  <c r="N457" i="12"/>
  <c r="O457" i="12"/>
  <c r="M457" i="12"/>
  <c r="U208" i="12"/>
  <c r="T208" i="12"/>
  <c r="T209" i="12" s="1"/>
  <c r="V201" i="12"/>
  <c r="U201" i="12"/>
  <c r="T201" i="12"/>
  <c r="L405" i="12"/>
  <c r="W46" i="7"/>
  <c r="W45" i="7" s="1"/>
  <c r="W29" i="7"/>
  <c r="W11" i="7"/>
  <c r="V44" i="8"/>
  <c r="W44" i="8"/>
  <c r="V21" i="8"/>
  <c r="W21" i="8"/>
  <c r="W67" i="8"/>
  <c r="G186" i="14"/>
  <c r="H184" i="14"/>
  <c r="F184" i="14"/>
  <c r="F186" i="14" s="1"/>
  <c r="V192" i="12"/>
  <c r="V191" i="12"/>
  <c r="V43" i="7"/>
  <c r="V46" i="7"/>
  <c r="V45" i="7" s="1"/>
  <c r="AM49" i="5" s="1"/>
  <c r="AT8" i="15"/>
  <c r="BS8" i="15" s="1"/>
  <c r="BS38" i="15" s="1"/>
  <c r="V29" i="7"/>
  <c r="V19" i="7"/>
  <c r="V30" i="7"/>
  <c r="V11" i="7"/>
  <c r="V67" i="8"/>
  <c r="F161" i="14"/>
  <c r="H161" i="14"/>
  <c r="H163" i="14" s="1"/>
  <c r="N236" i="14"/>
  <c r="P236" i="14"/>
  <c r="Q236" i="14" s="1"/>
  <c r="R236" i="14" s="1"/>
  <c r="S236" i="14" s="1"/>
  <c r="T236" i="14" s="1"/>
  <c r="U236" i="14" s="1"/>
  <c r="V236" i="14" s="1"/>
  <c r="D118" i="6"/>
  <c r="E118" i="6"/>
  <c r="F118" i="6"/>
  <c r="G118" i="6"/>
  <c r="H118" i="6"/>
  <c r="I118" i="6"/>
  <c r="B118" i="6"/>
  <c r="B117" i="6"/>
  <c r="X135" i="6"/>
  <c r="P46" i="8"/>
  <c r="U43" i="7"/>
  <c r="U46" i="7"/>
  <c r="U45" i="7" s="1"/>
  <c r="AD8" i="15"/>
  <c r="BC8" i="15" s="1"/>
  <c r="BC38" i="15" s="1"/>
  <c r="AE8" i="15"/>
  <c r="BD8" i="15" s="1"/>
  <c r="BD38" i="15" s="1"/>
  <c r="AF8" i="15"/>
  <c r="BE8" i="15" s="1"/>
  <c r="BE38" i="15" s="1"/>
  <c r="AG8" i="15"/>
  <c r="BF8" i="15" s="1"/>
  <c r="BF38" i="15" s="1"/>
  <c r="AH8" i="15"/>
  <c r="BG8" i="15" s="1"/>
  <c r="BG38" i="15" s="1"/>
  <c r="AI8" i="15"/>
  <c r="BH8" i="15" s="1"/>
  <c r="BH38" i="15" s="1"/>
  <c r="AK8" i="15"/>
  <c r="BJ8" i="15" s="1"/>
  <c r="BJ38" i="15" s="1"/>
  <c r="AL8" i="15"/>
  <c r="BK8" i="15" s="1"/>
  <c r="BK38" i="15" s="1"/>
  <c r="AM8" i="15"/>
  <c r="BL8" i="15" s="1"/>
  <c r="BL38" i="15" s="1"/>
  <c r="AN8" i="15"/>
  <c r="BM8" i="15" s="1"/>
  <c r="BM38" i="15" s="1"/>
  <c r="AO8" i="15"/>
  <c r="BN8" i="15" s="1"/>
  <c r="BN38" i="15" s="1"/>
  <c r="AP8" i="15"/>
  <c r="BO8" i="15" s="1"/>
  <c r="BO38" i="15" s="1"/>
  <c r="AQ8" i="15"/>
  <c r="BP8" i="15" s="1"/>
  <c r="BP38" i="15" s="1"/>
  <c r="AR8" i="15"/>
  <c r="BQ8" i="15" s="1"/>
  <c r="BQ38" i="15" s="1"/>
  <c r="AS8" i="15"/>
  <c r="BR8" i="15" s="1"/>
  <c r="BR38" i="15" s="1"/>
  <c r="AJ23" i="15"/>
  <c r="AO24" i="15"/>
  <c r="G9" i="14"/>
  <c r="F10" i="14"/>
  <c r="F9" i="14" s="1"/>
  <c r="H10" i="14"/>
  <c r="I10" i="14" s="1"/>
  <c r="I9" i="14" s="1"/>
  <c r="G21" i="14"/>
  <c r="F22" i="14"/>
  <c r="E22" i="14" s="1"/>
  <c r="E21" i="14" s="1"/>
  <c r="H22" i="14"/>
  <c r="G33" i="14"/>
  <c r="F34" i="14"/>
  <c r="H34" i="14"/>
  <c r="I34" i="14" s="1"/>
  <c r="G46" i="14"/>
  <c r="F47" i="14"/>
  <c r="F46" i="14" s="1"/>
  <c r="H47" i="14"/>
  <c r="H46" i="14" s="1"/>
  <c r="G59" i="14"/>
  <c r="F60" i="14"/>
  <c r="E60" i="14" s="1"/>
  <c r="H60" i="14"/>
  <c r="G75" i="14"/>
  <c r="F77" i="14"/>
  <c r="E77" i="14" s="1"/>
  <c r="D77" i="14" s="1"/>
  <c r="D75" i="14" s="1"/>
  <c r="H77" i="14"/>
  <c r="G89" i="14"/>
  <c r="F91" i="14"/>
  <c r="E91" i="14" s="1"/>
  <c r="D91" i="14" s="1"/>
  <c r="D89" i="14" s="1"/>
  <c r="H91" i="14"/>
  <c r="H89" i="14" s="1"/>
  <c r="G103" i="14"/>
  <c r="F105" i="14"/>
  <c r="F103" i="14" s="1"/>
  <c r="H105" i="14"/>
  <c r="H103" i="14" s="1"/>
  <c r="F122" i="14"/>
  <c r="H122" i="14"/>
  <c r="G124" i="14"/>
  <c r="F141" i="14"/>
  <c r="H141" i="14"/>
  <c r="H143" i="14" s="1"/>
  <c r="G143" i="14"/>
  <c r="G163" i="14"/>
  <c r="D15" i="8"/>
  <c r="E15" i="8"/>
  <c r="F15" i="8"/>
  <c r="G15" i="8"/>
  <c r="H15" i="8"/>
  <c r="I15" i="8"/>
  <c r="J15" i="8"/>
  <c r="K15" i="8"/>
  <c r="L15" i="8"/>
  <c r="M15" i="8"/>
  <c r="N15" i="8"/>
  <c r="O15" i="8"/>
  <c r="U15" i="8"/>
  <c r="P21" i="8"/>
  <c r="Q21" i="8"/>
  <c r="R21" i="8"/>
  <c r="U21" i="8"/>
  <c r="P26" i="8"/>
  <c r="Q26" i="8"/>
  <c r="R26" i="8"/>
  <c r="U26" i="8"/>
  <c r="D38" i="8"/>
  <c r="E38" i="8"/>
  <c r="F38" i="8"/>
  <c r="G38" i="8"/>
  <c r="G47" i="8"/>
  <c r="H38" i="8"/>
  <c r="I38" i="8"/>
  <c r="J38" i="8"/>
  <c r="K38" i="8"/>
  <c r="L38" i="8"/>
  <c r="M38" i="8"/>
  <c r="O38" i="8"/>
  <c r="Q38" i="8"/>
  <c r="AH25" i="5" s="1"/>
  <c r="S38" i="8"/>
  <c r="U44" i="8"/>
  <c r="U45" i="8"/>
  <c r="D47" i="8"/>
  <c r="E47" i="8"/>
  <c r="F47" i="8"/>
  <c r="H47" i="8"/>
  <c r="I47" i="8"/>
  <c r="J47" i="8"/>
  <c r="K47" i="8"/>
  <c r="L47" i="8"/>
  <c r="N47" i="8"/>
  <c r="O47" i="8"/>
  <c r="AF29" i="5" s="1"/>
  <c r="R47" i="8"/>
  <c r="D54" i="8"/>
  <c r="D60" i="8" s="1"/>
  <c r="E54" i="8"/>
  <c r="E60" i="8" s="1"/>
  <c r="F54" i="8"/>
  <c r="F60" i="8" s="1"/>
  <c r="G54" i="8"/>
  <c r="G60" i="8" s="1"/>
  <c r="H54" i="8"/>
  <c r="H60" i="8" s="1"/>
  <c r="I54" i="8"/>
  <c r="I60" i="8" s="1"/>
  <c r="D67" i="8"/>
  <c r="E67" i="8"/>
  <c r="F67" i="8"/>
  <c r="G67" i="8"/>
  <c r="H67" i="8"/>
  <c r="I67" i="8"/>
  <c r="J67" i="8"/>
  <c r="K67" i="8"/>
  <c r="L67" i="8"/>
  <c r="M67" i="8"/>
  <c r="N67" i="8"/>
  <c r="O67" i="8"/>
  <c r="P67" i="8"/>
  <c r="Q67" i="8"/>
  <c r="R67" i="8"/>
  <c r="S67" i="8"/>
  <c r="T67" i="8"/>
  <c r="U67" i="8"/>
  <c r="D70" i="8"/>
  <c r="D128" i="6" s="1"/>
  <c r="E70" i="8"/>
  <c r="E128" i="6" s="1"/>
  <c r="H70" i="8"/>
  <c r="I70" i="8"/>
  <c r="J70" i="8"/>
  <c r="J87" i="8" s="1"/>
  <c r="K70" i="8"/>
  <c r="M70" i="8"/>
  <c r="U70" i="8"/>
  <c r="Q88" i="8"/>
  <c r="R88" i="8" s="1"/>
  <c r="S88" i="8" s="1"/>
  <c r="T88" i="8" s="1"/>
  <c r="U88" i="8" s="1"/>
  <c r="U11" i="7"/>
  <c r="U29" i="7"/>
  <c r="U30" i="7"/>
  <c r="D62" i="7"/>
  <c r="D63" i="7" s="1"/>
  <c r="E62" i="7"/>
  <c r="E63" i="7" s="1"/>
  <c r="F62" i="7"/>
  <c r="F63" i="7" s="1"/>
  <c r="V90" i="6"/>
  <c r="R93" i="6"/>
  <c r="K46" i="5" s="1"/>
  <c r="D211" i="6"/>
  <c r="D217" i="6" s="1"/>
  <c r="D218" i="6" s="1"/>
  <c r="D93" i="6" s="1"/>
  <c r="E211" i="6"/>
  <c r="E217" i="6" s="1"/>
  <c r="E218" i="6" s="1"/>
  <c r="E93" i="6" s="1"/>
  <c r="F211" i="6"/>
  <c r="F217" i="6" s="1"/>
  <c r="F218" i="6" s="1"/>
  <c r="F93" i="6" s="1"/>
  <c r="G211" i="6"/>
  <c r="G217" i="6" s="1"/>
  <c r="G218" i="6" s="1"/>
  <c r="G93" i="6" s="1"/>
  <c r="H211" i="6"/>
  <c r="H217" i="6" s="1"/>
  <c r="H218" i="6" s="1"/>
  <c r="H93" i="6" s="1"/>
  <c r="I211" i="6"/>
  <c r="I217" i="6" s="1"/>
  <c r="I218" i="6" s="1"/>
  <c r="I93" i="6" s="1"/>
  <c r="J211" i="6"/>
  <c r="J217" i="6" s="1"/>
  <c r="J218" i="6" s="1"/>
  <c r="J93" i="6" s="1"/>
  <c r="K211" i="6"/>
  <c r="K217" i="6" s="1"/>
  <c r="K218" i="6" s="1"/>
  <c r="K93" i="6" s="1"/>
  <c r="L211" i="6"/>
  <c r="L217" i="6" s="1"/>
  <c r="L218" i="6" s="1"/>
  <c r="L93" i="6" s="1"/>
  <c r="M211" i="6"/>
  <c r="M217" i="6" s="1"/>
  <c r="M218" i="6" s="1"/>
  <c r="M93" i="6" s="1"/>
  <c r="N211" i="6"/>
  <c r="N217" i="6" s="1"/>
  <c r="N218" i="6" s="1"/>
  <c r="N93" i="6" s="1"/>
  <c r="O211" i="6"/>
  <c r="O217" i="6" s="1"/>
  <c r="O218" i="6" s="1"/>
  <c r="O93" i="6" s="1"/>
  <c r="P211" i="6"/>
  <c r="Q211" i="6"/>
  <c r="P218" i="6"/>
  <c r="P93" i="6" s="1"/>
  <c r="Q218" i="6"/>
  <c r="D123" i="6"/>
  <c r="E123" i="6"/>
  <c r="F123" i="6"/>
  <c r="G123" i="6"/>
  <c r="H123" i="6"/>
  <c r="I123" i="6"/>
  <c r="J123" i="6"/>
  <c r="K123" i="6"/>
  <c r="L123" i="6"/>
  <c r="M123" i="6"/>
  <c r="N123" i="6"/>
  <c r="O123" i="6"/>
  <c r="P123" i="6"/>
  <c r="Q123" i="6"/>
  <c r="R123" i="6"/>
  <c r="S123" i="6"/>
  <c r="T123" i="6"/>
  <c r="U123" i="6"/>
  <c r="V123" i="6"/>
  <c r="W123" i="6"/>
  <c r="X123" i="6"/>
  <c r="Y123" i="6"/>
  <c r="Z123" i="6"/>
  <c r="AA123" i="6"/>
  <c r="AB123" i="6"/>
  <c r="E143" i="6"/>
  <c r="N146" i="6"/>
  <c r="O146" i="6" s="1"/>
  <c r="P146" i="6" s="1"/>
  <c r="Q146" i="6" s="1"/>
  <c r="R146" i="6" s="1"/>
  <c r="S146" i="6" s="1"/>
  <c r="T146" i="6" s="1"/>
  <c r="U146" i="6" s="1"/>
  <c r="V146" i="6" s="1"/>
  <c r="W146" i="6" s="1"/>
  <c r="X146" i="6" s="1"/>
  <c r="Y146" i="6" s="1"/>
  <c r="Z146" i="6" s="1"/>
  <c r="AA146" i="6" s="1"/>
  <c r="AB146" i="6" s="1"/>
  <c r="AC146" i="6" s="1"/>
  <c r="AD146" i="6" s="1"/>
  <c r="AE146" i="6" s="1"/>
  <c r="AF146" i="6" s="1"/>
  <c r="AG146" i="6" s="1"/>
  <c r="AH146" i="6" s="1"/>
  <c r="AI146" i="6" s="1"/>
  <c r="AJ146" i="6" s="1"/>
  <c r="AK146" i="6" s="1"/>
  <c r="AL146" i="6" s="1"/>
  <c r="R341" i="12"/>
  <c r="I24" i="8"/>
  <c r="I107" i="6"/>
  <c r="I134" i="6" s="1"/>
  <c r="I140" i="6" s="1"/>
  <c r="J107" i="6"/>
  <c r="J134" i="6" s="1"/>
  <c r="J140" i="6" s="1"/>
  <c r="K107" i="6"/>
  <c r="L107" i="6"/>
  <c r="L134" i="6" s="1"/>
  <c r="L140" i="6" s="1"/>
  <c r="M107" i="6"/>
  <c r="N107" i="6"/>
  <c r="O107" i="6"/>
  <c r="H55" i="5" s="1"/>
  <c r="S107" i="6"/>
  <c r="L55" i="5" s="1"/>
  <c r="P135" i="6"/>
  <c r="Q135" i="6"/>
  <c r="U135" i="6"/>
  <c r="V136" i="6"/>
  <c r="AA136" i="6"/>
  <c r="Y139" i="6"/>
  <c r="Q100" i="6"/>
  <c r="K33" i="15" s="1"/>
  <c r="D24" i="12"/>
  <c r="E24" i="12"/>
  <c r="F24" i="12"/>
  <c r="G24" i="12"/>
  <c r="H24" i="12"/>
  <c r="I24" i="12"/>
  <c r="J24" i="12"/>
  <c r="K24" i="12"/>
  <c r="L24" i="12"/>
  <c r="M24" i="12"/>
  <c r="N24" i="12"/>
  <c r="O24" i="12"/>
  <c r="P24" i="12"/>
  <c r="Q24" i="12"/>
  <c r="R24" i="12"/>
  <c r="S24" i="12"/>
  <c r="T24" i="12"/>
  <c r="S457" i="12"/>
  <c r="T457" i="12"/>
  <c r="U457" i="12"/>
  <c r="X457" i="12"/>
  <c r="Z457" i="12"/>
  <c r="E191" i="12"/>
  <c r="F191" i="12"/>
  <c r="G191" i="12"/>
  <c r="H191" i="12"/>
  <c r="I191" i="12"/>
  <c r="J191" i="12"/>
  <c r="K191" i="12"/>
  <c r="L191" i="12"/>
  <c r="M191" i="12"/>
  <c r="N191" i="12"/>
  <c r="O191" i="12"/>
  <c r="P191" i="12"/>
  <c r="Q191" i="12"/>
  <c r="R191" i="12"/>
  <c r="S191" i="12"/>
  <c r="T191" i="12"/>
  <c r="U191" i="12"/>
  <c r="E192" i="12"/>
  <c r="F192" i="12"/>
  <c r="G192" i="12"/>
  <c r="H192" i="12"/>
  <c r="I192" i="12"/>
  <c r="J192" i="12"/>
  <c r="K192" i="12"/>
  <c r="L192" i="12"/>
  <c r="M192" i="12"/>
  <c r="N192" i="12"/>
  <c r="O192" i="12"/>
  <c r="P192" i="12"/>
  <c r="Q192" i="12"/>
  <c r="R192" i="12"/>
  <c r="S192" i="12"/>
  <c r="T192" i="12"/>
  <c r="U192" i="12"/>
  <c r="E193" i="12"/>
  <c r="F193" i="12"/>
  <c r="G193" i="12"/>
  <c r="H193" i="12"/>
  <c r="I193" i="12"/>
  <c r="J193" i="12"/>
  <c r="K193" i="12"/>
  <c r="L193" i="12"/>
  <c r="M193" i="12"/>
  <c r="N193" i="12"/>
  <c r="O193" i="12"/>
  <c r="P193" i="12"/>
  <c r="Q193" i="12"/>
  <c r="R193" i="12"/>
  <c r="S193" i="12"/>
  <c r="T193" i="12"/>
  <c r="U193" i="12"/>
  <c r="U202" i="12"/>
  <c r="E200" i="12"/>
  <c r="F200" i="12"/>
  <c r="G200" i="12"/>
  <c r="H200" i="12"/>
  <c r="I200" i="12"/>
  <c r="J200" i="12"/>
  <c r="K200" i="12"/>
  <c r="L200" i="12"/>
  <c r="M200" i="12"/>
  <c r="N200" i="12"/>
  <c r="O200" i="12"/>
  <c r="P200" i="12"/>
  <c r="Q200" i="12"/>
  <c r="R200" i="12"/>
  <c r="S200" i="12"/>
  <c r="T200" i="12"/>
  <c r="E201" i="12"/>
  <c r="F201" i="12"/>
  <c r="G201" i="12"/>
  <c r="H201" i="12"/>
  <c r="I201" i="12"/>
  <c r="J201" i="12"/>
  <c r="K201" i="12"/>
  <c r="L201" i="12"/>
  <c r="M201" i="12"/>
  <c r="N201" i="12"/>
  <c r="O201" i="12"/>
  <c r="P201" i="12"/>
  <c r="Q201" i="12"/>
  <c r="R201" i="12"/>
  <c r="S201" i="12"/>
  <c r="D202" i="12"/>
  <c r="E202" i="12"/>
  <c r="F202" i="12"/>
  <c r="G202" i="12"/>
  <c r="H202" i="12"/>
  <c r="I202" i="12"/>
  <c r="J202" i="12"/>
  <c r="K202" i="12"/>
  <c r="K208" i="12"/>
  <c r="K209" i="12" s="1"/>
  <c r="L202" i="12"/>
  <c r="L208" i="12"/>
  <c r="L209" i="12" s="1"/>
  <c r="M202" i="12"/>
  <c r="N202" i="12"/>
  <c r="O202" i="12"/>
  <c r="O208" i="12"/>
  <c r="N208" i="12"/>
  <c r="N209" i="12" s="1"/>
  <c r="P202" i="12"/>
  <c r="Q202" i="12"/>
  <c r="R202" i="12"/>
  <c r="S202" i="12"/>
  <c r="T202" i="12"/>
  <c r="S208" i="12"/>
  <c r="S209" i="12" s="1"/>
  <c r="D208" i="12"/>
  <c r="D209" i="12" s="1"/>
  <c r="E208" i="12"/>
  <c r="E209" i="12" s="1"/>
  <c r="F208" i="12"/>
  <c r="G208" i="12"/>
  <c r="G209" i="12" s="1"/>
  <c r="H208" i="12"/>
  <c r="H209" i="12" s="1"/>
  <c r="I208" i="12"/>
  <c r="I209" i="12" s="1"/>
  <c r="J208" i="12"/>
  <c r="J209" i="12" s="1"/>
  <c r="M208" i="12"/>
  <c r="M209" i="12" s="1"/>
  <c r="P208" i="12"/>
  <c r="Q208" i="12"/>
  <c r="Q209" i="12" s="1"/>
  <c r="R208" i="12"/>
  <c r="R209" i="12" s="1"/>
  <c r="F220" i="12"/>
  <c r="F223" i="12" s="1"/>
  <c r="G220" i="12"/>
  <c r="G223" i="12" s="1"/>
  <c r="H220" i="12"/>
  <c r="H223" i="12" s="1"/>
  <c r="I220" i="12"/>
  <c r="I223" i="12" s="1"/>
  <c r="J220" i="12"/>
  <c r="J223" i="12" s="1"/>
  <c r="K220" i="12"/>
  <c r="K223" i="12" s="1"/>
  <c r="L220" i="12"/>
  <c r="L219" i="12"/>
  <c r="M220" i="12"/>
  <c r="N220" i="12"/>
  <c r="P215" i="12"/>
  <c r="P222" i="12"/>
  <c r="E223" i="12"/>
  <c r="E224" i="12" s="1"/>
  <c r="M223" i="12"/>
  <c r="N223" i="12"/>
  <c r="O223" i="12"/>
  <c r="Q239" i="12"/>
  <c r="R239" i="12"/>
  <c r="S239" i="12"/>
  <c r="T239" i="12"/>
  <c r="U239" i="12"/>
  <c r="V239" i="12"/>
  <c r="W239" i="12"/>
  <c r="H228" i="12"/>
  <c r="I228" i="12"/>
  <c r="J228" i="12"/>
  <c r="K228" i="12"/>
  <c r="L228" i="12"/>
  <c r="M228" i="12"/>
  <c r="N228" i="12"/>
  <c r="O228" i="12"/>
  <c r="F236" i="12"/>
  <c r="G236" i="12"/>
  <c r="H236" i="12"/>
  <c r="I236" i="12"/>
  <c r="J236" i="12"/>
  <c r="K236" i="12"/>
  <c r="P244" i="12"/>
  <c r="L246" i="12"/>
  <c r="L254" i="12" s="1"/>
  <c r="M246" i="12"/>
  <c r="M268" i="12" s="1"/>
  <c r="N246" i="12"/>
  <c r="N268" i="12" s="1"/>
  <c r="O246" i="12"/>
  <c r="O254" i="12" s="1"/>
  <c r="P246" i="12"/>
  <c r="P268" i="12" s="1"/>
  <c r="E250" i="12"/>
  <c r="F250" i="12"/>
  <c r="G250" i="12"/>
  <c r="H250" i="12"/>
  <c r="I250" i="12"/>
  <c r="J250" i="12"/>
  <c r="L253" i="12"/>
  <c r="M253" i="12"/>
  <c r="N253" i="12"/>
  <c r="O253" i="12"/>
  <c r="P253" i="12"/>
  <c r="K254" i="12"/>
  <c r="K255" i="12" s="1"/>
  <c r="E255" i="12"/>
  <c r="F255" i="12"/>
  <c r="G255" i="12"/>
  <c r="H255" i="12"/>
  <c r="I255" i="12"/>
  <c r="J255" i="12"/>
  <c r="R255" i="12"/>
  <c r="E257" i="12"/>
  <c r="F257" i="12"/>
  <c r="G257" i="12"/>
  <c r="H257" i="12"/>
  <c r="I257" i="12"/>
  <c r="J257" i="12"/>
  <c r="K257" i="12"/>
  <c r="L257" i="12"/>
  <c r="M257" i="12"/>
  <c r="N257" i="12"/>
  <c r="O257" i="12"/>
  <c r="P257" i="12"/>
  <c r="E261" i="12"/>
  <c r="E262" i="12" s="1"/>
  <c r="F261" i="12"/>
  <c r="F262" i="12" s="1"/>
  <c r="G261" i="12"/>
  <c r="G262" i="12" s="1"/>
  <c r="H261" i="12"/>
  <c r="H262" i="12" s="1"/>
  <c r="I261" i="12"/>
  <c r="I262" i="12" s="1"/>
  <c r="J261" i="12"/>
  <c r="J262" i="12" s="1"/>
  <c r="K261" i="12"/>
  <c r="K262" i="12" s="1"/>
  <c r="L261" i="12"/>
  <c r="L262" i="12" s="1"/>
  <c r="M261" i="12"/>
  <c r="M262" i="12" s="1"/>
  <c r="N261" i="12"/>
  <c r="N262" i="12" s="1"/>
  <c r="O261" i="12"/>
  <c r="O262" i="12" s="1"/>
  <c r="Q261" i="12"/>
  <c r="R261" i="12"/>
  <c r="S261" i="12"/>
  <c r="E264" i="12"/>
  <c r="F264" i="12"/>
  <c r="G264" i="12"/>
  <c r="H264" i="12"/>
  <c r="I264" i="12"/>
  <c r="J264" i="12"/>
  <c r="K264" i="12"/>
  <c r="L264" i="12"/>
  <c r="M264" i="12"/>
  <c r="N264" i="12"/>
  <c r="O264" i="12"/>
  <c r="P264" i="12"/>
  <c r="Q264" i="12"/>
  <c r="R264" i="12"/>
  <c r="S264" i="12"/>
  <c r="E270" i="12"/>
  <c r="F270" i="12"/>
  <c r="G270" i="12"/>
  <c r="H270" i="12"/>
  <c r="I270" i="12"/>
  <c r="J270" i="12"/>
  <c r="K270" i="12"/>
  <c r="L270" i="12"/>
  <c r="M270" i="12"/>
  <c r="N270" i="12"/>
  <c r="O270" i="12"/>
  <c r="P270" i="12"/>
  <c r="E273" i="12"/>
  <c r="F273" i="12"/>
  <c r="G273" i="12"/>
  <c r="H273" i="12"/>
  <c r="I273" i="12"/>
  <c r="J273" i="12"/>
  <c r="K273" i="12"/>
  <c r="L273" i="12"/>
  <c r="M273" i="12"/>
  <c r="N273" i="12"/>
  <c r="O273" i="12"/>
  <c r="P273" i="12"/>
  <c r="Q273" i="12" s="1"/>
  <c r="R273" i="12" s="1"/>
  <c r="S273" i="12" s="1"/>
  <c r="T274" i="12"/>
  <c r="U274" i="12" s="1"/>
  <c r="V274" i="12" s="1"/>
  <c r="W274" i="12" s="1"/>
  <c r="X274" i="12" s="1"/>
  <c r="Y274" i="12" s="1"/>
  <c r="Z274" i="12" s="1"/>
  <c r="AA274" i="12" s="1"/>
  <c r="AB274" i="12" s="1"/>
  <c r="AC274" i="12" s="1"/>
  <c r="AD274" i="12" s="1"/>
  <c r="AE274" i="12" s="1"/>
  <c r="AF274" i="12" s="1"/>
  <c r="AG274" i="12" s="1"/>
  <c r="AH274" i="12" s="1"/>
  <c r="AI274" i="12" s="1"/>
  <c r="AJ274" i="12" s="1"/>
  <c r="E268" i="12"/>
  <c r="F268" i="12"/>
  <c r="G268" i="12"/>
  <c r="H268" i="12"/>
  <c r="I268" i="12"/>
  <c r="J268" i="12"/>
  <c r="K268" i="12"/>
  <c r="S359" i="12"/>
  <c r="T359" i="12"/>
  <c r="U359" i="12"/>
  <c r="Y360" i="12"/>
  <c r="Z360" i="12" s="1"/>
  <c r="AA360" i="12" s="1"/>
  <c r="AB360" i="12" s="1"/>
  <c r="AC360" i="12" s="1"/>
  <c r="AD360" i="12" s="1"/>
  <c r="AE360" i="12" s="1"/>
  <c r="AF360" i="12" s="1"/>
  <c r="AG360" i="12" s="1"/>
  <c r="AH360" i="12" s="1"/>
  <c r="AI360" i="12" s="1"/>
  <c r="AJ360" i="12" s="1"/>
  <c r="Y361" i="12"/>
  <c r="Z361" i="12" s="1"/>
  <c r="AA361" i="12" s="1"/>
  <c r="AB361" i="12" s="1"/>
  <c r="AC361" i="12" s="1"/>
  <c r="AD361" i="12" s="1"/>
  <c r="AE361" i="12" s="1"/>
  <c r="AF361" i="12" s="1"/>
  <c r="AG361" i="12" s="1"/>
  <c r="AH361" i="12" s="1"/>
  <c r="AI361" i="12" s="1"/>
  <c r="AJ361" i="12" s="1"/>
  <c r="D405" i="12"/>
  <c r="E405" i="12"/>
  <c r="F405" i="12"/>
  <c r="G405" i="12"/>
  <c r="H405" i="12"/>
  <c r="I405" i="12"/>
  <c r="J405" i="12"/>
  <c r="K405" i="12"/>
  <c r="M405" i="12"/>
  <c r="N405" i="12"/>
  <c r="O405" i="12"/>
  <c r="P405" i="12"/>
  <c r="P419" i="12"/>
  <c r="Q419" i="12"/>
  <c r="R419" i="12"/>
  <c r="S419" i="12"/>
  <c r="T419" i="12"/>
  <c r="U419" i="12"/>
  <c r="V419" i="12"/>
  <c r="W419" i="12"/>
  <c r="X419" i="12"/>
  <c r="Y419" i="12"/>
  <c r="Z419" i="12"/>
  <c r="AA419" i="12"/>
  <c r="AB419" i="12"/>
  <c r="N424" i="12"/>
  <c r="O424" i="12"/>
  <c r="M440" i="12"/>
  <c r="N440" i="12"/>
  <c r="O440" i="12"/>
  <c r="L336" i="12"/>
  <c r="W135" i="6"/>
  <c r="U24" i="12"/>
  <c r="U200" i="12"/>
  <c r="V29" i="8"/>
  <c r="V200" i="12"/>
  <c r="W191" i="12"/>
  <c r="W192" i="12"/>
  <c r="V49" i="8"/>
  <c r="W49" i="8"/>
  <c r="W200" i="12"/>
  <c r="U254" i="12"/>
  <c r="AX83" i="6"/>
  <c r="X449" i="12"/>
  <c r="AO23" i="5"/>
  <c r="AO21" i="5"/>
  <c r="X451" i="12"/>
  <c r="AO26" i="5"/>
  <c r="AO29" i="5"/>
  <c r="AO27" i="5"/>
  <c r="AO22" i="5"/>
  <c r="X349" i="12"/>
  <c r="AP26" i="5"/>
  <c r="AU93" i="6"/>
  <c r="AT93" i="6" s="1"/>
  <c r="P46" i="5"/>
  <c r="Q46" i="5"/>
  <c r="BM93" i="6"/>
  <c r="X445" i="12"/>
  <c r="AO15" i="5"/>
  <c r="AO17" i="5"/>
  <c r="AP23" i="5"/>
  <c r="AO10" i="5"/>
  <c r="X260" i="12"/>
  <c r="P45" i="5"/>
  <c r="AU90" i="6"/>
  <c r="AT90" i="6" s="1"/>
  <c r="AN41" i="5"/>
  <c r="R46" i="5"/>
  <c r="BI93" i="6"/>
  <c r="BL93" i="6"/>
  <c r="W457" i="12"/>
  <c r="AX93" i="6"/>
  <c r="AW93" i="6" s="1"/>
  <c r="BC93" i="6"/>
  <c r="BJ93" i="6"/>
  <c r="BK93" i="6"/>
  <c r="X216" i="6"/>
  <c r="AX216" i="6" s="1"/>
  <c r="AW216" i="6" s="1"/>
  <c r="W100" i="6"/>
  <c r="AU100" i="6" s="1"/>
  <c r="AT100" i="6" s="1"/>
  <c r="AO20" i="5"/>
  <c r="X67" i="8"/>
  <c r="AX90" i="6"/>
  <c r="AW90" i="6" s="1"/>
  <c r="AO41" i="5"/>
  <c r="Q45" i="5"/>
  <c r="AX84" i="6"/>
  <c r="X100" i="6"/>
  <c r="AX100" i="6" s="1"/>
  <c r="AW100" i="6" s="1"/>
  <c r="X448" i="12"/>
  <c r="X447" i="12"/>
  <c r="AO48" i="5"/>
  <c r="X450" i="12"/>
  <c r="X215" i="6"/>
  <c r="AX215" i="6" s="1"/>
  <c r="AW215" i="6" s="1"/>
  <c r="X444" i="12"/>
  <c r="AO40" i="5"/>
  <c r="X446" i="12"/>
  <c r="X443" i="12"/>
  <c r="X29" i="8"/>
  <c r="AO12" i="5"/>
  <c r="Q43" i="5"/>
  <c r="AX87" i="6"/>
  <c r="AW87" i="6" s="1"/>
  <c r="AO25" i="5"/>
  <c r="X49" i="8"/>
  <c r="P336" i="12"/>
  <c r="U330" i="12"/>
  <c r="X330" i="12"/>
  <c r="AA350" i="12"/>
  <c r="AB350" i="12" s="1"/>
  <c r="AC350" i="12" s="1"/>
  <c r="AD350" i="12" s="1"/>
  <c r="AE350" i="12" s="1"/>
  <c r="AF350" i="12" s="1"/>
  <c r="AG350" i="12" s="1"/>
  <c r="AH350" i="12" s="1"/>
  <c r="AI350" i="12" s="1"/>
  <c r="AJ350" i="12" s="1"/>
  <c r="O337" i="12"/>
  <c r="U162" i="6"/>
  <c r="W136" i="6"/>
  <c r="X107" i="6"/>
  <c r="X136" i="6"/>
  <c r="P337" i="12"/>
  <c r="M336" i="12"/>
  <c r="V321" i="12"/>
  <c r="Q321" i="12"/>
  <c r="Q416" i="12" s="1"/>
  <c r="Q341" i="12"/>
  <c r="W322" i="12"/>
  <c r="W352" i="12" s="1"/>
  <c r="X202" i="12"/>
  <c r="V322" i="12"/>
  <c r="V352" i="12" s="1"/>
  <c r="X191" i="12"/>
  <c r="AM44" i="5"/>
  <c r="AN44" i="5"/>
  <c r="AO44" i="5"/>
  <c r="X192" i="12"/>
  <c r="X193" i="12"/>
  <c r="X254" i="12"/>
  <c r="V70" i="8"/>
  <c r="V128" i="6" s="1"/>
  <c r="V58" i="7"/>
  <c r="AM9" i="5"/>
  <c r="W70" i="8"/>
  <c r="AN56" i="5" s="1"/>
  <c r="W58" i="7"/>
  <c r="X56" i="7" s="1"/>
  <c r="AN9" i="5"/>
  <c r="X70" i="8"/>
  <c r="X58" i="7"/>
  <c r="Y56" i="7" s="1"/>
  <c r="AO9" i="5"/>
  <c r="AS29" i="15"/>
  <c r="R321" i="12"/>
  <c r="R372" i="12" s="1"/>
  <c r="R447" i="12" s="1"/>
  <c r="T167" i="6"/>
  <c r="L169" i="6"/>
  <c r="AQ21" i="5"/>
  <c r="BA90" i="6"/>
  <c r="AZ90" i="6" s="1"/>
  <c r="M170" i="6"/>
  <c r="AH40" i="4"/>
  <c r="F163" i="6"/>
  <c r="K169" i="6"/>
  <c r="AK38" i="5"/>
  <c r="W162" i="6"/>
  <c r="AU162" i="6" s="1"/>
  <c r="AT162" i="6" s="1"/>
  <c r="W321" i="12"/>
  <c r="P162" i="6"/>
  <c r="L162" i="6"/>
  <c r="F327" i="12"/>
  <c r="G327" i="12"/>
  <c r="F336" i="12"/>
  <c r="AD1985" i="4"/>
  <c r="Q362" i="12"/>
  <c r="V326" i="12"/>
  <c r="V385" i="12" s="1"/>
  <c r="V410" i="12" s="1"/>
  <c r="D331" i="12"/>
  <c r="Y170" i="6"/>
  <c r="BA170" i="6" s="1"/>
  <c r="AZ170" i="6" s="1"/>
  <c r="R162" i="6"/>
  <c r="AE1985" i="4"/>
  <c r="O162" i="6"/>
  <c r="T321" i="12"/>
  <c r="T372" i="12" s="1"/>
  <c r="T162" i="6"/>
  <c r="H336" i="12"/>
  <c r="H162" i="6"/>
  <c r="M162" i="6"/>
  <c r="AJ38" i="5"/>
  <c r="AM41" i="5"/>
  <c r="K336" i="12"/>
  <c r="U161" i="6"/>
  <c r="Y100" i="6"/>
  <c r="E163" i="6"/>
  <c r="Q163" i="6"/>
  <c r="D163" i="6"/>
  <c r="AA145" i="4"/>
  <c r="P170" i="6"/>
  <c r="P341" i="12"/>
  <c r="X162" i="6"/>
  <c r="AX162" i="6" s="1"/>
  <c r="AW162" i="6" s="1"/>
  <c r="X321" i="12"/>
  <c r="X416" i="12" s="1"/>
  <c r="AP22" i="5"/>
  <c r="AF38" i="5"/>
  <c r="AG38" i="5"/>
  <c r="AF42" i="4"/>
  <c r="AG31" i="4"/>
  <c r="AF31" i="4"/>
  <c r="V163" i="6"/>
  <c r="AR163" i="6" s="1"/>
  <c r="AQ163" i="6" s="1"/>
  <c r="AF69" i="4"/>
  <c r="AF17" i="4"/>
  <c r="AP27" i="5"/>
  <c r="AP29" i="5"/>
  <c r="AP15" i="5"/>
  <c r="AO38" i="5"/>
  <c r="AT28" i="15"/>
  <c r="AP48" i="5"/>
  <c r="AH38" i="5"/>
  <c r="AD38" i="5"/>
  <c r="AC38" i="5"/>
  <c r="AE38" i="5"/>
  <c r="AP41" i="5"/>
  <c r="AN37" i="5"/>
  <c r="AN38" i="5"/>
  <c r="V318" i="12"/>
  <c r="V348" i="12" s="1"/>
  <c r="AL38" i="5"/>
  <c r="AM38" i="5"/>
  <c r="P320" i="12"/>
  <c r="O327" i="12"/>
  <c r="O386" i="12" s="1"/>
  <c r="O411" i="12" s="1"/>
  <c r="AI38" i="5"/>
  <c r="AM37" i="5"/>
  <c r="AF59" i="4"/>
  <c r="Y16" i="6" s="1"/>
  <c r="Y370" i="12"/>
  <c r="AK37" i="5"/>
  <c r="AO37" i="5"/>
  <c r="AL37" i="5"/>
  <c r="AP44" i="5"/>
  <c r="AP20" i="5"/>
  <c r="AP10" i="5"/>
  <c r="Y25" i="7"/>
  <c r="AP45" i="5" s="1"/>
  <c r="AP17" i="5"/>
  <c r="U101" i="6"/>
  <c r="U127" i="6" s="1"/>
  <c r="V100" i="6"/>
  <c r="AR100" i="6" s="1"/>
  <c r="AQ100" i="6" s="1"/>
  <c r="T164" i="6"/>
  <c r="J163" i="6"/>
  <c r="V288" i="12"/>
  <c r="Y101" i="6"/>
  <c r="S167" i="6"/>
  <c r="AG38" i="4"/>
  <c r="AF22" i="4"/>
  <c r="AF49" i="4"/>
  <c r="AG69" i="4"/>
  <c r="Z18" i="6" s="1"/>
  <c r="BD18" i="6" s="1"/>
  <c r="BC18" i="6" s="1"/>
  <c r="R362" i="12"/>
  <c r="W161" i="6"/>
  <c r="AU161" i="6" s="1"/>
  <c r="AT161" i="6" s="1"/>
  <c r="AQ26" i="5"/>
  <c r="AR23" i="5"/>
  <c r="AQ23" i="5"/>
  <c r="AP38" i="5"/>
  <c r="BA84" i="6"/>
  <c r="AF16" i="4"/>
  <c r="AK244" i="4"/>
  <c r="AL244" i="4" s="1"/>
  <c r="AM244" i="4" s="1"/>
  <c r="AN244" i="4" s="1"/>
  <c r="AO244" i="4" s="1"/>
  <c r="AP244" i="4" s="1"/>
  <c r="AQ244" i="4" s="1"/>
  <c r="AF43" i="4"/>
  <c r="AG43" i="4"/>
  <c r="AF50" i="4"/>
  <c r="AF51" i="4"/>
  <c r="Y45" i="6"/>
  <c r="Y308" i="12"/>
  <c r="Y22" i="8"/>
  <c r="Y24" i="8"/>
  <c r="AP25" i="5"/>
  <c r="AF14" i="4"/>
  <c r="AF15" i="4"/>
  <c r="AF13" i="4"/>
  <c r="AF200" i="4"/>
  <c r="AF30" i="4"/>
  <c r="Y302" i="12"/>
  <c r="Y38" i="6"/>
  <c r="Y307" i="12"/>
  <c r="Y43" i="6"/>
  <c r="AF1988" i="4"/>
  <c r="AF474" i="4"/>
  <c r="Y310" i="12"/>
  <c r="Y47" i="6"/>
  <c r="Y305" i="12"/>
  <c r="Y41" i="6"/>
  <c r="Y301" i="12"/>
  <c r="Y37" i="6"/>
  <c r="Y303" i="12"/>
  <c r="Y39" i="6"/>
  <c r="AP40" i="5"/>
  <c r="Y58" i="7"/>
  <c r="AP9" i="5"/>
  <c r="AP12" i="5"/>
  <c r="AT29" i="15"/>
  <c r="BA83" i="6"/>
  <c r="AF145" i="4"/>
  <c r="AF191" i="4"/>
  <c r="AF193" i="4"/>
  <c r="AF20" i="4"/>
  <c r="AF234" i="4"/>
  <c r="Y300" i="12"/>
  <c r="Y36" i="6"/>
  <c r="AF1985" i="4"/>
  <c r="Y306" i="12"/>
  <c r="Y42" i="6"/>
  <c r="BA42" i="6" s="1"/>
  <c r="AZ42" i="6" s="1"/>
  <c r="Y192" i="12"/>
  <c r="Y26" i="6"/>
  <c r="BA26" i="6" s="1"/>
  <c r="AZ26" i="6" s="1"/>
  <c r="R43" i="5"/>
  <c r="BA87" i="6"/>
  <c r="AZ87" i="6" s="1"/>
  <c r="Y191" i="12"/>
  <c r="Y193" i="12"/>
  <c r="Y25" i="6"/>
  <c r="BA25" i="6" s="1"/>
  <c r="AZ25" i="6" s="1"/>
  <c r="Y28" i="6"/>
  <c r="BA28" i="6" s="1"/>
  <c r="V19" i="6"/>
  <c r="V293" i="12"/>
  <c r="V282" i="12"/>
  <c r="V11" i="6"/>
  <c r="AR11" i="6" s="1"/>
  <c r="AQ11" i="6" s="1"/>
  <c r="AG41" i="4"/>
  <c r="G163" i="6"/>
  <c r="Z145" i="4"/>
  <c r="Z147" i="4" s="1"/>
  <c r="Z149" i="4" s="1"/>
  <c r="M163" i="6"/>
  <c r="P163" i="6"/>
  <c r="S331" i="12"/>
  <c r="S330" i="12"/>
  <c r="K163" i="6"/>
  <c r="L163" i="6"/>
  <c r="N163" i="6"/>
  <c r="H163" i="6"/>
  <c r="I163" i="6"/>
  <c r="AB311" i="12"/>
  <c r="AB49" i="6"/>
  <c r="Q161" i="6"/>
  <c r="Q320" i="12"/>
  <c r="Q371" i="12" s="1"/>
  <c r="Q179" i="6" s="1"/>
  <c r="AG1953" i="4"/>
  <c r="AG1958" i="4" s="1"/>
  <c r="H327" i="12"/>
  <c r="I327" i="12"/>
  <c r="I386" i="12" s="1"/>
  <c r="I411" i="12" s="1"/>
  <c r="V287" i="12"/>
  <c r="V16" i="6"/>
  <c r="AR16" i="6" s="1"/>
  <c r="AQ16" i="6" s="1"/>
  <c r="AF238" i="12"/>
  <c r="AF56" i="4"/>
  <c r="AF1986" i="4"/>
  <c r="V320" i="12"/>
  <c r="V161" i="6"/>
  <c r="AR161" i="6" s="1"/>
  <c r="AQ161" i="6" s="1"/>
  <c r="R163" i="6"/>
  <c r="AR49" i="5"/>
  <c r="AH1970" i="4"/>
  <c r="AB50" i="6"/>
  <c r="Y136" i="6"/>
  <c r="Y135" i="6"/>
  <c r="AB107" i="6"/>
  <c r="BI107" i="6"/>
  <c r="AB136" i="6"/>
  <c r="Z136" i="6"/>
  <c r="Z135" i="6"/>
  <c r="AK395" i="4"/>
  <c r="AL395" i="4" s="1"/>
  <c r="AM395" i="4" s="1"/>
  <c r="AN395" i="4" s="1"/>
  <c r="AO395" i="4" s="1"/>
  <c r="AP395" i="4" s="1"/>
  <c r="AQ395" i="4" s="1"/>
  <c r="AE56" i="4"/>
  <c r="X15" i="6" s="1"/>
  <c r="AA312" i="12"/>
  <c r="AA50" i="6"/>
  <c r="V159" i="6"/>
  <c r="AR159" i="6" s="1"/>
  <c r="AQ159" i="6" s="1"/>
  <c r="AG22" i="4"/>
  <c r="AH22" i="4"/>
  <c r="AG18" i="4"/>
  <c r="W320" i="12"/>
  <c r="W414" i="12" s="1"/>
  <c r="V286" i="12"/>
  <c r="V15" i="6"/>
  <c r="AA101" i="6"/>
  <c r="Z101" i="6"/>
  <c r="BD101" i="6" s="1"/>
  <c r="AR41" i="5"/>
  <c r="Z331" i="12"/>
  <c r="T322" i="12"/>
  <c r="T352" i="12" s="1"/>
  <c r="AG21" i="4"/>
  <c r="AG39" i="4"/>
  <c r="U320" i="12"/>
  <c r="U371" i="12" s="1"/>
  <c r="F331" i="12"/>
  <c r="W341" i="12"/>
  <c r="E327" i="12"/>
  <c r="AS49" i="5"/>
  <c r="AD238" i="12"/>
  <c r="AE238" i="12"/>
  <c r="AI238" i="12"/>
  <c r="AH238" i="12"/>
  <c r="AG238" i="12"/>
  <c r="T238" i="12"/>
  <c r="Y163" i="6"/>
  <c r="BA163" i="6" s="1"/>
  <c r="AZ163" i="6" s="1"/>
  <c r="BG90" i="6"/>
  <c r="BF90" i="6" s="1"/>
  <c r="V283" i="12"/>
  <c r="AU28" i="15"/>
  <c r="AQ27" i="5"/>
  <c r="AQ48" i="5"/>
  <c r="AG32" i="4"/>
  <c r="X165" i="6"/>
  <c r="AX165" i="6" s="1"/>
  <c r="AW165" i="6" s="1"/>
  <c r="G331" i="12"/>
  <c r="J162" i="6"/>
  <c r="AQ41" i="5"/>
  <c r="U322" i="12"/>
  <c r="U373" i="12" s="1"/>
  <c r="V448" i="12" s="1"/>
  <c r="U164" i="6"/>
  <c r="R320" i="12"/>
  <c r="R371" i="12" s="1"/>
  <c r="BC90" i="6"/>
  <c r="S341" i="12"/>
  <c r="AQ15" i="5"/>
  <c r="AQ22" i="5"/>
  <c r="AG1949" i="4"/>
  <c r="AG1955" i="4"/>
  <c r="T341" i="12"/>
  <c r="X163" i="6"/>
  <c r="AX163" i="6" s="1"/>
  <c r="AW163" i="6" s="1"/>
  <c r="Z170" i="6"/>
  <c r="AD36" i="8"/>
  <c r="I333" i="12"/>
  <c r="AQ29" i="5"/>
  <c r="Y164" i="6"/>
  <c r="BA164" i="6" s="1"/>
  <c r="AZ164" i="6" s="1"/>
  <c r="AA170" i="6"/>
  <c r="BG170" i="6" s="1"/>
  <c r="BF170" i="6" s="1"/>
  <c r="O358" i="12"/>
  <c r="AB170" i="6"/>
  <c r="AG1986" i="4"/>
  <c r="N327" i="12"/>
  <c r="BG40" i="15"/>
  <c r="Z308" i="12"/>
  <c r="BH40" i="15"/>
  <c r="BE40" i="15"/>
  <c r="BO40" i="15"/>
  <c r="P363" i="12"/>
  <c r="AD136" i="6"/>
  <c r="AD107" i="6"/>
  <c r="G166" i="6"/>
  <c r="AG30" i="4"/>
  <c r="AG17" i="4"/>
  <c r="U317" i="12"/>
  <c r="U160" i="6"/>
  <c r="U226" i="12"/>
  <c r="AG42" i="4"/>
  <c r="AG366" i="4"/>
  <c r="AH375" i="4" s="1"/>
  <c r="F161" i="6"/>
  <c r="F320" i="12"/>
  <c r="E333" i="12"/>
  <c r="BN40" i="15"/>
  <c r="O333" i="12"/>
  <c r="N333" i="12"/>
  <c r="T320" i="12"/>
  <c r="T371" i="12" s="1"/>
  <c r="T179" i="6" s="1"/>
  <c r="S163" i="6"/>
  <c r="Y321" i="12"/>
  <c r="Y372" i="12" s="1"/>
  <c r="Y180" i="6" s="1"/>
  <c r="Y162" i="6"/>
  <c r="BA162" i="6" s="1"/>
  <c r="AZ162" i="6" s="1"/>
  <c r="Z202" i="12"/>
  <c r="V341" i="12"/>
  <c r="S238" i="12"/>
  <c r="T337" i="12"/>
  <c r="R161" i="6"/>
  <c r="T163" i="6"/>
  <c r="U163" i="6"/>
  <c r="V14" i="6"/>
  <c r="AR14" i="6" s="1"/>
  <c r="AQ14" i="6" s="1"/>
  <c r="V285" i="12"/>
  <c r="V165" i="6"/>
  <c r="AR165" i="6" s="1"/>
  <c r="T161" i="6"/>
  <c r="AQ39" i="5"/>
  <c r="L358" i="12"/>
  <c r="J327" i="12"/>
  <c r="J386" i="12" s="1"/>
  <c r="K320" i="12"/>
  <c r="K371" i="12" s="1"/>
  <c r="AG15" i="4"/>
  <c r="AG169" i="4"/>
  <c r="Z306" i="12"/>
  <c r="V327" i="12"/>
  <c r="V386" i="12" s="1"/>
  <c r="L166" i="6"/>
  <c r="L331" i="12"/>
  <c r="Z303" i="12"/>
  <c r="U238" i="12"/>
  <c r="V337" i="12"/>
  <c r="V396" i="12" s="1"/>
  <c r="V421" i="12" s="1"/>
  <c r="V238" i="12"/>
  <c r="AG1988" i="4"/>
  <c r="Z305" i="12"/>
  <c r="Z301" i="12"/>
  <c r="Z310" i="12"/>
  <c r="Z223" i="12"/>
  <c r="AA224" i="12" s="1"/>
  <c r="Z260" i="12"/>
  <c r="Z67" i="8"/>
  <c r="AQ10" i="5"/>
  <c r="Z192" i="12"/>
  <c r="Z24" i="7"/>
  <c r="AQ44" i="5" s="1"/>
  <c r="AQ20" i="5"/>
  <c r="Z49" i="8"/>
  <c r="AQ25" i="5"/>
  <c r="AQ37" i="5"/>
  <c r="AQ38" i="5"/>
  <c r="AQ17" i="5"/>
  <c r="S43" i="5"/>
  <c r="AQ40" i="5"/>
  <c r="Z54" i="8"/>
  <c r="Z60" i="8" s="1"/>
  <c r="Z29" i="8"/>
  <c r="AQ56" i="5"/>
  <c r="AQ9" i="5"/>
  <c r="AQ12" i="5"/>
  <c r="Z128" i="6"/>
  <c r="AU29" i="15"/>
  <c r="G50" i="7"/>
  <c r="H50" i="7"/>
  <c r="I50" i="7"/>
  <c r="J50" i="7"/>
  <c r="K50" i="7"/>
  <c r="L50" i="7"/>
  <c r="M50" i="7"/>
  <c r="AD39" i="5" s="1"/>
  <c r="N50" i="7"/>
  <c r="O50" i="7"/>
  <c r="P50" i="7"/>
  <c r="Q50" i="7"/>
  <c r="AH39" i="5" s="1"/>
  <c r="R50" i="7"/>
  <c r="AI39" i="5" s="1"/>
  <c r="S50" i="7"/>
  <c r="T50" i="7"/>
  <c r="AK39" i="5" s="1"/>
  <c r="U50" i="7"/>
  <c r="V50" i="7"/>
  <c r="AM39" i="5" s="1"/>
  <c r="W50" i="7"/>
  <c r="X50" i="7"/>
  <c r="Y50" i="7"/>
  <c r="BC87" i="6"/>
  <c r="Z191" i="12"/>
  <c r="Z24" i="12"/>
  <c r="Z193" i="12"/>
  <c r="Z254" i="12"/>
  <c r="AG13" i="4"/>
  <c r="AG141" i="4"/>
  <c r="AG14" i="4"/>
  <c r="AG155" i="4"/>
  <c r="AG16" i="4"/>
  <c r="AG20" i="4"/>
  <c r="BA85" i="6" l="1"/>
  <c r="AZ85" i="6" s="1"/>
  <c r="BI215" i="6"/>
  <c r="AC106" i="6"/>
  <c r="V205" i="14"/>
  <c r="AV171" i="6"/>
  <c r="AL343" i="12" s="1"/>
  <c r="AL339" i="12"/>
  <c r="AL434" i="12" s="1"/>
  <c r="AL216" i="6"/>
  <c r="AL178" i="6"/>
  <c r="T136" i="12"/>
  <c r="O167" i="12"/>
  <c r="N167" i="12"/>
  <c r="AD48" i="5"/>
  <c r="M167" i="12"/>
  <c r="L167" i="12"/>
  <c r="U85" i="6"/>
  <c r="N41" i="5" s="1"/>
  <c r="U143" i="12"/>
  <c r="U148" i="12" s="1"/>
  <c r="Z76" i="6"/>
  <c r="AD289" i="12"/>
  <c r="AD39" i="12"/>
  <c r="R89" i="6"/>
  <c r="H35" i="5"/>
  <c r="Q262" i="12"/>
  <c r="AG2021" i="4"/>
  <c r="AH340" i="12"/>
  <c r="AH398" i="12" s="1"/>
  <c r="AH423" i="12" s="1"/>
  <c r="H30" i="6"/>
  <c r="G30" i="6"/>
  <c r="H193" i="6"/>
  <c r="G193" i="6"/>
  <c r="F30" i="6"/>
  <c r="E30" i="6"/>
  <c r="K143" i="6"/>
  <c r="Z25" i="7"/>
  <c r="AQ45" i="5" s="1"/>
  <c r="E10" i="14"/>
  <c r="E9" i="14" s="1"/>
  <c r="K30" i="5"/>
  <c r="AF2029" i="4"/>
  <c r="W417" i="12"/>
  <c r="T155" i="4"/>
  <c r="AU23" i="15"/>
  <c r="AV23" i="15" s="1"/>
  <c r="AW23" i="15" s="1"/>
  <c r="AG222" i="4"/>
  <c r="AH223" i="4" s="1"/>
  <c r="AH201" i="4"/>
  <c r="Z427" i="12"/>
  <c r="AA25" i="12"/>
  <c r="Z62" i="7"/>
  <c r="Z63" i="7" s="1"/>
  <c r="AA21" i="7"/>
  <c r="AG1938" i="4"/>
  <c r="AH164" i="4"/>
  <c r="AA227" i="12"/>
  <c r="AG1941" i="4"/>
  <c r="AH210" i="4"/>
  <c r="AR395" i="4"/>
  <c r="AS395" i="4" s="1"/>
  <c r="AK352" i="12"/>
  <c r="AJ373" i="12"/>
  <c r="AK348" i="12"/>
  <c r="AJ369" i="12"/>
  <c r="AR132" i="4"/>
  <c r="AS132" i="4" s="1"/>
  <c r="AI215" i="6"/>
  <c r="AJ450" i="12"/>
  <c r="AR244" i="4"/>
  <c r="AS244" i="4" s="1"/>
  <c r="AR206" i="4"/>
  <c r="AS206" i="4" s="1"/>
  <c r="AR344" i="4"/>
  <c r="AS344" i="4" s="1"/>
  <c r="AR371" i="4"/>
  <c r="AS371" i="4" s="1"/>
  <c r="AR279" i="4"/>
  <c r="AS279" i="4" s="1"/>
  <c r="AR292" i="4"/>
  <c r="AS292" i="4" s="1"/>
  <c r="AK351" i="12"/>
  <c r="AJ372" i="12"/>
  <c r="AK361" i="12"/>
  <c r="AJ394" i="12"/>
  <c r="AK274" i="12"/>
  <c r="AL274" i="12" s="1"/>
  <c r="AK201" i="12"/>
  <c r="AL201" i="12" s="1"/>
  <c r="AT169" i="6"/>
  <c r="AJ340" i="12" s="1"/>
  <c r="AK340" i="12"/>
  <c r="AK398" i="12" s="1"/>
  <c r="AK423" i="12" s="1"/>
  <c r="AR321" i="4"/>
  <c r="AS321" i="4" s="1"/>
  <c r="AJ107" i="6"/>
  <c r="AJ135" i="6"/>
  <c r="AK350" i="12"/>
  <c r="AJ371" i="12"/>
  <c r="AK360" i="12"/>
  <c r="AJ393" i="12"/>
  <c r="AR178" i="4"/>
  <c r="AS178" i="4" s="1"/>
  <c r="AR1971" i="4"/>
  <c r="AS1971" i="4" s="1"/>
  <c r="AD69" i="4"/>
  <c r="W288" i="12" s="1"/>
  <c r="W58" i="12" s="1"/>
  <c r="W55" i="5"/>
  <c r="AL13" i="5"/>
  <c r="Z300" i="12"/>
  <c r="AD1986" i="4"/>
  <c r="AE1986" i="4"/>
  <c r="AB134" i="6"/>
  <c r="AB141" i="6" s="1"/>
  <c r="M200" i="4"/>
  <c r="M222" i="4" s="1"/>
  <c r="AG2020" i="4"/>
  <c r="R55" i="5"/>
  <c r="V422" i="12"/>
  <c r="AE49" i="5"/>
  <c r="AN49" i="5"/>
  <c r="L32" i="5"/>
  <c r="Z224" i="12"/>
  <c r="AG375" i="4"/>
  <c r="L30" i="5"/>
  <c r="O20" i="7"/>
  <c r="AF42" i="5" s="1"/>
  <c r="Z255" i="12"/>
  <c r="Y20" i="7"/>
  <c r="Z21" i="7" s="1"/>
  <c r="S20" i="7"/>
  <c r="M13" i="4"/>
  <c r="X53" i="7"/>
  <c r="AO51" i="5" s="1"/>
  <c r="AO50" i="5" s="1"/>
  <c r="T77" i="6"/>
  <c r="BA107" i="6"/>
  <c r="AZ107" i="6" s="1"/>
  <c r="BM42" i="15"/>
  <c r="AQ165" i="6"/>
  <c r="Y134" i="6"/>
  <c r="Y140" i="6" s="1"/>
  <c r="I161" i="14"/>
  <c r="I163" i="14" s="1"/>
  <c r="AD310" i="4"/>
  <c r="AE310" i="4" s="1"/>
  <c r="AE312" i="4" s="1"/>
  <c r="AE313" i="4" s="1"/>
  <c r="AH48" i="5"/>
  <c r="AF2020" i="4"/>
  <c r="N141" i="4"/>
  <c r="V269" i="12"/>
  <c r="S45" i="7"/>
  <c r="AJ49" i="5" s="1"/>
  <c r="BG49" i="6"/>
  <c r="BF49" i="6" s="1"/>
  <c r="BG50" i="6"/>
  <c r="BF50" i="6" s="1"/>
  <c r="F41" i="5"/>
  <c r="M33" i="15"/>
  <c r="BM28" i="15" s="1"/>
  <c r="AS171" i="6"/>
  <c r="AI343" i="12" s="1"/>
  <c r="M41" i="5"/>
  <c r="AY46" i="6"/>
  <c r="AY48" i="6" s="1"/>
  <c r="T12" i="15"/>
  <c r="BD40" i="6"/>
  <c r="BC40" i="6" s="1"/>
  <c r="BD25" i="6"/>
  <c r="BC25" i="6" s="1"/>
  <c r="Z134" i="6"/>
  <c r="Z140" i="6" s="1"/>
  <c r="BD107" i="6"/>
  <c r="BC107" i="6" s="1"/>
  <c r="BD45" i="6"/>
  <c r="BC45" i="6" s="1"/>
  <c r="BD26" i="6"/>
  <c r="BC26" i="6" s="1"/>
  <c r="BH187" i="6"/>
  <c r="BD187" i="6"/>
  <c r="BC187" i="6" s="1"/>
  <c r="BD39" i="6"/>
  <c r="BC39" i="6" s="1"/>
  <c r="T17" i="15"/>
  <c r="BD47" i="6"/>
  <c r="BC47" i="6" s="1"/>
  <c r="BH170" i="6"/>
  <c r="BD170" i="6"/>
  <c r="BC170" i="6" s="1"/>
  <c r="BC172" i="6" s="1"/>
  <c r="BD38" i="6"/>
  <c r="BC38" i="6" s="1"/>
  <c r="BD85" i="6"/>
  <c r="BC85" i="6" s="1"/>
  <c r="I45" i="7"/>
  <c r="AA134" i="6"/>
  <c r="AA140" i="6" s="1"/>
  <c r="U136" i="6"/>
  <c r="J20" i="7"/>
  <c r="J62" i="7" s="1"/>
  <c r="J63" i="7" s="1"/>
  <c r="P20" i="7"/>
  <c r="AE136" i="6"/>
  <c r="V76" i="6"/>
  <c r="AF1997" i="4"/>
  <c r="V135" i="6"/>
  <c r="U24" i="8"/>
  <c r="K66" i="7"/>
  <c r="M254" i="12"/>
  <c r="M255" i="12" s="1"/>
  <c r="BI42" i="15"/>
  <c r="I22" i="8"/>
  <c r="I85" i="8" s="1"/>
  <c r="AE2013" i="4"/>
  <c r="O134" i="6"/>
  <c r="O140" i="6" s="1"/>
  <c r="S76" i="6"/>
  <c r="S85" i="8" s="1"/>
  <c r="AC29" i="5"/>
  <c r="AC28" i="5" s="1"/>
  <c r="AC15" i="5"/>
  <c r="AA310" i="4"/>
  <c r="AA312" i="4" s="1"/>
  <c r="AA313" i="4" s="1"/>
  <c r="AA314" i="4" s="1"/>
  <c r="O222" i="14"/>
  <c r="AX37" i="6"/>
  <c r="AW37" i="6" s="1"/>
  <c r="W76" i="6"/>
  <c r="AU76" i="6" s="1"/>
  <c r="AT76" i="6" s="1"/>
  <c r="AT78" i="6" s="1"/>
  <c r="Z188" i="6"/>
  <c r="S422" i="12"/>
  <c r="N20" i="7"/>
  <c r="AE48" i="5"/>
  <c r="AD240" i="12"/>
  <c r="AD218" i="12" s="1"/>
  <c r="M55" i="5"/>
  <c r="AE274" i="4"/>
  <c r="M204" i="12"/>
  <c r="L255" i="12"/>
  <c r="Q136" i="6"/>
  <c r="J53" i="7"/>
  <c r="BW8" i="15"/>
  <c r="BW38" i="15" s="1"/>
  <c r="BV8" i="15"/>
  <c r="BV38" i="15" s="1"/>
  <c r="BU8" i="15"/>
  <c r="BU38" i="15" s="1"/>
  <c r="AU16" i="15"/>
  <c r="BT8" i="15"/>
  <c r="BT38" i="15" s="1"/>
  <c r="S27" i="7"/>
  <c r="AE52" i="4"/>
  <c r="X14" i="6" s="1"/>
  <c r="X202" i="6" s="1"/>
  <c r="AF267" i="4"/>
  <c r="AF269" i="4" s="1"/>
  <c r="G20" i="7"/>
  <c r="G62" i="7" s="1"/>
  <c r="G63" i="7" s="1"/>
  <c r="Z53" i="7"/>
  <c r="AQ51" i="5" s="1"/>
  <c r="K27" i="7"/>
  <c r="P27" i="7"/>
  <c r="AJ45" i="5"/>
  <c r="O27" i="7"/>
  <c r="O33" i="7" s="1"/>
  <c r="AF166" i="4"/>
  <c r="G71" i="8"/>
  <c r="X11" i="6"/>
  <c r="AX11" i="6" s="1"/>
  <c r="AW11" i="6" s="1"/>
  <c r="J30" i="5"/>
  <c r="M53" i="7"/>
  <c r="AD51" i="5" s="1"/>
  <c r="AE2030" i="4"/>
  <c r="H20" i="7"/>
  <c r="H62" i="7" s="1"/>
  <c r="H63" i="7" s="1"/>
  <c r="Z69" i="8"/>
  <c r="T47" i="8"/>
  <c r="R127" i="6"/>
  <c r="AD201" i="4"/>
  <c r="V457" i="12"/>
  <c r="AC185" i="6"/>
  <c r="S205" i="14" s="1"/>
  <c r="AF2011" i="4"/>
  <c r="T204" i="12"/>
  <c r="S69" i="8"/>
  <c r="G69" i="8"/>
  <c r="U20" i="7"/>
  <c r="AL42" i="5" s="1"/>
  <c r="P53" i="7"/>
  <c r="AG51" i="5" s="1"/>
  <c r="Y65" i="6"/>
  <c r="W51" i="8"/>
  <c r="AG44" i="5"/>
  <c r="O219" i="12"/>
  <c r="P219" i="12" s="1"/>
  <c r="P220" i="12" s="1"/>
  <c r="R24" i="8"/>
  <c r="R27" i="8" s="1"/>
  <c r="I105" i="14"/>
  <c r="I103" i="14" s="1"/>
  <c r="G74" i="8"/>
  <c r="O53" i="7"/>
  <c r="AF164" i="4"/>
  <c r="AG260" i="4"/>
  <c r="AH261" i="4" s="1"/>
  <c r="AE2028" i="4"/>
  <c r="F21" i="14"/>
  <c r="AG2018" i="4"/>
  <c r="S77" i="6"/>
  <c r="AQ13" i="5"/>
  <c r="Z40" i="12"/>
  <c r="Z44" i="12" s="1"/>
  <c r="AE2029" i="4"/>
  <c r="E105" i="14"/>
  <c r="E103" i="14" s="1"/>
  <c r="BA50" i="6"/>
  <c r="AZ50" i="6" s="1"/>
  <c r="AF14" i="5"/>
  <c r="AF1998" i="4"/>
  <c r="N53" i="7"/>
  <c r="AE51" i="5" s="1"/>
  <c r="AR26" i="5"/>
  <c r="J27" i="7"/>
  <c r="AF178" i="4"/>
  <c r="X76" i="6"/>
  <c r="AU179" i="6"/>
  <c r="AT179" i="6" s="1"/>
  <c r="AV186" i="6"/>
  <c r="AV189" i="6" s="1"/>
  <c r="AV80" i="6" s="1"/>
  <c r="AV86" i="6" s="1"/>
  <c r="AV88" i="6" s="1"/>
  <c r="AV91" i="6" s="1"/>
  <c r="F271" i="12"/>
  <c r="X223" i="4"/>
  <c r="AE469" i="4"/>
  <c r="N219" i="12"/>
  <c r="V224" i="12"/>
  <c r="W178" i="4"/>
  <c r="Z164" i="4"/>
  <c r="O193" i="6"/>
  <c r="AP80" i="6"/>
  <c r="AP86" i="6" s="1"/>
  <c r="AP88" i="6" s="1"/>
  <c r="AP91" i="6" s="1"/>
  <c r="O49" i="8"/>
  <c r="AD274" i="4"/>
  <c r="H27" i="8"/>
  <c r="H29" i="8" s="1"/>
  <c r="H72" i="8" s="1"/>
  <c r="H74" i="8"/>
  <c r="D10" i="14"/>
  <c r="D9" i="14" s="1"/>
  <c r="F89" i="14"/>
  <c r="T240" i="12"/>
  <c r="T218" i="12" s="1"/>
  <c r="T217" i="12" s="1"/>
  <c r="AF215" i="6"/>
  <c r="BL215" i="6" s="1"/>
  <c r="E75" i="14"/>
  <c r="AF2023" i="4"/>
  <c r="T55" i="5"/>
  <c r="BG107" i="6"/>
  <c r="BF107" i="6" s="1"/>
  <c r="H66" i="7"/>
  <c r="AE2019" i="4"/>
  <c r="AE1997" i="4"/>
  <c r="H33" i="7"/>
  <c r="H36" i="7" s="1"/>
  <c r="H37" i="7" s="1"/>
  <c r="J66" i="7"/>
  <c r="M27" i="7"/>
  <c r="R27" i="7"/>
  <c r="Y72" i="6"/>
  <c r="F59" i="14"/>
  <c r="AE12" i="5"/>
  <c r="AE11" i="5" s="1"/>
  <c r="AC25" i="5"/>
  <c r="AC24" i="5" s="1"/>
  <c r="E30" i="5"/>
  <c r="P134" i="6"/>
  <c r="P140" i="6" s="1"/>
  <c r="P55" i="5"/>
  <c r="AD450" i="12"/>
  <c r="AE1998" i="4"/>
  <c r="AF2018" i="4"/>
  <c r="M134" i="6"/>
  <c r="M140" i="6" s="1"/>
  <c r="S14" i="15"/>
  <c r="AT14" i="15" s="1"/>
  <c r="E47" i="14"/>
  <c r="E46" i="14" s="1"/>
  <c r="AF2002" i="4"/>
  <c r="E184" i="14"/>
  <c r="D184" i="14" s="1"/>
  <c r="D186" i="14" s="1"/>
  <c r="AF1995" i="4"/>
  <c r="O186" i="4"/>
  <c r="R45" i="7"/>
  <c r="R53" i="7" s="1"/>
  <c r="AI44" i="5"/>
  <c r="Z302" i="12"/>
  <c r="AS23" i="5"/>
  <c r="AD44" i="5"/>
  <c r="AR19" i="6"/>
  <c r="AQ19" i="6" s="1"/>
  <c r="AD2028" i="4"/>
  <c r="K200" i="4"/>
  <c r="K222" i="4" s="1"/>
  <c r="AE462" i="4"/>
  <c r="Z201" i="4"/>
  <c r="Y451" i="12"/>
  <c r="L155" i="4"/>
  <c r="Y77" i="6"/>
  <c r="BA77" i="6" s="1"/>
  <c r="AZ77" i="6" s="1"/>
  <c r="N49" i="8"/>
  <c r="Z377" i="12"/>
  <c r="Z451" i="12" s="1"/>
  <c r="U33" i="15"/>
  <c r="BU39" i="15" s="1"/>
  <c r="AF147" i="4"/>
  <c r="AF152" i="4" s="1"/>
  <c r="AG355" i="4"/>
  <c r="U422" i="12"/>
  <c r="W27" i="7"/>
  <c r="L27" i="7"/>
  <c r="AX176" i="6"/>
  <c r="AW176" i="6" s="1"/>
  <c r="AI185" i="6"/>
  <c r="P136" i="6"/>
  <c r="AX50" i="6"/>
  <c r="AW50" i="6" s="1"/>
  <c r="Q155" i="4"/>
  <c r="AF377" i="4"/>
  <c r="U77" i="6"/>
  <c r="BR40" i="15"/>
  <c r="AQ42" i="5"/>
  <c r="Z84" i="8"/>
  <c r="K20" i="7"/>
  <c r="K62" i="7" s="1"/>
  <c r="K63" i="7" s="1"/>
  <c r="U448" i="12"/>
  <c r="R38" i="8"/>
  <c r="V72" i="8"/>
  <c r="AM59" i="5" s="1"/>
  <c r="AM60" i="5" s="1"/>
  <c r="W53" i="7"/>
  <c r="V53" i="7"/>
  <c r="AM51" i="5" s="1"/>
  <c r="AM50" i="5" s="1"/>
  <c r="J10" i="14"/>
  <c r="J9" i="14" s="1"/>
  <c r="AA210" i="4"/>
  <c r="AF2004" i="4"/>
  <c r="I27" i="7"/>
  <c r="W24" i="8"/>
  <c r="AG49" i="5"/>
  <c r="AO30" i="5"/>
  <c r="AI422" i="12"/>
  <c r="BS40" i="15"/>
  <c r="P194" i="12"/>
  <c r="L66" i="7"/>
  <c r="AE266" i="4"/>
  <c r="Y66" i="6"/>
  <c r="W422" i="12"/>
  <c r="X287" i="12"/>
  <c r="X55" i="12" s="1"/>
  <c r="X16" i="6"/>
  <c r="X204" i="6" s="1"/>
  <c r="AQ14" i="5"/>
  <c r="Q90" i="8"/>
  <c r="N87" i="8"/>
  <c r="AR36" i="5"/>
  <c r="AP49" i="5"/>
  <c r="L53" i="7"/>
  <c r="AC51" i="5" s="1"/>
  <c r="Q53" i="7"/>
  <c r="Y53" i="7"/>
  <c r="AC33" i="5"/>
  <c r="W293" i="12"/>
  <c r="W60" i="12" s="1"/>
  <c r="AF1996" i="4"/>
  <c r="AF266" i="4"/>
  <c r="T24" i="8"/>
  <c r="AK9" i="5"/>
  <c r="L20" i="7"/>
  <c r="N91" i="8"/>
  <c r="N92" i="8" s="1"/>
  <c r="AR55" i="5"/>
  <c r="AK49" i="5"/>
  <c r="AR187" i="6"/>
  <c r="AQ187" i="6" s="1"/>
  <c r="AG1972" i="4"/>
  <c r="AG1960" i="4" s="1"/>
  <c r="Y201" i="4"/>
  <c r="W20" i="7"/>
  <c r="W62" i="7" s="1"/>
  <c r="W63" i="7" s="1"/>
  <c r="AG1997" i="4"/>
  <c r="N71" i="8"/>
  <c r="W71" i="8"/>
  <c r="AR8" i="5"/>
  <c r="K53" i="7"/>
  <c r="U76" i="6"/>
  <c r="AA135" i="6"/>
  <c r="AG1998" i="4"/>
  <c r="X20" i="7"/>
  <c r="Z72" i="8"/>
  <c r="AQ59" i="5" s="1"/>
  <c r="AQ60" i="5" s="1"/>
  <c r="N128" i="6"/>
  <c r="N129" i="6" s="1"/>
  <c r="N130" i="6" s="1"/>
  <c r="W128" i="6"/>
  <c r="AC48" i="5"/>
  <c r="T53" i="7"/>
  <c r="AK51" i="5" s="1"/>
  <c r="N27" i="7"/>
  <c r="N33" i="7" s="1"/>
  <c r="AD210" i="4"/>
  <c r="AP14" i="5"/>
  <c r="S89" i="8"/>
  <c r="T89" i="8" s="1"/>
  <c r="U89" i="8" s="1"/>
  <c r="V89" i="8" s="1"/>
  <c r="W89" i="8" s="1"/>
  <c r="X89" i="8" s="1"/>
  <c r="Y89" i="8" s="1"/>
  <c r="Z89" i="8" s="1"/>
  <c r="AA89" i="8" s="1"/>
  <c r="AB89" i="8" s="1"/>
  <c r="AC89" i="8" s="1"/>
  <c r="AD89" i="8" s="1"/>
  <c r="AE89" i="8" s="1"/>
  <c r="AF89" i="8" s="1"/>
  <c r="AG89" i="8" s="1"/>
  <c r="AH89" i="8" s="1"/>
  <c r="AI89" i="8" s="1"/>
  <c r="AJ89" i="8" s="1"/>
  <c r="AK89" i="8" s="1"/>
  <c r="AL89" i="8" s="1"/>
  <c r="H9" i="14"/>
  <c r="AF240" i="12"/>
  <c r="AF218" i="12" s="1"/>
  <c r="AP24" i="15"/>
  <c r="I20" i="7"/>
  <c r="U8" i="5"/>
  <c r="AS36" i="5" s="1"/>
  <c r="AK370" i="4"/>
  <c r="AL370" i="4" s="1"/>
  <c r="AM370" i="4" s="1"/>
  <c r="AN370" i="4" s="1"/>
  <c r="AO370" i="4" s="1"/>
  <c r="AP370" i="4" s="1"/>
  <c r="AQ370" i="4" s="1"/>
  <c r="AH39" i="4"/>
  <c r="AH2019" i="4" s="1"/>
  <c r="V27" i="7"/>
  <c r="R424" i="12"/>
  <c r="V51" i="8"/>
  <c r="V77" i="8" s="1"/>
  <c r="N395" i="12"/>
  <c r="N420" i="12" s="1"/>
  <c r="AL39" i="5"/>
  <c r="O187" i="4"/>
  <c r="O195" i="4" s="1"/>
  <c r="O230" i="4" s="1"/>
  <c r="W186" i="4"/>
  <c r="Y186" i="4"/>
  <c r="AE2002" i="4"/>
  <c r="AD19" i="4"/>
  <c r="AD23" i="4" s="1"/>
  <c r="H84" i="8"/>
  <c r="AB101" i="6"/>
  <c r="I47" i="14"/>
  <c r="H49" i="8"/>
  <c r="T69" i="8"/>
  <c r="P69" i="8"/>
  <c r="L68" i="8"/>
  <c r="W224" i="12"/>
  <c r="AK131" i="4"/>
  <c r="O141" i="4"/>
  <c r="V262" i="12"/>
  <c r="K271" i="12"/>
  <c r="AE2004" i="4"/>
  <c r="AE267" i="4"/>
  <c r="AE269" i="4" s="1"/>
  <c r="E69" i="8"/>
  <c r="AG2002" i="4"/>
  <c r="P187" i="4"/>
  <c r="P195" i="4" s="1"/>
  <c r="P230" i="4" s="1"/>
  <c r="Q187" i="4"/>
  <c r="Q195" i="4" s="1"/>
  <c r="Q230" i="4" s="1"/>
  <c r="P186" i="4"/>
  <c r="K192" i="4"/>
  <c r="L187" i="4"/>
  <c r="L195" i="4" s="1"/>
  <c r="L230" i="4" s="1"/>
  <c r="Y26" i="8"/>
  <c r="L27" i="8"/>
  <c r="L29" i="8" s="1"/>
  <c r="AG2035" i="4"/>
  <c r="H33" i="14"/>
  <c r="Y288" i="12"/>
  <c r="Y58" i="12" s="1"/>
  <c r="Y74" i="8"/>
  <c r="F75" i="14"/>
  <c r="H128" i="6"/>
  <c r="H129" i="6" s="1"/>
  <c r="H130" i="6" s="1"/>
  <c r="H87" i="8"/>
  <c r="F124" i="14"/>
  <c r="E122" i="14"/>
  <c r="D122" i="14" s="1"/>
  <c r="D124" i="14" s="1"/>
  <c r="W46" i="8"/>
  <c r="E27" i="7"/>
  <c r="E208" i="14"/>
  <c r="F210" i="14"/>
  <c r="AU107" i="6"/>
  <c r="AT107" i="6" s="1"/>
  <c r="W134" i="6"/>
  <c r="W140" i="6" s="1"/>
  <c r="AF15" i="5"/>
  <c r="M396" i="12"/>
  <c r="M421" i="12" s="1"/>
  <c r="AD2013" i="4"/>
  <c r="AF2017" i="4"/>
  <c r="AD267" i="4"/>
  <c r="AD269" i="4" s="1"/>
  <c r="J32" i="5"/>
  <c r="W306" i="4"/>
  <c r="G66" i="7"/>
  <c r="AE1995" i="4"/>
  <c r="AH240" i="12"/>
  <c r="AH218" i="12" s="1"/>
  <c r="AF355" i="4"/>
  <c r="AE69" i="4"/>
  <c r="AF2035" i="4" s="1"/>
  <c r="AF48" i="5"/>
  <c r="AC49" i="5"/>
  <c r="X27" i="7"/>
  <c r="BK42" i="15"/>
  <c r="U68" i="8"/>
  <c r="Q69" i="8"/>
  <c r="Y306" i="4"/>
  <c r="V210" i="4"/>
  <c r="AA201" i="4"/>
  <c r="W223" i="4"/>
  <c r="P200" i="4"/>
  <c r="P222" i="4" s="1"/>
  <c r="AT187" i="6"/>
  <c r="AD135" i="6"/>
  <c r="S68" i="8"/>
  <c r="O68" i="8"/>
  <c r="AF2003" i="4"/>
  <c r="AF2000" i="4"/>
  <c r="G49" i="8"/>
  <c r="D29" i="6"/>
  <c r="D32" i="6" s="1"/>
  <c r="L35" i="5"/>
  <c r="G35" i="5"/>
  <c r="AE2022" i="4"/>
  <c r="AE2018" i="4"/>
  <c r="AE1996" i="4"/>
  <c r="BN23" i="15"/>
  <c r="BN28" i="15"/>
  <c r="BN24" i="15"/>
  <c r="AK369" i="4"/>
  <c r="AL369" i="4" s="1"/>
  <c r="AM369" i="4" s="1"/>
  <c r="AN369" i="4" s="1"/>
  <c r="AO369" i="4" s="1"/>
  <c r="AP369" i="4" s="1"/>
  <c r="AQ369" i="4" s="1"/>
  <c r="AH38" i="4"/>
  <c r="AH2018" i="4" s="1"/>
  <c r="Z77" i="6"/>
  <c r="BD77" i="6" s="1"/>
  <c r="D74" i="8"/>
  <c r="D27" i="8"/>
  <c r="D29" i="8" s="1"/>
  <c r="D72" i="8" s="1"/>
  <c r="BA100" i="6"/>
  <c r="AZ100" i="6" s="1"/>
  <c r="Y27" i="7"/>
  <c r="L49" i="8"/>
  <c r="O33" i="15"/>
  <c r="BO23" i="15" s="1"/>
  <c r="AP56" i="5"/>
  <c r="Y128" i="6"/>
  <c r="Y51" i="8"/>
  <c r="Y73" i="8" s="1"/>
  <c r="Y75" i="8" s="1"/>
  <c r="Y76" i="6"/>
  <c r="AH69" i="4"/>
  <c r="AH2035" i="4" s="1"/>
  <c r="AB288" i="12"/>
  <c r="AF1958" i="4"/>
  <c r="AF1959" i="4" s="1"/>
  <c r="AF1956" i="4"/>
  <c r="Y287" i="12"/>
  <c r="Y55" i="12" s="1"/>
  <c r="P261" i="12"/>
  <c r="P262" i="12" s="1"/>
  <c r="P254" i="12"/>
  <c r="P252" i="12" s="1"/>
  <c r="F27" i="7"/>
  <c r="AG377" i="4"/>
  <c r="I69" i="8"/>
  <c r="AF2028" i="4"/>
  <c r="AG2028" i="4"/>
  <c r="AI1951" i="4"/>
  <c r="AI1970" i="4" s="1"/>
  <c r="AI1972" i="4" s="1"/>
  <c r="AI1960" i="4" s="1"/>
  <c r="AI1961" i="4" s="1"/>
  <c r="AI1962" i="4" s="1"/>
  <c r="AI1963" i="4" s="1"/>
  <c r="R69" i="8"/>
  <c r="AQ49" i="5"/>
  <c r="X128" i="6"/>
  <c r="AO56" i="5"/>
  <c r="X71" i="8"/>
  <c r="AD2030" i="4"/>
  <c r="AD52" i="4"/>
  <c r="W14" i="6" s="1"/>
  <c r="W202" i="6" s="1"/>
  <c r="Q14" i="15"/>
  <c r="AR14" i="15" s="1"/>
  <c r="X65" i="6"/>
  <c r="I87" i="8"/>
  <c r="I128" i="6"/>
  <c r="I129" i="6" s="1"/>
  <c r="AF25" i="5"/>
  <c r="AF30" i="5" s="1"/>
  <c r="P27" i="8"/>
  <c r="I122" i="14"/>
  <c r="H124" i="14"/>
  <c r="H75" i="14"/>
  <c r="I77" i="14"/>
  <c r="J77" i="14" s="1"/>
  <c r="J75" i="14" s="1"/>
  <c r="I22" i="14"/>
  <c r="H21" i="14"/>
  <c r="E161" i="14"/>
  <c r="E163" i="14" s="1"/>
  <c r="F163" i="14"/>
  <c r="L87" i="8"/>
  <c r="AC56" i="5"/>
  <c r="L128" i="6"/>
  <c r="L129" i="6" s="1"/>
  <c r="L130" i="6" s="1"/>
  <c r="L71" i="8"/>
  <c r="T127" i="6"/>
  <c r="Q134" i="6"/>
  <c r="Q140" i="6" s="1"/>
  <c r="V134" i="6"/>
  <c r="V140" i="6" s="1"/>
  <c r="T136" i="4"/>
  <c r="C28" i="6"/>
  <c r="C29" i="6" s="1"/>
  <c r="C26" i="6"/>
  <c r="C27" i="6" s="1"/>
  <c r="G84" i="8"/>
  <c r="F85" i="8"/>
  <c r="F27" i="8"/>
  <c r="F29" i="8" s="1"/>
  <c r="F72" i="8" s="1"/>
  <c r="AY186" i="6"/>
  <c r="AY189" i="6" s="1"/>
  <c r="BB190" i="6" s="1"/>
  <c r="AY192" i="6"/>
  <c r="AY193" i="6" s="1"/>
  <c r="K19" i="4"/>
  <c r="K23" i="4" s="1"/>
  <c r="T340" i="12"/>
  <c r="T398" i="12" s="1"/>
  <c r="T423" i="12" s="1"/>
  <c r="AX179" i="6"/>
  <c r="AW179" i="6" s="1"/>
  <c r="BC39" i="15"/>
  <c r="AQ24" i="15"/>
  <c r="AR23" i="15"/>
  <c r="G30" i="5"/>
  <c r="G32" i="5"/>
  <c r="G33" i="5" s="1"/>
  <c r="AD2003" i="4"/>
  <c r="AE2003" i="4"/>
  <c r="P41" i="5"/>
  <c r="AU85" i="6"/>
  <c r="AT85" i="6" s="1"/>
  <c r="M222" i="14"/>
  <c r="V77" i="6"/>
  <c r="AR77" i="6" s="1"/>
  <c r="AQ77" i="6" s="1"/>
  <c r="AR179" i="6"/>
  <c r="AQ179" i="6" s="1"/>
  <c r="T76" i="6"/>
  <c r="E41" i="5"/>
  <c r="L143" i="6"/>
  <c r="O22" i="8"/>
  <c r="AF13" i="5" s="1"/>
  <c r="P38" i="8"/>
  <c r="Q22" i="8"/>
  <c r="AI13" i="5"/>
  <c r="R74" i="8"/>
  <c r="S84" i="8"/>
  <c r="U38" i="8"/>
  <c r="V74" i="8"/>
  <c r="AI240" i="12"/>
  <c r="AI218" i="12" s="1"/>
  <c r="AF201" i="4"/>
  <c r="I66" i="7"/>
  <c r="AG2003" i="4"/>
  <c r="AG2000" i="4"/>
  <c r="AF2030" i="4"/>
  <c r="AH2020" i="4"/>
  <c r="S262" i="12"/>
  <c r="BF39" i="15"/>
  <c r="O66" i="7"/>
  <c r="S66" i="7"/>
  <c r="AF2008" i="4"/>
  <c r="BL39" i="15"/>
  <c r="P66" i="7"/>
  <c r="Z127" i="6"/>
  <c r="Z129" i="6" s="1"/>
  <c r="D22" i="14"/>
  <c r="D21" i="14" s="1"/>
  <c r="AG2030" i="4"/>
  <c r="T273" i="12"/>
  <c r="U273" i="12" s="1"/>
  <c r="V273" i="12" s="1"/>
  <c r="W273" i="12" s="1"/>
  <c r="X273" i="12" s="1"/>
  <c r="Y273" i="12" s="1"/>
  <c r="Z273" i="12" s="1"/>
  <c r="AA273" i="12" s="1"/>
  <c r="AB273" i="12" s="1"/>
  <c r="AC273" i="12" s="1"/>
  <c r="AD273" i="12" s="1"/>
  <c r="AE273" i="12" s="1"/>
  <c r="AF273" i="12" s="1"/>
  <c r="AG273" i="12" s="1"/>
  <c r="AH273" i="12" s="1"/>
  <c r="AI273" i="12" s="1"/>
  <c r="AJ273" i="12" s="1"/>
  <c r="E89" i="14"/>
  <c r="T33" i="15"/>
  <c r="BT39" i="15" s="1"/>
  <c r="W314" i="4"/>
  <c r="W164" i="4"/>
  <c r="Q204" i="12"/>
  <c r="Y71" i="8"/>
  <c r="AC39" i="5"/>
  <c r="Y18" i="6"/>
  <c r="BA18" i="6" s="1"/>
  <c r="AZ18" i="6" s="1"/>
  <c r="K274" i="12"/>
  <c r="O224" i="12"/>
  <c r="AD260" i="4"/>
  <c r="AD261" i="4" s="1"/>
  <c r="Q66" i="7"/>
  <c r="Q20" i="7"/>
  <c r="Q62" i="7" s="1"/>
  <c r="Q63" i="7" s="1"/>
  <c r="K269" i="12"/>
  <c r="H68" i="8"/>
  <c r="N155" i="4"/>
  <c r="AE2000" i="4"/>
  <c r="AE201" i="4"/>
  <c r="F78" i="6"/>
  <c r="F80" i="6" s="1"/>
  <c r="F144" i="6" s="1"/>
  <c r="AG265" i="4"/>
  <c r="AK239" i="4"/>
  <c r="AL239" i="4" s="1"/>
  <c r="AM239" i="4" s="1"/>
  <c r="AN239" i="4" s="1"/>
  <c r="AO239" i="4" s="1"/>
  <c r="AP239" i="4" s="1"/>
  <c r="AQ239" i="4" s="1"/>
  <c r="AH21" i="4"/>
  <c r="AH2003" i="4" s="1"/>
  <c r="AR22" i="5"/>
  <c r="S240" i="12"/>
  <c r="S218" i="12" s="1"/>
  <c r="S217" i="12" s="1"/>
  <c r="S74" i="8"/>
  <c r="AG13" i="5"/>
  <c r="P68" i="8"/>
  <c r="P74" i="8"/>
  <c r="AE377" i="4"/>
  <c r="AF375" i="4"/>
  <c r="J49" i="8"/>
  <c r="E49" i="8"/>
  <c r="AF12" i="5"/>
  <c r="AF11" i="5" s="1"/>
  <c r="F143" i="14"/>
  <c r="E141" i="14"/>
  <c r="O55" i="5"/>
  <c r="AR107" i="6"/>
  <c r="AQ107" i="6" s="1"/>
  <c r="AG15" i="5"/>
  <c r="AD1939" i="4"/>
  <c r="AD178" i="4"/>
  <c r="W139" i="6"/>
  <c r="T136" i="6"/>
  <c r="T135" i="6"/>
  <c r="I208" i="14"/>
  <c r="H210" i="14"/>
  <c r="P192" i="4"/>
  <c r="Q186" i="4"/>
  <c r="R192" i="4"/>
  <c r="R187" i="4"/>
  <c r="R195" i="4" s="1"/>
  <c r="R230" i="4" s="1"/>
  <c r="U186" i="4"/>
  <c r="T187" i="4"/>
  <c r="T195" i="4" s="1"/>
  <c r="T230" i="4" s="1"/>
  <c r="V192" i="4"/>
  <c r="W187" i="4"/>
  <c r="W197" i="4" s="1"/>
  <c r="V187" i="4"/>
  <c r="V197" i="4" s="1"/>
  <c r="K187" i="4"/>
  <c r="K195" i="4" s="1"/>
  <c r="K230" i="4" s="1"/>
  <c r="L186" i="4"/>
  <c r="I78" i="6"/>
  <c r="I80" i="6" s="1"/>
  <c r="I86" i="6" s="1"/>
  <c r="Q33" i="15"/>
  <c r="W127" i="6"/>
  <c r="T422" i="12"/>
  <c r="S134" i="6"/>
  <c r="S140" i="6" s="1"/>
  <c r="R13" i="4"/>
  <c r="R19" i="4" s="1"/>
  <c r="R23" i="4" s="1"/>
  <c r="R141" i="4"/>
  <c r="N13" i="4"/>
  <c r="N19" i="4" s="1"/>
  <c r="N23" i="4" s="1"/>
  <c r="N200" i="4"/>
  <c r="N222" i="4" s="1"/>
  <c r="AD1998" i="4"/>
  <c r="Q25" i="7"/>
  <c r="Q27" i="7" s="1"/>
  <c r="N143" i="6"/>
  <c r="P47" i="8"/>
  <c r="F274" i="12"/>
  <c r="I210" i="12"/>
  <c r="AE260" i="4"/>
  <c r="Z205" i="6"/>
  <c r="I91" i="14"/>
  <c r="N66" i="7"/>
  <c r="U164" i="4"/>
  <c r="R66" i="7"/>
  <c r="H53" i="7"/>
  <c r="AS22" i="6"/>
  <c r="AT28" i="6"/>
  <c r="AT29" i="6" s="1"/>
  <c r="AJ428" i="12" s="1"/>
  <c r="M20" i="7"/>
  <c r="M62" i="7" s="1"/>
  <c r="M63" i="7" s="1"/>
  <c r="BG83" i="6"/>
  <c r="BN39" i="15"/>
  <c r="BN41" i="15" s="1"/>
  <c r="BN29" i="15"/>
  <c r="AC136" i="6"/>
  <c r="AC135" i="6"/>
  <c r="AB100" i="6"/>
  <c r="BH100" i="6" s="1"/>
  <c r="G269" i="12"/>
  <c r="L274" i="12"/>
  <c r="L271" i="12"/>
  <c r="L252" i="12"/>
  <c r="E71" i="8"/>
  <c r="W262" i="12"/>
  <c r="AE422" i="12"/>
  <c r="P29" i="6"/>
  <c r="P32" i="6" s="1"/>
  <c r="X314" i="4"/>
  <c r="X306" i="4"/>
  <c r="L193" i="6"/>
  <c r="E78" i="6"/>
  <c r="E80" i="6" s="1"/>
  <c r="E86" i="6" s="1"/>
  <c r="E153" i="12" s="1"/>
  <c r="M66" i="7"/>
  <c r="M187" i="4"/>
  <c r="M195" i="4" s="1"/>
  <c r="M230" i="4" s="1"/>
  <c r="AF2034" i="4"/>
  <c r="AG2004" i="4"/>
  <c r="K204" i="12"/>
  <c r="R29" i="6"/>
  <c r="R32" i="6" s="1"/>
  <c r="K27" i="5" s="1"/>
  <c r="W210" i="4"/>
  <c r="S210" i="4"/>
  <c r="X194" i="12"/>
  <c r="X187" i="4"/>
  <c r="X195" i="4" s="1"/>
  <c r="X230" i="4" s="1"/>
  <c r="AE2009" i="4"/>
  <c r="J35" i="5"/>
  <c r="AA19" i="4"/>
  <c r="AA23" i="4" s="1"/>
  <c r="T226" i="12" s="1"/>
  <c r="Y224" i="12"/>
  <c r="O20" i="5"/>
  <c r="O21" i="5" s="1"/>
  <c r="Y84" i="8"/>
  <c r="AP13" i="5"/>
  <c r="AF52" i="4"/>
  <c r="U392" i="12"/>
  <c r="U417" i="12" s="1"/>
  <c r="T20" i="7"/>
  <c r="T62" i="7" s="1"/>
  <c r="T63" i="7" s="1"/>
  <c r="BI23" i="15"/>
  <c r="BI39" i="15"/>
  <c r="BI29" i="15"/>
  <c r="AL49" i="5"/>
  <c r="U53" i="7"/>
  <c r="Q333" i="12"/>
  <c r="Q394" i="12" s="1"/>
  <c r="Q361" i="12" s="1"/>
  <c r="AK61" i="4"/>
  <c r="AL61" i="4" s="1"/>
  <c r="AM61" i="4" s="1"/>
  <c r="AN61" i="4" s="1"/>
  <c r="AO61" i="4" s="1"/>
  <c r="AP61" i="4" s="1"/>
  <c r="AQ61" i="4" s="1"/>
  <c r="AR61" i="4" s="1"/>
  <c r="AS61" i="4" s="1"/>
  <c r="Z287" i="12"/>
  <c r="Z55" i="12" s="1"/>
  <c r="Z16" i="6"/>
  <c r="BD16" i="6" s="1"/>
  <c r="BC16" i="6" s="1"/>
  <c r="AE1936" i="4"/>
  <c r="J274" i="12"/>
  <c r="M219" i="12"/>
  <c r="M236" i="12" s="1"/>
  <c r="R25" i="12"/>
  <c r="V129" i="6"/>
  <c r="X203" i="6"/>
  <c r="AG136" i="4"/>
  <c r="AF1936" i="4"/>
  <c r="AG1936" i="4"/>
  <c r="Z150" i="4"/>
  <c r="Z1937" i="4"/>
  <c r="N271" i="12"/>
  <c r="H271" i="12"/>
  <c r="H71" i="8"/>
  <c r="Q224" i="12"/>
  <c r="R224" i="12"/>
  <c r="Y150" i="4"/>
  <c r="Z293" i="12"/>
  <c r="Z60" i="12" s="1"/>
  <c r="AJ39" i="5"/>
  <c r="BA36" i="6"/>
  <c r="AZ36" i="6" s="1"/>
  <c r="F49" i="8"/>
  <c r="U210" i="4"/>
  <c r="V178" i="4"/>
  <c r="T186" i="4"/>
  <c r="E35" i="5"/>
  <c r="X60" i="6"/>
  <c r="AE166" i="4"/>
  <c r="AE1938" i="4"/>
  <c r="AG178" i="4"/>
  <c r="AG1939" i="4"/>
  <c r="Z51" i="8"/>
  <c r="Z77" i="8" s="1"/>
  <c r="AG39" i="5"/>
  <c r="Y204" i="6"/>
  <c r="Y223" i="4"/>
  <c r="E204" i="12"/>
  <c r="O25" i="12"/>
  <c r="AD422" i="12"/>
  <c r="K29" i="6"/>
  <c r="K32" i="6" s="1"/>
  <c r="D27" i="5" s="1"/>
  <c r="Q29" i="6"/>
  <c r="Q428" i="12" s="1"/>
  <c r="V306" i="4"/>
  <c r="Z210" i="4"/>
  <c r="W150" i="4"/>
  <c r="AA1936" i="4"/>
  <c r="AD166" i="4"/>
  <c r="AD1938" i="4"/>
  <c r="AA1986" i="4"/>
  <c r="X269" i="12"/>
  <c r="AF450" i="12"/>
  <c r="AE2020" i="4"/>
  <c r="AE2011" i="4"/>
  <c r="Q15" i="15"/>
  <c r="AR15" i="15" s="1"/>
  <c r="W204" i="6"/>
  <c r="AU36" i="6"/>
  <c r="AT36" i="6" s="1"/>
  <c r="Y314" i="4"/>
  <c r="T306" i="4"/>
  <c r="X210" i="4"/>
  <c r="R210" i="4"/>
  <c r="V164" i="4"/>
  <c r="U150" i="4"/>
  <c r="Z1936" i="4"/>
  <c r="AS189" i="6"/>
  <c r="Q200" i="4"/>
  <c r="Q222" i="4" s="1"/>
  <c r="P141" i="4"/>
  <c r="X186" i="4"/>
  <c r="AU42" i="6"/>
  <c r="AT42" i="6" s="1"/>
  <c r="T13" i="15"/>
  <c r="Z71" i="6"/>
  <c r="AG2012" i="4"/>
  <c r="D71" i="8"/>
  <c r="D85" i="8"/>
  <c r="AE44" i="4"/>
  <c r="X12" i="6" s="1"/>
  <c r="AX42" i="6"/>
  <c r="AW42" i="6" s="1"/>
  <c r="AA290" i="12"/>
  <c r="E193" i="6"/>
  <c r="E32" i="5"/>
  <c r="F33" i="5" s="1"/>
  <c r="BL42" i="15"/>
  <c r="AP171" i="6"/>
  <c r="AF343" i="12" s="1"/>
  <c r="BB192" i="6"/>
  <c r="BE193" i="6" s="1"/>
  <c r="K32" i="5"/>
  <c r="M193" i="6"/>
  <c r="AQ28" i="5"/>
  <c r="AF28" i="5"/>
  <c r="AP18" i="5"/>
  <c r="AN28" i="5"/>
  <c r="AP24" i="5"/>
  <c r="AE24" i="5"/>
  <c r="AM24" i="5"/>
  <c r="AQ24" i="5"/>
  <c r="K35" i="5"/>
  <c r="AQ11" i="5"/>
  <c r="AO24" i="5"/>
  <c r="AP11" i="5"/>
  <c r="AF107" i="6"/>
  <c r="AF135" i="6"/>
  <c r="AE107" i="6"/>
  <c r="X55" i="5" s="1"/>
  <c r="AA20" i="6"/>
  <c r="BR39" i="15"/>
  <c r="BR29" i="15"/>
  <c r="BR28" i="15"/>
  <c r="S41" i="5"/>
  <c r="BG101" i="6"/>
  <c r="BF101" i="6" s="1"/>
  <c r="F55" i="5"/>
  <c r="AX101" i="6"/>
  <c r="AW101" i="6" s="1"/>
  <c r="AX47" i="6"/>
  <c r="AW47" i="6" s="1"/>
  <c r="J55" i="5"/>
  <c r="S143" i="6"/>
  <c r="Z65" i="6"/>
  <c r="BR14" i="15"/>
  <c r="V55" i="5"/>
  <c r="AR101" i="6"/>
  <c r="AQ101" i="6" s="1"/>
  <c r="AA127" i="6"/>
  <c r="U55" i="5"/>
  <c r="E55" i="5"/>
  <c r="BR11" i="15"/>
  <c r="H41" i="5"/>
  <c r="N193" i="6"/>
  <c r="O92" i="8"/>
  <c r="H32" i="5"/>
  <c r="BH42" i="15"/>
  <c r="H30" i="5"/>
  <c r="AU101" i="6"/>
  <c r="AT101" i="6" s="1"/>
  <c r="N78" i="6"/>
  <c r="P33" i="15"/>
  <c r="BP13" i="15" s="1"/>
  <c r="E101" i="6"/>
  <c r="S55" i="5"/>
  <c r="AY63" i="6"/>
  <c r="J29" i="6"/>
  <c r="J32" i="6" s="1"/>
  <c r="F35" i="5"/>
  <c r="BB63" i="6"/>
  <c r="AC134" i="6"/>
  <c r="AC140" i="6" s="1"/>
  <c r="V59" i="5" s="1"/>
  <c r="X127" i="6"/>
  <c r="R134" i="6"/>
  <c r="R140" i="6" s="1"/>
  <c r="F30" i="5"/>
  <c r="BG42" i="15"/>
  <c r="H78" i="6"/>
  <c r="H80" i="6" s="1"/>
  <c r="AW28" i="6"/>
  <c r="Z43" i="6"/>
  <c r="BD43" i="6" s="1"/>
  <c r="BC43" i="6" s="1"/>
  <c r="Z61" i="6"/>
  <c r="U269" i="12"/>
  <c r="T14" i="15"/>
  <c r="S17" i="15"/>
  <c r="L25" i="12"/>
  <c r="F194" i="12"/>
  <c r="F29" i="6"/>
  <c r="F32" i="6" s="1"/>
  <c r="I396" i="12"/>
  <c r="I421" i="12" s="1"/>
  <c r="Y269" i="12"/>
  <c r="X423" i="12"/>
  <c r="N210" i="12"/>
  <c r="G204" i="12"/>
  <c r="V255" i="12"/>
  <c r="AG422" i="12"/>
  <c r="W269" i="12"/>
  <c r="U240" i="12"/>
  <c r="U218" i="12" s="1"/>
  <c r="U217" i="12" s="1"/>
  <c r="AG240" i="12"/>
  <c r="AG218" i="12" s="1"/>
  <c r="L268" i="12"/>
  <c r="L269" i="12" s="1"/>
  <c r="X72" i="6"/>
  <c r="U25" i="12"/>
  <c r="G274" i="12"/>
  <c r="M271" i="12"/>
  <c r="G271" i="12"/>
  <c r="R210" i="12"/>
  <c r="H210" i="12"/>
  <c r="O194" i="12"/>
  <c r="I194" i="12"/>
  <c r="U255" i="12"/>
  <c r="O436" i="12"/>
  <c r="U29" i="6"/>
  <c r="O29" i="6"/>
  <c r="O32" i="6" s="1"/>
  <c r="N29" i="6"/>
  <c r="N32" i="6" s="1"/>
  <c r="G27" i="5" s="1"/>
  <c r="Y25" i="12"/>
  <c r="U181" i="6"/>
  <c r="O206" i="14"/>
  <c r="AD420" i="12"/>
  <c r="AH185" i="6"/>
  <c r="BN185" i="6" s="1"/>
  <c r="AU177" i="6"/>
  <c r="AT177" i="6" s="1"/>
  <c r="X427" i="12"/>
  <c r="Y182" i="6"/>
  <c r="BA182" i="6" s="1"/>
  <c r="AZ182" i="6" s="1"/>
  <c r="F269" i="12"/>
  <c r="S204" i="12"/>
  <c r="Q16" i="15"/>
  <c r="AR16" i="15" s="1"/>
  <c r="S13" i="15"/>
  <c r="AT13" i="15" s="1"/>
  <c r="AH450" i="12"/>
  <c r="AI450" i="12"/>
  <c r="X62" i="6"/>
  <c r="Y62" i="6"/>
  <c r="I204" i="12"/>
  <c r="X25" i="12"/>
  <c r="Q10" i="15"/>
  <c r="AR10" i="15" s="1"/>
  <c r="W255" i="12"/>
  <c r="Y449" i="12"/>
  <c r="N204" i="12"/>
  <c r="X224" i="12"/>
  <c r="X40" i="6"/>
  <c r="X46" i="6" s="1"/>
  <c r="Z64" i="6"/>
  <c r="S15" i="15"/>
  <c r="AT15" i="15" s="1"/>
  <c r="N254" i="12"/>
  <c r="Y69" i="6"/>
  <c r="AR181" i="6"/>
  <c r="AQ181" i="6" s="1"/>
  <c r="AU176" i="6"/>
  <c r="AT176" i="6" s="1"/>
  <c r="AT30" i="6" s="1"/>
  <c r="Q11" i="15"/>
  <c r="AR11" i="15" s="1"/>
  <c r="V240" i="12"/>
  <c r="V218" i="12" s="1"/>
  <c r="V217" i="12" s="1"/>
  <c r="BA43" i="6"/>
  <c r="AZ43" i="6" s="1"/>
  <c r="W350" i="12"/>
  <c r="Y427" i="12"/>
  <c r="X304" i="12"/>
  <c r="AU37" i="6"/>
  <c r="AT37" i="6" s="1"/>
  <c r="H269" i="12"/>
  <c r="O271" i="12"/>
  <c r="L223" i="12"/>
  <c r="M224" i="12" s="1"/>
  <c r="E210" i="12"/>
  <c r="L210" i="12"/>
  <c r="H204" i="12"/>
  <c r="U204" i="12"/>
  <c r="U224" i="12"/>
  <c r="G29" i="6"/>
  <c r="G32" i="6" s="1"/>
  <c r="O252" i="12"/>
  <c r="P396" i="12"/>
  <c r="P421" i="12" s="1"/>
  <c r="S16" i="15"/>
  <c r="AT16" i="15" s="1"/>
  <c r="O268" i="12"/>
  <c r="P269" i="12" s="1"/>
  <c r="L194" i="12"/>
  <c r="E194" i="12"/>
  <c r="AE185" i="6"/>
  <c r="AE450" i="12"/>
  <c r="AB312" i="12"/>
  <c r="U209" i="12"/>
  <c r="U210" i="12" s="1"/>
  <c r="AI420" i="12"/>
  <c r="BA45" i="6"/>
  <c r="AZ45" i="6" s="1"/>
  <c r="Y67" i="6"/>
  <c r="I269" i="12"/>
  <c r="T262" i="12"/>
  <c r="I29" i="6"/>
  <c r="I32" i="6" s="1"/>
  <c r="T29" i="6"/>
  <c r="T428" i="12" s="1"/>
  <c r="H29" i="6"/>
  <c r="H32" i="6" s="1"/>
  <c r="Z60" i="6"/>
  <c r="AB72" i="6"/>
  <c r="Y60" i="6"/>
  <c r="Q427" i="12"/>
  <c r="L204" i="12"/>
  <c r="X66" i="6"/>
  <c r="W204" i="12"/>
  <c r="AX38" i="6"/>
  <c r="AW38" i="6" s="1"/>
  <c r="AE215" i="6"/>
  <c r="BK215" i="6" s="1"/>
  <c r="R262" i="12"/>
  <c r="T11" i="15"/>
  <c r="BA37" i="6"/>
  <c r="AZ37" i="6" s="1"/>
  <c r="L236" i="12"/>
  <c r="M206" i="14"/>
  <c r="R16" i="15"/>
  <c r="AS16" i="15" s="1"/>
  <c r="BR16" i="15" s="1"/>
  <c r="R204" i="12"/>
  <c r="J204" i="12"/>
  <c r="D204" i="12"/>
  <c r="Y64" i="6"/>
  <c r="Z370" i="12"/>
  <c r="Z178" i="6" s="1"/>
  <c r="Z67" i="6"/>
  <c r="K210" i="12"/>
  <c r="T410" i="12"/>
  <c r="N224" i="12"/>
  <c r="S11" i="15"/>
  <c r="AT11" i="15" s="1"/>
  <c r="AR185" i="6"/>
  <c r="AQ185" i="6" s="1"/>
  <c r="AU43" i="6"/>
  <c r="AT43" i="6" s="1"/>
  <c r="Y194" i="12"/>
  <c r="J269" i="12"/>
  <c r="BG29" i="15"/>
  <c r="BG39" i="15"/>
  <c r="BG41" i="15" s="1"/>
  <c r="BG28" i="15"/>
  <c r="BJ90" i="6"/>
  <c r="BI90" i="6"/>
  <c r="AV22" i="6"/>
  <c r="AY22" i="6"/>
  <c r="W40" i="6"/>
  <c r="M204" i="14" s="1"/>
  <c r="AA71" i="6"/>
  <c r="D78" i="6"/>
  <c r="D80" i="6" s="1"/>
  <c r="N55" i="5"/>
  <c r="BE42" i="15"/>
  <c r="BF29" i="15"/>
  <c r="Z69" i="6"/>
  <c r="I35" i="5"/>
  <c r="X61" i="6"/>
  <c r="D30" i="5"/>
  <c r="G129" i="6"/>
  <c r="G130" i="6" s="1"/>
  <c r="Q143" i="6"/>
  <c r="K78" i="6"/>
  <c r="K80" i="6" s="1"/>
  <c r="AI434" i="12"/>
  <c r="AZ28" i="6"/>
  <c r="AZ29" i="6" s="1"/>
  <c r="K41" i="5"/>
  <c r="BL28" i="15"/>
  <c r="Z62" i="6"/>
  <c r="AR183" i="6"/>
  <c r="AQ183" i="6" s="1"/>
  <c r="Y29" i="6"/>
  <c r="O78" i="6"/>
  <c r="O80" i="6" s="1"/>
  <c r="H85" i="8"/>
  <c r="AB71" i="6"/>
  <c r="AG164" i="4"/>
  <c r="AG166" i="4"/>
  <c r="AK256" i="4"/>
  <c r="AK258" i="4" s="1"/>
  <c r="AE210" i="4"/>
  <c r="AF2009" i="4"/>
  <c r="M155" i="4"/>
  <c r="AE2012" i="4"/>
  <c r="AE1999" i="4"/>
  <c r="AF2013" i="4"/>
  <c r="AF2019" i="4"/>
  <c r="AE306" i="4"/>
  <c r="W201" i="4"/>
  <c r="M141" i="4"/>
  <c r="V150" i="4"/>
  <c r="V186" i="4"/>
  <c r="J396" i="12"/>
  <c r="J421" i="12" s="1"/>
  <c r="Z420" i="12"/>
  <c r="V136" i="4"/>
  <c r="P19" i="4"/>
  <c r="P23" i="4" s="1"/>
  <c r="I317" i="12" s="1"/>
  <c r="I368" i="12" s="1"/>
  <c r="I413" i="12" s="1"/>
  <c r="W192" i="4"/>
  <c r="U187" i="4"/>
  <c r="Q13" i="4"/>
  <c r="Q19" i="4" s="1"/>
  <c r="Q23" i="4" s="1"/>
  <c r="U201" i="4"/>
  <c r="AD469" i="4"/>
  <c r="AE375" i="4"/>
  <c r="R390" i="12"/>
  <c r="R415" i="12" s="1"/>
  <c r="I395" i="12"/>
  <c r="I420" i="12" s="1"/>
  <c r="AG1996" i="4"/>
  <c r="O16" i="5"/>
  <c r="O17" i="5" s="1"/>
  <c r="AH1958" i="4"/>
  <c r="AH30" i="4"/>
  <c r="AH2011" i="4" s="1"/>
  <c r="AF420" i="12"/>
  <c r="Q141" i="4"/>
  <c r="L200" i="4"/>
  <c r="U136" i="4"/>
  <c r="K228" i="4"/>
  <c r="R186" i="4"/>
  <c r="S186" i="4"/>
  <c r="AA306" i="4"/>
  <c r="AK243" i="4"/>
  <c r="T420" i="12"/>
  <c r="Z136" i="4"/>
  <c r="AG2023" i="4"/>
  <c r="S187" i="4"/>
  <c r="S195" i="4" s="1"/>
  <c r="S230" i="4" s="1"/>
  <c r="X201" i="4"/>
  <c r="O395" i="12"/>
  <c r="O420" i="12" s="1"/>
  <c r="Z306" i="4"/>
  <c r="Z178" i="4"/>
  <c r="X164" i="4"/>
  <c r="AH32" i="4"/>
  <c r="AH2013" i="4" s="1"/>
  <c r="AK288" i="4"/>
  <c r="AL288" i="4" s="1"/>
  <c r="AM288" i="4" s="1"/>
  <c r="AN288" i="4" s="1"/>
  <c r="AO288" i="4" s="1"/>
  <c r="AP288" i="4" s="1"/>
  <c r="AQ288" i="4" s="1"/>
  <c r="AK373" i="4"/>
  <c r="AL373" i="4" s="1"/>
  <c r="AM373" i="4" s="1"/>
  <c r="AN373" i="4" s="1"/>
  <c r="AO373" i="4" s="1"/>
  <c r="AP373" i="4" s="1"/>
  <c r="AQ373" i="4" s="1"/>
  <c r="AF2021" i="4"/>
  <c r="AD2020" i="4"/>
  <c r="AE2008" i="4"/>
  <c r="W19" i="6"/>
  <c r="AU19" i="6" s="1"/>
  <c r="AT19" i="6" s="1"/>
  <c r="U306" i="4"/>
  <c r="Z314" i="4"/>
  <c r="R155" i="4"/>
  <c r="M186" i="4"/>
  <c r="R200" i="4"/>
  <c r="R222" i="4" s="1"/>
  <c r="AD1995" i="4"/>
  <c r="T222" i="4"/>
  <c r="AE2036" i="4"/>
  <c r="M14" i="4"/>
  <c r="X286" i="12"/>
  <c r="X54" i="12" s="1"/>
  <c r="U410" i="12"/>
  <c r="AA178" i="4"/>
  <c r="T210" i="4"/>
  <c r="AE223" i="4"/>
  <c r="Y210" i="4"/>
  <c r="M192" i="4"/>
  <c r="AD2002" i="4"/>
  <c r="AD2011" i="4"/>
  <c r="AF2012" i="4"/>
  <c r="M395" i="12"/>
  <c r="M420" i="12" s="1"/>
  <c r="Y178" i="4"/>
  <c r="AG2013" i="4"/>
  <c r="X351" i="12"/>
  <c r="AE2034" i="4"/>
  <c r="AE2021" i="4"/>
  <c r="Y19" i="6"/>
  <c r="AF2036" i="4"/>
  <c r="Z146" i="4"/>
  <c r="Y164" i="4"/>
  <c r="N186" i="4"/>
  <c r="Y136" i="4"/>
  <c r="AE19" i="4"/>
  <c r="Z223" i="4"/>
  <c r="AF295" i="4"/>
  <c r="S155" i="4"/>
  <c r="AG2011" i="4"/>
  <c r="AF44" i="4"/>
  <c r="Y293" i="12"/>
  <c r="Y60" i="12" s="1"/>
  <c r="AG1947" i="4"/>
  <c r="AH1947" i="4" s="1"/>
  <c r="N187" i="4"/>
  <c r="AA222" i="4"/>
  <c r="AA223" i="4" s="1"/>
  <c r="J395" i="12"/>
  <c r="J420" i="12" s="1"/>
  <c r="AH1972" i="4"/>
  <c r="AH1960" i="4" s="1"/>
  <c r="AG2019" i="4"/>
  <c r="AJ291" i="4"/>
  <c r="AK291" i="4" s="1"/>
  <c r="AL291" i="4" s="1"/>
  <c r="AM291" i="4" s="1"/>
  <c r="AN291" i="4" s="1"/>
  <c r="AO291" i="4" s="1"/>
  <c r="AP291" i="4" s="1"/>
  <c r="AQ291" i="4" s="1"/>
  <c r="V284" i="12"/>
  <c r="X19" i="6"/>
  <c r="AP30" i="5"/>
  <c r="AP28" i="5"/>
  <c r="N27" i="8"/>
  <c r="T84" i="8"/>
  <c r="U84" i="8"/>
  <c r="AK13" i="5"/>
  <c r="T74" i="8"/>
  <c r="AG33" i="5"/>
  <c r="AM14" i="5"/>
  <c r="AM16" i="5" s="1"/>
  <c r="V26" i="8"/>
  <c r="Y46" i="8"/>
  <c r="X51" i="8"/>
  <c r="X77" i="8" s="1"/>
  <c r="X72" i="8"/>
  <c r="AO59" i="5" s="1"/>
  <c r="AO60" i="5" s="1"/>
  <c r="X69" i="8"/>
  <c r="Y69" i="8"/>
  <c r="X68" i="8"/>
  <c r="X74" i="8"/>
  <c r="AE29" i="5"/>
  <c r="AJ25" i="5"/>
  <c r="AJ24" i="5" s="1"/>
  <c r="AL12" i="5"/>
  <c r="AL11" i="5" s="1"/>
  <c r="AD12" i="5"/>
  <c r="AD11" i="5" s="1"/>
  <c r="O128" i="6"/>
  <c r="O129" i="6" s="1"/>
  <c r="O130" i="6" s="1"/>
  <c r="O87" i="8"/>
  <c r="O71" i="8"/>
  <c r="AF56" i="5"/>
  <c r="AF58" i="5" s="1"/>
  <c r="AN11" i="5"/>
  <c r="AN18" i="5"/>
  <c r="AM18" i="5"/>
  <c r="AN30" i="5"/>
  <c r="AN24" i="5"/>
  <c r="AD29" i="5"/>
  <c r="AD28" i="5" s="1"/>
  <c r="M49" i="8"/>
  <c r="S47" i="8"/>
  <c r="S49" i="8" s="1"/>
  <c r="AM28" i="5"/>
  <c r="AM30" i="5"/>
  <c r="BF40" i="15"/>
  <c r="BC29" i="15"/>
  <c r="BC30" i="15" s="1"/>
  <c r="BC33" i="15" s="1"/>
  <c r="AH33" i="5"/>
  <c r="AR27" i="5"/>
  <c r="U71" i="8"/>
  <c r="U128" i="6"/>
  <c r="U129" i="6" s="1"/>
  <c r="AL56" i="5"/>
  <c r="U74" i="8"/>
  <c r="U69" i="8"/>
  <c r="R68" i="8"/>
  <c r="Q68" i="8"/>
  <c r="N69" i="8"/>
  <c r="M69" i="8"/>
  <c r="M74" i="8"/>
  <c r="M68" i="8"/>
  <c r="I68" i="8"/>
  <c r="J68" i="8"/>
  <c r="E68" i="8"/>
  <c r="F69" i="8"/>
  <c r="F68" i="8"/>
  <c r="W69" i="8"/>
  <c r="V69" i="8"/>
  <c r="V68" i="8"/>
  <c r="W68" i="8"/>
  <c r="W37" i="8"/>
  <c r="AE33" i="5"/>
  <c r="AE58" i="5" s="1"/>
  <c r="BF28" i="15"/>
  <c r="AH24" i="5"/>
  <c r="T68" i="8"/>
  <c r="D49" i="8"/>
  <c r="BC40" i="15"/>
  <c r="I71" i="8"/>
  <c r="BQ40" i="15"/>
  <c r="V84" i="8"/>
  <c r="V60" i="8"/>
  <c r="Y68" i="8"/>
  <c r="J128" i="6"/>
  <c r="J129" i="6" s="1"/>
  <c r="J71" i="8"/>
  <c r="N68" i="8"/>
  <c r="N74" i="8"/>
  <c r="J74" i="8"/>
  <c r="J69" i="8"/>
  <c r="F74" i="8"/>
  <c r="AD25" i="5"/>
  <c r="AE15" i="5"/>
  <c r="BI40" i="15"/>
  <c r="BI28" i="15"/>
  <c r="X84" i="8"/>
  <c r="Y72" i="8"/>
  <c r="AP59" i="5" s="1"/>
  <c r="AP60" i="5" s="1"/>
  <c r="L74" i="8"/>
  <c r="J85" i="8"/>
  <c r="J27" i="8"/>
  <c r="V46" i="8"/>
  <c r="F128" i="6"/>
  <c r="F129" i="6" s="1"/>
  <c r="F71" i="8"/>
  <c r="AM56" i="5"/>
  <c r="O69" i="8"/>
  <c r="H69" i="8"/>
  <c r="G68" i="8"/>
  <c r="K49" i="8"/>
  <c r="AD15" i="5"/>
  <c r="AM11" i="5"/>
  <c r="BP40" i="15"/>
  <c r="AC14" i="5"/>
  <c r="AG14" i="5"/>
  <c r="AN13" i="5"/>
  <c r="W84" i="8"/>
  <c r="AO13" i="5"/>
  <c r="R85" i="8"/>
  <c r="T15" i="8"/>
  <c r="W74" i="8"/>
  <c r="AJ13" i="5"/>
  <c r="T70" i="8"/>
  <c r="AH41" i="4"/>
  <c r="AH2021" i="4" s="1"/>
  <c r="BD39" i="15"/>
  <c r="BD41" i="15" s="1"/>
  <c r="BD29" i="15"/>
  <c r="BD30" i="15" s="1"/>
  <c r="BD33" i="15" s="1"/>
  <c r="AO11" i="5"/>
  <c r="AO18" i="5"/>
  <c r="P209" i="12"/>
  <c r="Q210" i="12" s="1"/>
  <c r="P204" i="12"/>
  <c r="F209" i="12"/>
  <c r="F210" i="12" s="1"/>
  <c r="F204" i="12"/>
  <c r="S25" i="12"/>
  <c r="S194" i="12"/>
  <c r="T194" i="12"/>
  <c r="S427" i="12"/>
  <c r="M194" i="12"/>
  <c r="N25" i="12"/>
  <c r="M25" i="12"/>
  <c r="G194" i="12"/>
  <c r="H194" i="12"/>
  <c r="K87" i="8"/>
  <c r="K71" i="8"/>
  <c r="K128" i="6"/>
  <c r="K129" i="6" s="1"/>
  <c r="I49" i="8"/>
  <c r="H59" i="14"/>
  <c r="I60" i="14"/>
  <c r="I59" i="14" s="1"/>
  <c r="J34" i="14"/>
  <c r="J33" i="14" s="1"/>
  <c r="I33" i="14"/>
  <c r="AP39" i="5"/>
  <c r="V20" i="7"/>
  <c r="U368" i="12"/>
  <c r="Q18" i="5"/>
  <c r="AX15" i="6"/>
  <c r="AW15" i="6" s="1"/>
  <c r="AK330" i="4"/>
  <c r="AL330" i="4" s="1"/>
  <c r="AM330" i="4" s="1"/>
  <c r="AN330" i="4" s="1"/>
  <c r="AO330" i="4" s="1"/>
  <c r="AP330" i="4" s="1"/>
  <c r="AQ330" i="4" s="1"/>
  <c r="AB27" i="6"/>
  <c r="AA27" i="6"/>
  <c r="W210" i="12"/>
  <c r="AQ18" i="5"/>
  <c r="BH39" i="15"/>
  <c r="BH41" i="15" s="1"/>
  <c r="BH29" i="15"/>
  <c r="BH28" i="15"/>
  <c r="AN39" i="5"/>
  <c r="R20" i="7"/>
  <c r="R62" i="7" s="1"/>
  <c r="R63" i="7" s="1"/>
  <c r="AR21" i="5"/>
  <c r="AV28" i="15"/>
  <c r="AR15" i="6"/>
  <c r="AQ15" i="6" s="1"/>
  <c r="O18" i="5"/>
  <c r="O19" i="5" s="1"/>
  <c r="N269" i="12"/>
  <c r="AC49" i="6"/>
  <c r="AC311" i="12"/>
  <c r="BL185" i="6"/>
  <c r="AB135" i="6"/>
  <c r="AK385" i="4"/>
  <c r="AL385" i="4" s="1"/>
  <c r="AM385" i="4" s="1"/>
  <c r="AN385" i="4" s="1"/>
  <c r="AO385" i="4" s="1"/>
  <c r="AP385" i="4" s="1"/>
  <c r="AQ385" i="4" s="1"/>
  <c r="BK39" i="15"/>
  <c r="BK28" i="15"/>
  <c r="BA101" i="6"/>
  <c r="AZ101" i="6" s="1"/>
  <c r="S33" i="15"/>
  <c r="Y127" i="6"/>
  <c r="AF49" i="5"/>
  <c r="Z72" i="6"/>
  <c r="X255" i="12"/>
  <c r="Y255" i="12"/>
  <c r="U194" i="12"/>
  <c r="U427" i="12"/>
  <c r="F224" i="12"/>
  <c r="G224" i="12"/>
  <c r="K22" i="8"/>
  <c r="K85" i="8" s="1"/>
  <c r="AD33" i="5"/>
  <c r="M71" i="8"/>
  <c r="BA41" i="6"/>
  <c r="AZ41" i="6" s="1"/>
  <c r="Y282" i="12"/>
  <c r="Y50" i="12" s="1"/>
  <c r="Y11" i="6"/>
  <c r="BA11" i="6" s="1"/>
  <c r="AZ11" i="6" s="1"/>
  <c r="AU180" i="6"/>
  <c r="AT180" i="6" s="1"/>
  <c r="AX178" i="6"/>
  <c r="AW178" i="6" s="1"/>
  <c r="E5" i="7"/>
  <c r="E5" i="8"/>
  <c r="E65" i="8" s="1"/>
  <c r="M5" i="4"/>
  <c r="E5" i="6"/>
  <c r="J78" i="6"/>
  <c r="J80" i="6" s="1"/>
  <c r="BD45" i="15" s="1"/>
  <c r="L85" i="8"/>
  <c r="L78" i="6"/>
  <c r="L80" i="6" s="1"/>
  <c r="P78" i="6"/>
  <c r="P85" i="8"/>
  <c r="T38" i="8"/>
  <c r="BH107" i="6"/>
  <c r="AH2004" i="4"/>
  <c r="AK23" i="15"/>
  <c r="AJ24" i="15"/>
  <c r="BI24" i="15" s="1"/>
  <c r="S24" i="8"/>
  <c r="AJ14" i="5" s="1"/>
  <c r="BA49" i="6"/>
  <c r="AZ49" i="6" s="1"/>
  <c r="AA72" i="6"/>
  <c r="AX85" i="6"/>
  <c r="AW85" i="6" s="1"/>
  <c r="Q41" i="5"/>
  <c r="N222" i="14"/>
  <c r="I141" i="14"/>
  <c r="J193" i="6"/>
  <c r="AS192" i="6"/>
  <c r="AV193" i="6" s="1"/>
  <c r="AO28" i="5"/>
  <c r="R427" i="12"/>
  <c r="R194" i="12"/>
  <c r="V201" i="4"/>
  <c r="U222" i="4"/>
  <c r="X192" i="4"/>
  <c r="Y187" i="4"/>
  <c r="W287" i="12"/>
  <c r="W55" i="12" s="1"/>
  <c r="AD2034" i="4"/>
  <c r="AF2022" i="4"/>
  <c r="E22" i="8"/>
  <c r="Z46" i="8"/>
  <c r="AG274" i="4"/>
  <c r="J224" i="12"/>
  <c r="N194" i="12"/>
  <c r="AI29" i="5"/>
  <c r="AI28" i="5" s="1"/>
  <c r="U262" i="12"/>
  <c r="AC422" i="12"/>
  <c r="AH422" i="12"/>
  <c r="Z26" i="8"/>
  <c r="AA146" i="4"/>
  <c r="U47" i="8"/>
  <c r="AE178" i="4"/>
  <c r="Y165" i="6"/>
  <c r="BA165" i="6" s="1"/>
  <c r="AZ165" i="6" s="1"/>
  <c r="R180" i="6"/>
  <c r="K396" i="12"/>
  <c r="K421" i="12" s="1"/>
  <c r="N396" i="12"/>
  <c r="N421" i="12" s="1"/>
  <c r="R410" i="12"/>
  <c r="T392" i="12"/>
  <c r="T417" i="12" s="1"/>
  <c r="T414" i="12"/>
  <c r="R416" i="12"/>
  <c r="Q414" i="12"/>
  <c r="Q395" i="12"/>
  <c r="Q420" i="12" s="1"/>
  <c r="V350" i="12"/>
  <c r="V414" i="12"/>
  <c r="AF185" i="4"/>
  <c r="S162" i="6"/>
  <c r="S321" i="12"/>
  <c r="S372" i="12" s="1"/>
  <c r="S416" i="12" s="1"/>
  <c r="AC170" i="6"/>
  <c r="BI170" i="6" s="1"/>
  <c r="AF146" i="4"/>
  <c r="AA147" i="4"/>
  <c r="AA149" i="4" s="1"/>
  <c r="Z185" i="4"/>
  <c r="AG145" i="4"/>
  <c r="AG147" i="4" s="1"/>
  <c r="AG1937" i="4" s="1"/>
  <c r="J161" i="6"/>
  <c r="S327" i="12"/>
  <c r="S386" i="12" s="1"/>
  <c r="S411" i="12" s="1"/>
  <c r="G333" i="12"/>
  <c r="L396" i="12"/>
  <c r="L421" i="12" s="1"/>
  <c r="J333" i="12"/>
  <c r="J394" i="12" s="1"/>
  <c r="J419" i="12" s="1"/>
  <c r="F333" i="12"/>
  <c r="F166" i="6"/>
  <c r="W351" i="12"/>
  <c r="W416" i="12"/>
  <c r="AX107" i="6"/>
  <c r="AW107" i="6" s="1"/>
  <c r="X134" i="6"/>
  <c r="X140" i="6" s="1"/>
  <c r="Q55" i="5"/>
  <c r="D55" i="5"/>
  <c r="K134" i="6"/>
  <c r="K140" i="6" s="1"/>
  <c r="AA398" i="12"/>
  <c r="AA423" i="12" s="1"/>
  <c r="AE39" i="5"/>
  <c r="AQ30" i="5"/>
  <c r="AO39" i="5"/>
  <c r="Z71" i="8"/>
  <c r="Z11" i="6"/>
  <c r="BD11" i="6" s="1"/>
  <c r="BC11" i="6" s="1"/>
  <c r="Z282" i="12"/>
  <c r="Z50" i="12" s="1"/>
  <c r="AG2017" i="4"/>
  <c r="AF39" i="5"/>
  <c r="BT40" i="15"/>
  <c r="Z74" i="8"/>
  <c r="Z68" i="8"/>
  <c r="W337" i="12"/>
  <c r="W396" i="12" s="1"/>
  <c r="AD43" i="8"/>
  <c r="Q363" i="12"/>
  <c r="Q396" i="12" s="1"/>
  <c r="Q421" i="12" s="1"/>
  <c r="AH29" i="5"/>
  <c r="Q49" i="8"/>
  <c r="E59" i="14"/>
  <c r="D60" i="14"/>
  <c r="D59" i="14" s="1"/>
  <c r="K161" i="6"/>
  <c r="AG2022" i="4"/>
  <c r="AG44" i="4"/>
  <c r="AG45" i="4" s="1"/>
  <c r="V447" i="12"/>
  <c r="U180" i="6"/>
  <c r="AF1999" i="4"/>
  <c r="AF19" i="4"/>
  <c r="K224" i="12"/>
  <c r="N134" i="6"/>
  <c r="N140" i="6" s="1"/>
  <c r="G55" i="5"/>
  <c r="D27" i="7"/>
  <c r="J331" i="12"/>
  <c r="J358" i="12"/>
  <c r="W455" i="12"/>
  <c r="U416" i="12"/>
  <c r="AG1957" i="4"/>
  <c r="AG1959" i="4"/>
  <c r="AG1956" i="4"/>
  <c r="AG1999" i="4"/>
  <c r="I326" i="12"/>
  <c r="AE36" i="8"/>
  <c r="AA100" i="6"/>
  <c r="AD13" i="5"/>
  <c r="N84" i="8"/>
  <c r="M84" i="8"/>
  <c r="M27" i="8"/>
  <c r="M85" i="8"/>
  <c r="AX77" i="6"/>
  <c r="AW77" i="6" s="1"/>
  <c r="S10" i="15"/>
  <c r="AT10" i="15" s="1"/>
  <c r="E34" i="14"/>
  <c r="F33" i="14"/>
  <c r="BC101" i="6"/>
  <c r="X26" i="8"/>
  <c r="AO14" i="5"/>
  <c r="M128" i="6"/>
  <c r="M129" i="6" s="1"/>
  <c r="M130" i="6" s="1"/>
  <c r="M87" i="8"/>
  <c r="AD56" i="5"/>
  <c r="K68" i="8"/>
  <c r="L69" i="8"/>
  <c r="K69" i="8"/>
  <c r="AC12" i="5"/>
  <c r="X139" i="6"/>
  <c r="Q270" i="12"/>
  <c r="P271" i="12"/>
  <c r="T427" i="12"/>
  <c r="T25" i="12"/>
  <c r="G27" i="7"/>
  <c r="G33" i="7" s="1"/>
  <c r="G27" i="8"/>
  <c r="G29" i="8" s="1"/>
  <c r="G85" i="8"/>
  <c r="O45" i="5"/>
  <c r="AR90" i="6"/>
  <c r="AQ90" i="6" s="1"/>
  <c r="I184" i="14"/>
  <c r="H186" i="14"/>
  <c r="L141" i="4"/>
  <c r="O19" i="4"/>
  <c r="O23" i="4" s="1"/>
  <c r="O163" i="6"/>
  <c r="H333" i="12"/>
  <c r="M210" i="12"/>
  <c r="J210" i="12"/>
  <c r="AB291" i="12"/>
  <c r="AF422" i="12"/>
  <c r="E29" i="6"/>
  <c r="E32" i="6" s="1"/>
  <c r="M327" i="12"/>
  <c r="M386" i="12" s="1"/>
  <c r="M411" i="12" s="1"/>
  <c r="L333" i="12"/>
  <c r="K333" i="12"/>
  <c r="K394" i="12" s="1"/>
  <c r="K419" i="12" s="1"/>
  <c r="G78" i="6"/>
  <c r="G80" i="6" s="1"/>
  <c r="G86" i="6" s="1"/>
  <c r="G153" i="12" s="1"/>
  <c r="AA136" i="4"/>
  <c r="AE295" i="4"/>
  <c r="AE297" i="4" s="1"/>
  <c r="AE298" i="4" s="1"/>
  <c r="X150" i="4"/>
  <c r="Y19" i="4"/>
  <c r="Y23" i="4" s="1"/>
  <c r="R226" i="12" s="1"/>
  <c r="X19" i="4"/>
  <c r="X23" i="4" s="1"/>
  <c r="W19" i="4"/>
  <c r="W23" i="4" s="1"/>
  <c r="V19" i="4"/>
  <c r="V23" i="4" s="1"/>
  <c r="U19" i="4"/>
  <c r="U23" i="4" s="1"/>
  <c r="N226" i="12" s="1"/>
  <c r="N227" i="12" s="1"/>
  <c r="T19" i="4"/>
  <c r="T23" i="4" s="1"/>
  <c r="Z19" i="4"/>
  <c r="Z23" i="4" s="1"/>
  <c r="Z228" i="4" s="1"/>
  <c r="V204" i="12"/>
  <c r="AG2029" i="4"/>
  <c r="Z269" i="12"/>
  <c r="BC28" i="6"/>
  <c r="Z59" i="6"/>
  <c r="N85" i="8"/>
  <c r="W29" i="6"/>
  <c r="AF210" i="4"/>
  <c r="X455" i="12"/>
  <c r="O23" i="5"/>
  <c r="AD136" i="4"/>
  <c r="AE136" i="4"/>
  <c r="AD138" i="4"/>
  <c r="AR18" i="6"/>
  <c r="AQ18" i="6" s="1"/>
  <c r="AE164" i="4"/>
  <c r="AE398" i="4"/>
  <c r="T10" i="15"/>
  <c r="T416" i="12"/>
  <c r="T180" i="6"/>
  <c r="U447" i="12"/>
  <c r="AC201" i="12"/>
  <c r="P204" i="14"/>
  <c r="P427" i="12"/>
  <c r="Q194" i="12"/>
  <c r="Q25" i="12"/>
  <c r="P25" i="12"/>
  <c r="K194" i="12"/>
  <c r="J194" i="12"/>
  <c r="P224" i="12"/>
  <c r="S224" i="12"/>
  <c r="T224" i="12"/>
  <c r="Y359" i="12"/>
  <c r="X392" i="12"/>
  <c r="X417" i="12" s="1"/>
  <c r="Y304" i="12"/>
  <c r="Y40" i="12"/>
  <c r="Z304" i="12"/>
  <c r="Z194" i="12"/>
  <c r="K414" i="12"/>
  <c r="K179" i="6"/>
  <c r="S210" i="12"/>
  <c r="T210" i="12"/>
  <c r="AR177" i="6"/>
  <c r="AQ177" i="6" s="1"/>
  <c r="V184" i="6"/>
  <c r="Y61" i="6"/>
  <c r="BA38" i="6"/>
  <c r="AZ38" i="6" s="1"/>
  <c r="Y40" i="6"/>
  <c r="O209" i="12"/>
  <c r="O204" i="12"/>
  <c r="X309" i="12"/>
  <c r="X44" i="12"/>
  <c r="X313" i="12" s="1"/>
  <c r="AA374" i="12"/>
  <c r="Z449" i="12"/>
  <c r="W184" i="6"/>
  <c r="AU181" i="6"/>
  <c r="AT181" i="6" s="1"/>
  <c r="AA188" i="6"/>
  <c r="AB381" i="12"/>
  <c r="AX25" i="6"/>
  <c r="AW25" i="6" s="1"/>
  <c r="X29" i="6"/>
  <c r="R10" i="15"/>
  <c r="AS10" i="15" s="1"/>
  <c r="BR10" i="15" s="1"/>
  <c r="Y59" i="6"/>
  <c r="X59" i="6"/>
  <c r="AX36" i="6"/>
  <c r="AW36" i="6" s="1"/>
  <c r="I274" i="12"/>
  <c r="H274" i="12"/>
  <c r="I271" i="12"/>
  <c r="J271" i="12"/>
  <c r="H224" i="12"/>
  <c r="I224" i="12"/>
  <c r="L29" i="6"/>
  <c r="W382" i="12"/>
  <c r="W452" i="12"/>
  <c r="X452" i="12"/>
  <c r="V24" i="12"/>
  <c r="V193" i="12"/>
  <c r="V28" i="6"/>
  <c r="AR28" i="6" s="1"/>
  <c r="AQ28" i="6" s="1"/>
  <c r="AU185" i="6"/>
  <c r="AT185" i="6" s="1"/>
  <c r="AX49" i="6"/>
  <c r="AW49" i="6" s="1"/>
  <c r="X71" i="6"/>
  <c r="Y71" i="6"/>
  <c r="Y398" i="12"/>
  <c r="Y423" i="12" s="1"/>
  <c r="AD185" i="6"/>
  <c r="T205" i="14" s="1"/>
  <c r="AD215" i="6"/>
  <c r="BJ215" i="6" s="1"/>
  <c r="AX180" i="6"/>
  <c r="AW180" i="6" s="1"/>
  <c r="X184" i="6"/>
  <c r="AX184" i="6" s="1"/>
  <c r="AR26" i="6"/>
  <c r="AQ26" i="6" s="1"/>
  <c r="AU41" i="6"/>
  <c r="AT41" i="6" s="1"/>
  <c r="Q13" i="15"/>
  <c r="AG450" i="12"/>
  <c r="AG215" i="6"/>
  <c r="BM215" i="6" s="1"/>
  <c r="AG185" i="6"/>
  <c r="AX185" i="6"/>
  <c r="AW185" i="6" s="1"/>
  <c r="N205" i="14"/>
  <c r="Q17" i="15"/>
  <c r="X69" i="6"/>
  <c r="AU47" i="6"/>
  <c r="AT47" i="6" s="1"/>
  <c r="X67" i="6"/>
  <c r="R395" i="12"/>
  <c r="R420" i="12" s="1"/>
  <c r="S29" i="6"/>
  <c r="M29" i="6"/>
  <c r="AE240" i="12"/>
  <c r="AE218" i="12" s="1"/>
  <c r="BA39" i="6"/>
  <c r="AZ39" i="6" s="1"/>
  <c r="K395" i="12"/>
  <c r="K420" i="12" s="1"/>
  <c r="P395" i="12"/>
  <c r="P420" i="12" s="1"/>
  <c r="L395" i="12"/>
  <c r="L420" i="12" s="1"/>
  <c r="AF434" i="12"/>
  <c r="Z29" i="6"/>
  <c r="Z19" i="6"/>
  <c r="BC100" i="6"/>
  <c r="AD134" i="6"/>
  <c r="AD140" i="6" s="1"/>
  <c r="W59" i="5" s="1"/>
  <c r="BJ107" i="6"/>
  <c r="U45" i="5"/>
  <c r="BH90" i="6"/>
  <c r="AS41" i="5"/>
  <c r="BE39" i="15"/>
  <c r="BE41" i="15" s="1"/>
  <c r="BE29" i="15"/>
  <c r="BE30" i="15" s="1"/>
  <c r="BE33" i="15" s="1"/>
  <c r="AW172" i="6"/>
  <c r="AT172" i="6"/>
  <c r="V45" i="5"/>
  <c r="AT41" i="5"/>
  <c r="M78" i="6"/>
  <c r="V88" i="8"/>
  <c r="U91" i="8"/>
  <c r="AX41" i="6"/>
  <c r="AW41" i="6" s="1"/>
  <c r="X64" i="6"/>
  <c r="R13" i="15"/>
  <c r="AS13" i="15" s="1"/>
  <c r="BR13" i="15" s="1"/>
  <c r="AR85" i="6"/>
  <c r="AQ85" i="6" s="1"/>
  <c r="O41" i="5"/>
  <c r="I41" i="5"/>
  <c r="P143" i="6"/>
  <c r="I30" i="5"/>
  <c r="BJ42" i="15"/>
  <c r="I32" i="5"/>
  <c r="AS32" i="6"/>
  <c r="AS33" i="6" s="1"/>
  <c r="AS51" i="6"/>
  <c r="AS56" i="6" s="1"/>
  <c r="J33" i="15"/>
  <c r="R15" i="15"/>
  <c r="AS15" i="15" s="1"/>
  <c r="BR15" i="15" s="1"/>
  <c r="AX43" i="6"/>
  <c r="AW43" i="6" s="1"/>
  <c r="N206" i="14"/>
  <c r="AR180" i="6"/>
  <c r="AQ180" i="6" s="1"/>
  <c r="AV63" i="6"/>
  <c r="AV46" i="6"/>
  <c r="BA47" i="6"/>
  <c r="AZ47" i="6" s="1"/>
  <c r="AZ172" i="6"/>
  <c r="AF274" i="4"/>
  <c r="AF260" i="4"/>
  <c r="AL405" i="4"/>
  <c r="AM405" i="4" s="1"/>
  <c r="AN405" i="4" s="1"/>
  <c r="AO405" i="4" s="1"/>
  <c r="AP405" i="4" s="1"/>
  <c r="AQ405" i="4" s="1"/>
  <c r="AH51" i="4"/>
  <c r="AH2030" i="4" s="1"/>
  <c r="L327" i="12"/>
  <c r="L386" i="12" s="1"/>
  <c r="L411" i="12" s="1"/>
  <c r="E320" i="12"/>
  <c r="E161" i="6"/>
  <c r="T141" i="4"/>
  <c r="S13" i="4"/>
  <c r="S19" i="4" s="1"/>
  <c r="S23" i="4" s="1"/>
  <c r="S141" i="4"/>
  <c r="S200" i="4"/>
  <c r="AK150" i="4"/>
  <c r="W286" i="12"/>
  <c r="W54" i="12" s="1"/>
  <c r="W15" i="6"/>
  <c r="W203" i="6" s="1"/>
  <c r="AD2033" i="4"/>
  <c r="AF349" i="4"/>
  <c r="AG349" i="4"/>
  <c r="AK374" i="4"/>
  <c r="AL374" i="4" s="1"/>
  <c r="AM374" i="4" s="1"/>
  <c r="AN374" i="4" s="1"/>
  <c r="AO374" i="4" s="1"/>
  <c r="AP374" i="4" s="1"/>
  <c r="AQ374" i="4" s="1"/>
  <c r="V387" i="12"/>
  <c r="V411" i="12"/>
  <c r="AA331" i="12"/>
  <c r="U414" i="12"/>
  <c r="U179" i="6"/>
  <c r="V446" i="12"/>
  <c r="H320" i="12"/>
  <c r="S164" i="6"/>
  <c r="S322" i="12"/>
  <c r="S320" i="12"/>
  <c r="S371" i="12" s="1"/>
  <c r="S446" i="12" s="1"/>
  <c r="Z15" i="6"/>
  <c r="AG2033" i="4"/>
  <c r="AF138" i="4"/>
  <c r="AF136" i="4"/>
  <c r="S161" i="6"/>
  <c r="S395" i="12"/>
  <c r="S420" i="12" s="1"/>
  <c r="Z238" i="12"/>
  <c r="Z240" i="12" s="1"/>
  <c r="Z218" i="12" s="1"/>
  <c r="Z217" i="12" s="1"/>
  <c r="W318" i="12"/>
  <c r="W348" i="12" s="1"/>
  <c r="W159" i="6"/>
  <c r="AU159" i="6" s="1"/>
  <c r="AT159" i="6" s="1"/>
  <c r="Z164" i="6"/>
  <c r="AN1946" i="4"/>
  <c r="U341" i="12"/>
  <c r="Z163" i="6"/>
  <c r="U446" i="12"/>
  <c r="AA322" i="12"/>
  <c r="AA373" i="12" s="1"/>
  <c r="AA181" i="6" s="1"/>
  <c r="E331" i="12"/>
  <c r="I358" i="12"/>
  <c r="I331" i="12"/>
  <c r="Y445" i="12"/>
  <c r="Y178" i="6"/>
  <c r="BA178" i="6" s="1"/>
  <c r="AZ178" i="6" s="1"/>
  <c r="Y216" i="6"/>
  <c r="X318" i="12"/>
  <c r="X348" i="12" s="1"/>
  <c r="X159" i="6"/>
  <c r="AX159" i="6" s="1"/>
  <c r="AW159" i="6" s="1"/>
  <c r="V351" i="12"/>
  <c r="V359" i="12" s="1"/>
  <c r="V392" i="12" s="1"/>
  <c r="V417" i="12" s="1"/>
  <c r="V416" i="12"/>
  <c r="S166" i="6"/>
  <c r="S337" i="12"/>
  <c r="S396" i="12" s="1"/>
  <c r="S421" i="12" s="1"/>
  <c r="P371" i="12"/>
  <c r="O155" i="4"/>
  <c r="O200" i="4"/>
  <c r="P155" i="4"/>
  <c r="R327" i="12"/>
  <c r="M333" i="12"/>
  <c r="V12" i="6"/>
  <c r="AD1997" i="4"/>
  <c r="AD2023" i="4"/>
  <c r="AE2023" i="4"/>
  <c r="AD44" i="4"/>
  <c r="AD37" i="4"/>
  <c r="AD377" i="4"/>
  <c r="AE355" i="4"/>
  <c r="AD355" i="4"/>
  <c r="AD295" i="4"/>
  <c r="AE388" i="4"/>
  <c r="AF388" i="4"/>
  <c r="AD145" i="4"/>
  <c r="AF398" i="4"/>
  <c r="O228" i="4"/>
  <c r="U423" i="12"/>
  <c r="R20" i="5"/>
  <c r="BA16" i="6"/>
  <c r="AZ16" i="6" s="1"/>
  <c r="J320" i="12"/>
  <c r="U334" i="12"/>
  <c r="U393" i="12" s="1"/>
  <c r="V334" i="12"/>
  <c r="V393" i="12" s="1"/>
  <c r="P161" i="6"/>
  <c r="O396" i="12"/>
  <c r="O421" i="12" s="1"/>
  <c r="X136" i="4"/>
  <c r="W136" i="4"/>
  <c r="AA185" i="4"/>
  <c r="V228" i="4"/>
  <c r="AE2033" i="4"/>
  <c r="L19" i="4"/>
  <c r="L23" i="4" s="1"/>
  <c r="AA164" i="4"/>
  <c r="AG388" i="4"/>
  <c r="AK388" i="4" s="1"/>
  <c r="AL388" i="4" s="1"/>
  <c r="AM388" i="4" s="1"/>
  <c r="AN388" i="4" s="1"/>
  <c r="AO388" i="4" s="1"/>
  <c r="AP388" i="4" s="1"/>
  <c r="AQ388" i="4" s="1"/>
  <c r="AR388" i="4" s="1"/>
  <c r="AS388" i="4" s="1"/>
  <c r="AG210" i="4"/>
  <c r="AG398" i="4"/>
  <c r="P327" i="12"/>
  <c r="AJ346" i="4"/>
  <c r="AK346" i="4" s="1"/>
  <c r="AL346" i="4" s="1"/>
  <c r="AM346" i="4" s="1"/>
  <c r="AG1995" i="4"/>
  <c r="AG19" i="4"/>
  <c r="AG2036" i="4"/>
  <c r="L390" i="12"/>
  <c r="L415" i="12" s="1"/>
  <c r="X238" i="12"/>
  <c r="X240" i="12" s="1"/>
  <c r="X218" i="12" s="1"/>
  <c r="X217" i="12" s="1"/>
  <c r="J411" i="12"/>
  <c r="BA180" i="6"/>
  <c r="AZ180" i="6" s="1"/>
  <c r="I394" i="12"/>
  <c r="I419" i="12" s="1"/>
  <c r="H326" i="12"/>
  <c r="AA164" i="6"/>
  <c r="BG164" i="6" s="1"/>
  <c r="BF164" i="6" s="1"/>
  <c r="Y416" i="12"/>
  <c r="Y447" i="12"/>
  <c r="M326" i="12"/>
  <c r="T396" i="12"/>
  <c r="T421" i="12" s="1"/>
  <c r="I161" i="6"/>
  <c r="I320" i="12"/>
  <c r="L161" i="6"/>
  <c r="Z322" i="12"/>
  <c r="Z373" i="12" s="1"/>
  <c r="H161" i="6"/>
  <c r="I166" i="6"/>
  <c r="R179" i="6"/>
  <c r="R414" i="12"/>
  <c r="R446" i="12"/>
  <c r="G161" i="6"/>
  <c r="J166" i="6"/>
  <c r="S410" i="12"/>
  <c r="Y322" i="12"/>
  <c r="Y373" i="12" s="1"/>
  <c r="AC395" i="12"/>
  <c r="AC420" i="12" s="1"/>
  <c r="N386" i="12"/>
  <c r="G320" i="12"/>
  <c r="K331" i="12"/>
  <c r="K358" i="12"/>
  <c r="Y286" i="12"/>
  <c r="AF2033" i="4"/>
  <c r="Y15" i="6"/>
  <c r="Y203" i="6" s="1"/>
  <c r="AG201" i="4"/>
  <c r="AF222" i="4"/>
  <c r="S22" i="5"/>
  <c r="Z288" i="12"/>
  <c r="Z58" i="12" s="1"/>
  <c r="AC341" i="12"/>
  <c r="AC424" i="12" s="1"/>
  <c r="AU16" i="6"/>
  <c r="AT16" i="6" s="1"/>
  <c r="P20" i="5"/>
  <c r="S392" i="12"/>
  <c r="S417" i="12" s="1"/>
  <c r="X178" i="4"/>
  <c r="AG52" i="4"/>
  <c r="Z14" i="6" s="1"/>
  <c r="I46" i="5"/>
  <c r="F46" i="5"/>
  <c r="E46" i="5"/>
  <c r="D46" i="5"/>
  <c r="H46" i="5"/>
  <c r="G46" i="5"/>
  <c r="Z25" i="12"/>
  <c r="AG2034" i="4"/>
  <c r="AC71" i="6" l="1"/>
  <c r="AJ134" i="6"/>
  <c r="AK372" i="12"/>
  <c r="AK447" i="12" s="1"/>
  <c r="AL351" i="12"/>
  <c r="AL372" i="12" s="1"/>
  <c r="AF134" i="6"/>
  <c r="AF140" i="6" s="1"/>
  <c r="Y59" i="5" s="1"/>
  <c r="Y55" i="5"/>
  <c r="AK371" i="12"/>
  <c r="AK414" i="12" s="1"/>
  <c r="AL350" i="12"/>
  <c r="AL371" i="12" s="1"/>
  <c r="AK373" i="12"/>
  <c r="AK181" i="6" s="1"/>
  <c r="AL352" i="12"/>
  <c r="AL373" i="12" s="1"/>
  <c r="AK394" i="12"/>
  <c r="AL361" i="12"/>
  <c r="AL394" i="12" s="1"/>
  <c r="AK393" i="12"/>
  <c r="AL360" i="12"/>
  <c r="AL393" i="12" s="1"/>
  <c r="AK369" i="12"/>
  <c r="AK444" i="12" s="1"/>
  <c r="AL348" i="12"/>
  <c r="AL369" i="12" s="1"/>
  <c r="AD50" i="5"/>
  <c r="U137" i="12"/>
  <c r="T138" i="12"/>
  <c r="I145" i="6"/>
  <c r="I153" i="12"/>
  <c r="Z27" i="7"/>
  <c r="AK65" i="4"/>
  <c r="AL65" i="4" s="1"/>
  <c r="AM65" i="4" s="1"/>
  <c r="AN65" i="4" s="1"/>
  <c r="AO65" i="4" s="1"/>
  <c r="AP65" i="4" s="1"/>
  <c r="AI290" i="12" s="1"/>
  <c r="AB227" i="12"/>
  <c r="AC227" i="12" s="1"/>
  <c r="AD227" i="12" s="1"/>
  <c r="AE227" i="12" s="1"/>
  <c r="AF227" i="12" s="1"/>
  <c r="AG227" i="12" s="1"/>
  <c r="AH227" i="12" s="1"/>
  <c r="AI227" i="12" s="1"/>
  <c r="AJ227" i="12" s="1"/>
  <c r="AK227" i="12" s="1"/>
  <c r="AL227" i="12" s="1"/>
  <c r="S89" i="6"/>
  <c r="BK185" i="6"/>
  <c r="U205" i="14"/>
  <c r="K31" i="5"/>
  <c r="L31" i="5"/>
  <c r="W18" i="6"/>
  <c r="P22" i="5" s="1"/>
  <c r="P23" i="5" s="1"/>
  <c r="AD2035" i="4"/>
  <c r="AV24" i="15"/>
  <c r="BU24" i="15" s="1"/>
  <c r="AJ136" i="6"/>
  <c r="AU24" i="15"/>
  <c r="BT24" i="15" s="1"/>
  <c r="AQ50" i="5"/>
  <c r="AA44" i="6"/>
  <c r="AA205" i="6" s="1"/>
  <c r="AA57" i="12"/>
  <c r="Q21" i="7"/>
  <c r="AK273" i="12"/>
  <c r="AL273" i="12" s="1"/>
  <c r="AR374" i="4"/>
  <c r="AS374" i="4" s="1"/>
  <c r="AJ179" i="6"/>
  <c r="AJ414" i="12"/>
  <c r="AK107" i="6"/>
  <c r="AJ180" i="6"/>
  <c r="AJ416" i="12"/>
  <c r="AR291" i="4"/>
  <c r="AS291" i="4" s="1"/>
  <c r="AJ177" i="6"/>
  <c r="AR330" i="4"/>
  <c r="AS330" i="4" s="1"/>
  <c r="AR373" i="4"/>
  <c r="AS373" i="4" s="1"/>
  <c r="AR239" i="4"/>
  <c r="AS239" i="4" s="1"/>
  <c r="AR369" i="4"/>
  <c r="AS369" i="4" s="1"/>
  <c r="AR370" i="4"/>
  <c r="AS370" i="4" s="1"/>
  <c r="AJ398" i="12"/>
  <c r="AJ423" i="12" s="1"/>
  <c r="AB127" i="6"/>
  <c r="AJ140" i="6"/>
  <c r="AJ181" i="6"/>
  <c r="AR405" i="4"/>
  <c r="AS405" i="4" s="1"/>
  <c r="AR385" i="4"/>
  <c r="AS385" i="4" s="1"/>
  <c r="AR288" i="4"/>
  <c r="AS288" i="4" s="1"/>
  <c r="AJ42" i="5"/>
  <c r="P62" i="7"/>
  <c r="P63" i="7" s="1"/>
  <c r="Q64" i="7" s="1"/>
  <c r="AG42" i="5"/>
  <c r="AG43" i="5" s="1"/>
  <c r="BM39" i="15"/>
  <c r="P21" i="7"/>
  <c r="S62" i="7"/>
  <c r="S63" i="7" s="1"/>
  <c r="T64" i="7" s="1"/>
  <c r="AK29" i="5"/>
  <c r="AK28" i="5" s="1"/>
  <c r="N255" i="12"/>
  <c r="L33" i="5"/>
  <c r="I53" i="7"/>
  <c r="AB140" i="6"/>
  <c r="U59" i="5" s="1"/>
  <c r="P255" i="12"/>
  <c r="P33" i="7"/>
  <c r="P55" i="7" s="1"/>
  <c r="BB68" i="6"/>
  <c r="Y62" i="7"/>
  <c r="Y63" i="7" s="1"/>
  <c r="Z64" i="7" s="1"/>
  <c r="AP42" i="5"/>
  <c r="AQ43" i="5" s="1"/>
  <c r="AD312" i="4"/>
  <c r="AD313" i="4" s="1"/>
  <c r="AD314" i="4" s="1"/>
  <c r="Y21" i="7"/>
  <c r="O62" i="7"/>
  <c r="O63" i="7" s="1"/>
  <c r="AH13" i="5"/>
  <c r="AE135" i="6"/>
  <c r="Q85" i="8"/>
  <c r="J161" i="14"/>
  <c r="J163" i="14" s="1"/>
  <c r="S53" i="7"/>
  <c r="AJ51" i="5" s="1"/>
  <c r="W195" i="4"/>
  <c r="W230" i="4" s="1"/>
  <c r="X231" i="4" s="1"/>
  <c r="M19" i="4"/>
  <c r="M23" i="4" s="1"/>
  <c r="F160" i="6" s="1"/>
  <c r="AD46" i="8"/>
  <c r="AE46" i="8" s="1"/>
  <c r="AF46" i="8" s="1"/>
  <c r="AG46" i="8" s="1"/>
  <c r="AH46" i="8" s="1"/>
  <c r="AI46" i="8" s="1"/>
  <c r="AJ46" i="8" s="1"/>
  <c r="AK46" i="8" s="1"/>
  <c r="AL46" i="8" s="1"/>
  <c r="U85" i="8"/>
  <c r="X285" i="12"/>
  <c r="X53" i="12" s="1"/>
  <c r="AF51" i="5"/>
  <c r="AF50" i="5" s="1"/>
  <c r="AF53" i="4"/>
  <c r="AA288" i="12"/>
  <c r="BQ16" i="15"/>
  <c r="BQ23" i="15"/>
  <c r="R84" i="8"/>
  <c r="Q84" i="8"/>
  <c r="Q74" i="8"/>
  <c r="AA18" i="6"/>
  <c r="BF172" i="6"/>
  <c r="AY32" i="6"/>
  <c r="AY51" i="6"/>
  <c r="AY56" i="6" s="1"/>
  <c r="AY80" i="6" s="1"/>
  <c r="V85" i="8"/>
  <c r="AU12" i="15"/>
  <c r="BT12" i="15" s="1"/>
  <c r="BC46" i="6"/>
  <c r="BC48" i="6" s="1"/>
  <c r="BC51" i="6" s="1"/>
  <c r="BC56" i="6" s="1"/>
  <c r="S16" i="5"/>
  <c r="BD14" i="6"/>
  <c r="BC14" i="6" s="1"/>
  <c r="S18" i="5"/>
  <c r="BD15" i="6"/>
  <c r="BC15" i="6" s="1"/>
  <c r="BD19" i="6"/>
  <c r="BC19" i="6" s="1"/>
  <c r="BD76" i="6"/>
  <c r="BC76" i="6" s="1"/>
  <c r="BD29" i="6"/>
  <c r="BC29" i="6"/>
  <c r="BB22" i="6"/>
  <c r="U428" i="12"/>
  <c r="U27" i="8"/>
  <c r="U29" i="8" s="1"/>
  <c r="AL14" i="5"/>
  <c r="AX14" i="6"/>
  <c r="AW14" i="6" s="1"/>
  <c r="BP12" i="15"/>
  <c r="M252" i="12"/>
  <c r="AE50" i="5"/>
  <c r="Q16" i="5"/>
  <c r="BP28" i="15"/>
  <c r="R33" i="7"/>
  <c r="AI47" i="5" s="1"/>
  <c r="AI46" i="5" s="1"/>
  <c r="I84" i="8"/>
  <c r="AK159" i="4"/>
  <c r="AL159" i="4" s="1"/>
  <c r="AL161" i="4" s="1"/>
  <c r="BI185" i="6"/>
  <c r="W72" i="8"/>
  <c r="AN59" i="5" s="1"/>
  <c r="AN60" i="5" s="1"/>
  <c r="AR76" i="6"/>
  <c r="AQ76" i="6" s="1"/>
  <c r="AQ78" i="6" s="1"/>
  <c r="AH1939" i="4"/>
  <c r="W73" i="8"/>
  <c r="W75" i="8" s="1"/>
  <c r="I27" i="8"/>
  <c r="U205" i="12"/>
  <c r="AA377" i="12"/>
  <c r="AB377" i="12" s="1"/>
  <c r="AK320" i="4"/>
  <c r="J84" i="8"/>
  <c r="AD35" i="8"/>
  <c r="AU23" i="5" s="1"/>
  <c r="Q20" i="5"/>
  <c r="R21" i="5" s="1"/>
  <c r="AH354" i="4"/>
  <c r="AI355" i="4" s="1"/>
  <c r="T205" i="12"/>
  <c r="I74" i="8"/>
  <c r="AG50" i="5"/>
  <c r="O236" i="12"/>
  <c r="W21" i="7"/>
  <c r="AN42" i="5"/>
  <c r="AN14" i="5"/>
  <c r="AN16" i="5" s="1"/>
  <c r="F51" i="8"/>
  <c r="F77" i="8" s="1"/>
  <c r="V78" i="6"/>
  <c r="O37" i="5" s="1"/>
  <c r="W76" i="8"/>
  <c r="R223" i="4"/>
  <c r="W26" i="8"/>
  <c r="AD20" i="8"/>
  <c r="AF378" i="4"/>
  <c r="R205" i="12"/>
  <c r="W62" i="8"/>
  <c r="D105" i="14"/>
  <c r="D103" i="14" s="1"/>
  <c r="W77" i="8"/>
  <c r="N205" i="12"/>
  <c r="W85" i="8"/>
  <c r="W78" i="6"/>
  <c r="AU78" i="6" s="1"/>
  <c r="M205" i="12"/>
  <c r="AI14" i="5"/>
  <c r="AN32" i="5"/>
  <c r="AN33" i="5" s="1"/>
  <c r="AN58" i="5" s="1"/>
  <c r="Y129" i="6"/>
  <c r="BC41" i="15"/>
  <c r="Z62" i="8"/>
  <c r="Q255" i="12"/>
  <c r="H64" i="7"/>
  <c r="J105" i="14"/>
  <c r="J103" i="14" s="1"/>
  <c r="AQ16" i="5"/>
  <c r="AC30" i="5"/>
  <c r="F31" i="5"/>
  <c r="AX76" i="6"/>
  <c r="AW76" i="6" s="1"/>
  <c r="AW78" i="6" s="1"/>
  <c r="H55" i="7"/>
  <c r="N201" i="4"/>
  <c r="X78" i="6"/>
  <c r="AX78" i="6" s="1"/>
  <c r="K33" i="7"/>
  <c r="K55" i="7" s="1"/>
  <c r="AE42" i="5"/>
  <c r="AF43" i="5" s="1"/>
  <c r="O21" i="7"/>
  <c r="BL107" i="6"/>
  <c r="K64" i="7"/>
  <c r="S33" i="7"/>
  <c r="Y78" i="6"/>
  <c r="R37" i="5" s="1"/>
  <c r="N223" i="4"/>
  <c r="N62" i="7"/>
  <c r="N63" i="7" s="1"/>
  <c r="N64" i="7" s="1"/>
  <c r="U223" i="4"/>
  <c r="AP94" i="6"/>
  <c r="AP97" i="6" s="1"/>
  <c r="AH42" i="5"/>
  <c r="AS48" i="5"/>
  <c r="X85" i="8"/>
  <c r="AE2035" i="4"/>
  <c r="S231" i="4"/>
  <c r="AT21" i="5"/>
  <c r="E31" i="5"/>
  <c r="O201" i="4"/>
  <c r="I88" i="6"/>
  <c r="I94" i="6" s="1"/>
  <c r="AI49" i="5"/>
  <c r="Q197" i="4"/>
  <c r="AG1961" i="4"/>
  <c r="AG1962" i="4" s="1"/>
  <c r="AG1963" i="4" s="1"/>
  <c r="U62" i="7"/>
  <c r="U63" i="7" s="1"/>
  <c r="U64" i="7" s="1"/>
  <c r="X13" i="6"/>
  <c r="X201" i="6" s="1"/>
  <c r="L33" i="7"/>
  <c r="AC47" i="5" s="1"/>
  <c r="AC46" i="5" s="1"/>
  <c r="Q223" i="4"/>
  <c r="AS8" i="5"/>
  <c r="AF261" i="4"/>
  <c r="Z78" i="6"/>
  <c r="BD78" i="6" s="1"/>
  <c r="AT26" i="5"/>
  <c r="Q201" i="4"/>
  <c r="V8" i="5"/>
  <c r="W8" i="5" s="1"/>
  <c r="X8" i="5" s="1"/>
  <c r="Y8" i="5" s="1"/>
  <c r="Y64" i="5" s="1"/>
  <c r="Z73" i="8"/>
  <c r="Z75" i="8" s="1"/>
  <c r="AT27" i="5"/>
  <c r="V223" i="4"/>
  <c r="BO28" i="15"/>
  <c r="AH13" i="4"/>
  <c r="AH1995" i="4" s="1"/>
  <c r="Q205" i="12"/>
  <c r="AF270" i="4"/>
  <c r="AS27" i="5"/>
  <c r="AS21" i="5"/>
  <c r="AU13" i="15"/>
  <c r="BT13" i="15" s="1"/>
  <c r="AU11" i="15"/>
  <c r="BT11" i="15" s="1"/>
  <c r="AU14" i="15"/>
  <c r="BT14" i="15" s="1"/>
  <c r="AX16" i="6"/>
  <c r="AW16" i="6" s="1"/>
  <c r="T27" i="8"/>
  <c r="AK17" i="5" s="1"/>
  <c r="I33" i="7"/>
  <c r="I36" i="7" s="1"/>
  <c r="I37" i="7" s="1"/>
  <c r="R22" i="5"/>
  <c r="S23" i="5" s="1"/>
  <c r="AK14" i="5"/>
  <c r="Z23" i="7"/>
  <c r="BR41" i="15"/>
  <c r="AK284" i="4"/>
  <c r="AL284" i="4" s="1"/>
  <c r="AM284" i="4" s="1"/>
  <c r="AN284" i="4" s="1"/>
  <c r="AO284" i="4" s="1"/>
  <c r="AP284" i="4" s="1"/>
  <c r="AQ284" i="4" s="1"/>
  <c r="D51" i="8"/>
  <c r="D76" i="8" s="1"/>
  <c r="AO42" i="5"/>
  <c r="M33" i="7"/>
  <c r="E33" i="6"/>
  <c r="Q440" i="12"/>
  <c r="D47" i="14"/>
  <c r="D46" i="14" s="1"/>
  <c r="J60" i="14"/>
  <c r="J59" i="14" s="1"/>
  <c r="W160" i="6"/>
  <c r="AU160" i="6" s="1"/>
  <c r="AT160" i="6" s="1"/>
  <c r="W280" i="12"/>
  <c r="W48" i="12" s="1"/>
  <c r="P57" i="5" s="1"/>
  <c r="AD228" i="4"/>
  <c r="W317" i="12"/>
  <c r="W347" i="12" s="1"/>
  <c r="W226" i="12"/>
  <c r="W9" i="6"/>
  <c r="P10" i="5" s="1"/>
  <c r="H37" i="5"/>
  <c r="H39" i="5" s="1"/>
  <c r="AC58" i="5"/>
  <c r="Q101" i="6"/>
  <c r="Q127" i="6" s="1"/>
  <c r="I75" i="14"/>
  <c r="O27" i="8"/>
  <c r="S78" i="6"/>
  <c r="L37" i="5" s="1"/>
  <c r="L39" i="5" s="1"/>
  <c r="V33" i="15"/>
  <c r="BV39" i="15" s="1"/>
  <c r="O84" i="8"/>
  <c r="AF24" i="5"/>
  <c r="BT28" i="15"/>
  <c r="AV190" i="6"/>
  <c r="P84" i="8"/>
  <c r="AY190" i="6"/>
  <c r="AF1937" i="4"/>
  <c r="AI2035" i="4"/>
  <c r="O74" i="8"/>
  <c r="L197" i="4"/>
  <c r="O85" i="8"/>
  <c r="AB18" i="6"/>
  <c r="J33" i="7"/>
  <c r="BQ28" i="15"/>
  <c r="BQ14" i="15"/>
  <c r="AN51" i="5"/>
  <c r="AN50" i="5" s="1"/>
  <c r="U78" i="6"/>
  <c r="N37" i="5" s="1"/>
  <c r="BQ29" i="15"/>
  <c r="R188" i="4"/>
  <c r="V210" i="12"/>
  <c r="BH101" i="6"/>
  <c r="AI25" i="5"/>
  <c r="AI24" i="5" s="1"/>
  <c r="Z183" i="6"/>
  <c r="BQ11" i="15"/>
  <c r="AD44" i="7"/>
  <c r="AE44" i="7" s="1"/>
  <c r="R333" i="12"/>
  <c r="R394" i="12" s="1"/>
  <c r="R361" i="12" s="1"/>
  <c r="R49" i="8"/>
  <c r="AW30" i="6"/>
  <c r="AI51" i="5"/>
  <c r="E186" i="14"/>
  <c r="W129" i="6"/>
  <c r="AG378" i="4"/>
  <c r="T21" i="7"/>
  <c r="AI21" i="4"/>
  <c r="AI2003" i="4" s="1"/>
  <c r="BN30" i="15"/>
  <c r="BN33" i="15" s="1"/>
  <c r="AD41" i="8"/>
  <c r="BQ39" i="15"/>
  <c r="BQ41" i="15" s="1"/>
  <c r="AP16" i="5"/>
  <c r="E124" i="14"/>
  <c r="W33" i="7"/>
  <c r="W36" i="7" s="1"/>
  <c r="W37" i="7" s="1"/>
  <c r="U21" i="7"/>
  <c r="M197" i="4"/>
  <c r="V21" i="7"/>
  <c r="Y85" i="8"/>
  <c r="BU28" i="15"/>
  <c r="X129" i="6"/>
  <c r="AK50" i="5"/>
  <c r="BQ10" i="15"/>
  <c r="Y33" i="7"/>
  <c r="Y36" i="7" s="1"/>
  <c r="Y37" i="7" s="1"/>
  <c r="I144" i="6"/>
  <c r="BQ15" i="15"/>
  <c r="Q231" i="4"/>
  <c r="AP51" i="5"/>
  <c r="AP50" i="5" s="1"/>
  <c r="AC50" i="5"/>
  <c r="BF30" i="15"/>
  <c r="BF33" i="15" s="1"/>
  <c r="BT41" i="15"/>
  <c r="Z38" i="7" s="1"/>
  <c r="N21" i="7"/>
  <c r="BB193" i="6"/>
  <c r="AJ39" i="4"/>
  <c r="Z33" i="7"/>
  <c r="Q32" i="6"/>
  <c r="J27" i="5" s="1"/>
  <c r="K28" i="5" s="1"/>
  <c r="AG29" i="5"/>
  <c r="AG28" i="5" s="1"/>
  <c r="Y285" i="12"/>
  <c r="Y53" i="12" s="1"/>
  <c r="AF2031" i="4"/>
  <c r="BT23" i="15"/>
  <c r="AS55" i="5"/>
  <c r="H51" i="8"/>
  <c r="H76" i="8" s="1"/>
  <c r="M21" i="7"/>
  <c r="AD297" i="4"/>
  <c r="AD298" i="4" s="1"/>
  <c r="AD335" i="4" s="1"/>
  <c r="AD336" i="4" s="1"/>
  <c r="AD42" i="5"/>
  <c r="Y14" i="6"/>
  <c r="R16" i="5" s="1"/>
  <c r="BT29" i="15"/>
  <c r="AG285" i="4"/>
  <c r="AG295" i="4" s="1"/>
  <c r="BI41" i="15"/>
  <c r="BI43" i="15" s="1"/>
  <c r="BT16" i="15"/>
  <c r="Z204" i="6"/>
  <c r="S205" i="12"/>
  <c r="AE47" i="5"/>
  <c r="AE46" i="5" s="1"/>
  <c r="N55" i="7"/>
  <c r="N36" i="7"/>
  <c r="N37" i="7" s="1"/>
  <c r="BP29" i="15"/>
  <c r="AI22" i="4"/>
  <c r="AI2004" i="4" s="1"/>
  <c r="I62" i="7"/>
  <c r="I63" i="7" s="1"/>
  <c r="I64" i="7" s="1"/>
  <c r="L72" i="8"/>
  <c r="AC59" i="5" s="1"/>
  <c r="AC60" i="5" s="1"/>
  <c r="AC42" i="5"/>
  <c r="AE53" i="4"/>
  <c r="X283" i="12"/>
  <c r="X51" i="12" s="1"/>
  <c r="T231" i="4"/>
  <c r="E144" i="6"/>
  <c r="BP11" i="15"/>
  <c r="F205" i="12"/>
  <c r="L21" i="7"/>
  <c r="S90" i="8"/>
  <c r="BF41" i="15"/>
  <c r="BF43" i="15" s="1"/>
  <c r="AE45" i="4"/>
  <c r="N236" i="12"/>
  <c r="H33" i="5"/>
  <c r="BP23" i="15"/>
  <c r="F86" i="6"/>
  <c r="F153" i="12" s="1"/>
  <c r="L224" i="12"/>
  <c r="X21" i="7"/>
  <c r="L62" i="7"/>
  <c r="L63" i="7" s="1"/>
  <c r="L64" i="7" s="1"/>
  <c r="BI30" i="15"/>
  <c r="BI33" i="15" s="1"/>
  <c r="AC17" i="5"/>
  <c r="AC16" i="5" s="1"/>
  <c r="BP24" i="15"/>
  <c r="BP16" i="15"/>
  <c r="BP10" i="15"/>
  <c r="X62" i="7"/>
  <c r="X63" i="7" s="1"/>
  <c r="T197" i="4"/>
  <c r="E205" i="12"/>
  <c r="AE2031" i="4"/>
  <c r="V33" i="7"/>
  <c r="BP14" i="15"/>
  <c r="AG17" i="5"/>
  <c r="AG16" i="5" s="1"/>
  <c r="AF47" i="5"/>
  <c r="AF46" i="5" s="1"/>
  <c r="AB370" i="12"/>
  <c r="AB178" i="6" s="1"/>
  <c r="BD178" i="6" s="1"/>
  <c r="BC178" i="6" s="1"/>
  <c r="O34" i="7"/>
  <c r="V73" i="8"/>
  <c r="V75" i="8" s="1"/>
  <c r="D161" i="14"/>
  <c r="D163" i="14" s="1"/>
  <c r="I160" i="6"/>
  <c r="O36" i="7"/>
  <c r="O37" i="7" s="1"/>
  <c r="O55" i="7"/>
  <c r="AD13" i="8"/>
  <c r="V76" i="8"/>
  <c r="Y77" i="8"/>
  <c r="BO24" i="15"/>
  <c r="AH51" i="5"/>
  <c r="AH50" i="5" s="1"/>
  <c r="AE261" i="4"/>
  <c r="AJ22" i="4"/>
  <c r="P188" i="4"/>
  <c r="P197" i="4"/>
  <c r="Q188" i="4"/>
  <c r="X33" i="7"/>
  <c r="AM32" i="5"/>
  <c r="AM33" i="5" s="1"/>
  <c r="AM58" i="5" s="1"/>
  <c r="S21" i="7"/>
  <c r="BS10" i="15"/>
  <c r="R21" i="7"/>
  <c r="J47" i="14"/>
  <c r="J46" i="14" s="1"/>
  <c r="I46" i="14"/>
  <c r="K33" i="5"/>
  <c r="N317" i="12"/>
  <c r="N368" i="12" s="1"/>
  <c r="N176" i="6" s="1"/>
  <c r="G205" i="12"/>
  <c r="BK90" i="6"/>
  <c r="AK287" i="4"/>
  <c r="M269" i="12"/>
  <c r="H131" i="6"/>
  <c r="R231" i="4"/>
  <c r="AK42" i="5"/>
  <c r="E210" i="14"/>
  <c r="D208" i="14"/>
  <c r="D210" i="14" s="1"/>
  <c r="X18" i="6"/>
  <c r="Q22" i="5" s="1"/>
  <c r="X288" i="12"/>
  <c r="X58" i="12" s="1"/>
  <c r="L201" i="4"/>
  <c r="AB290" i="12"/>
  <c r="I33" i="6"/>
  <c r="AE290" i="12"/>
  <c r="W198" i="4"/>
  <c r="AS80" i="6"/>
  <c r="AS86" i="6" s="1"/>
  <c r="AS88" i="6" s="1"/>
  <c r="AS94" i="6" s="1"/>
  <c r="R428" i="12"/>
  <c r="L131" i="6"/>
  <c r="W46" i="6"/>
  <c r="BO39" i="15"/>
  <c r="BO41" i="15" s="1"/>
  <c r="T78" i="6"/>
  <c r="M37" i="5" s="1"/>
  <c r="AB17" i="6"/>
  <c r="AS23" i="15"/>
  <c r="BR23" i="15" s="1"/>
  <c r="AR24" i="15"/>
  <c r="BQ24" i="15" s="1"/>
  <c r="I21" i="14"/>
  <c r="J22" i="14"/>
  <c r="J21" i="14" s="1"/>
  <c r="I124" i="14"/>
  <c r="J122" i="14"/>
  <c r="J124" i="14" s="1"/>
  <c r="BA76" i="6"/>
  <c r="AZ76" i="6" s="1"/>
  <c r="AZ78" i="6" s="1"/>
  <c r="AG25" i="5"/>
  <c r="AG24" i="5" s="1"/>
  <c r="T85" i="8"/>
  <c r="H31" i="5"/>
  <c r="AL25" i="5"/>
  <c r="AD2031" i="4"/>
  <c r="W285" i="12"/>
  <c r="W53" i="12" s="1"/>
  <c r="AD53" i="4"/>
  <c r="H86" i="6"/>
  <c r="BB48" i="6"/>
  <c r="BB51" i="6" s="1"/>
  <c r="BO29" i="15"/>
  <c r="P49" i="8"/>
  <c r="AJ1951" i="4"/>
  <c r="AK1951" i="4" s="1"/>
  <c r="AP32" i="5"/>
  <c r="AP33" i="5" s="1"/>
  <c r="AP58" i="5" s="1"/>
  <c r="Y76" i="8"/>
  <c r="Y62" i="8"/>
  <c r="L51" i="8"/>
  <c r="L62" i="8" s="1"/>
  <c r="BC77" i="6"/>
  <c r="AO32" i="5"/>
  <c r="AO33" i="5" s="1"/>
  <c r="AO58" i="5" s="1"/>
  <c r="AH45" i="5"/>
  <c r="L205" i="12"/>
  <c r="K317" i="12"/>
  <c r="K368" i="12" s="1"/>
  <c r="K413" i="12" s="1"/>
  <c r="K226" i="12"/>
  <c r="K227" i="12" s="1"/>
  <c r="X188" i="4"/>
  <c r="AE15" i="7"/>
  <c r="AV41" i="5" s="1"/>
  <c r="D37" i="5"/>
  <c r="D39" i="5" s="1"/>
  <c r="AQ32" i="5"/>
  <c r="AQ33" i="5" s="1"/>
  <c r="AQ58" i="5" s="1"/>
  <c r="Y188" i="4"/>
  <c r="X73" i="8"/>
  <c r="X75" i="8" s="1"/>
  <c r="M188" i="4"/>
  <c r="V195" i="4"/>
  <c r="V230" i="4" s="1"/>
  <c r="K205" i="12"/>
  <c r="G33" i="6"/>
  <c r="AX12" i="6"/>
  <c r="AW12" i="6" s="1"/>
  <c r="N252" i="12"/>
  <c r="AD15" i="7"/>
  <c r="AU41" i="5" s="1"/>
  <c r="BU23" i="15"/>
  <c r="Z76" i="8"/>
  <c r="X76" i="8"/>
  <c r="R64" i="7"/>
  <c r="W188" i="4"/>
  <c r="X197" i="4"/>
  <c r="X198" i="4" s="1"/>
  <c r="Z428" i="12"/>
  <c r="I226" i="12"/>
  <c r="I227" i="12" s="1"/>
  <c r="H144" i="6"/>
  <c r="AW184" i="6"/>
  <c r="AW186" i="6" s="1"/>
  <c r="AW189" i="6" s="1"/>
  <c r="X62" i="8"/>
  <c r="AD45" i="8"/>
  <c r="AE45" i="8" s="1"/>
  <c r="AF45" i="8" s="1"/>
  <c r="BC45" i="15"/>
  <c r="T160" i="6"/>
  <c r="AS22" i="5"/>
  <c r="J91" i="14"/>
  <c r="J89" i="14" s="1"/>
  <c r="I89" i="14"/>
  <c r="J208" i="14"/>
  <c r="J210" i="14" s="1"/>
  <c r="I210" i="14"/>
  <c r="Z24" i="4"/>
  <c r="H205" i="12"/>
  <c r="AC17" i="6"/>
  <c r="AI17" i="5"/>
  <c r="AG266" i="4"/>
  <c r="AG267" i="4"/>
  <c r="AG269" i="4" s="1"/>
  <c r="AG270" i="4" s="1"/>
  <c r="Q33" i="7"/>
  <c r="D141" i="14"/>
  <c r="D143" i="14" s="1"/>
  <c r="E143" i="14"/>
  <c r="J317" i="12"/>
  <c r="J368" i="12" s="1"/>
  <c r="J176" i="6" s="1"/>
  <c r="R24" i="4"/>
  <c r="Q24" i="4"/>
  <c r="J160" i="6"/>
  <c r="AD56" i="8"/>
  <c r="J33" i="6"/>
  <c r="AG17" i="6"/>
  <c r="AI17" i="6"/>
  <c r="Q422" i="12"/>
  <c r="AL51" i="5"/>
  <c r="AL50" i="5" s="1"/>
  <c r="AA150" i="4"/>
  <c r="AA1937" i="4"/>
  <c r="AX40" i="6"/>
  <c r="AW40" i="6" s="1"/>
  <c r="AW46" i="6" s="1"/>
  <c r="AW48" i="6" s="1"/>
  <c r="AW51" i="6" s="1"/>
  <c r="AH290" i="12"/>
  <c r="AD290" i="12"/>
  <c r="AF17" i="6"/>
  <c r="Z85" i="8"/>
  <c r="Z203" i="6"/>
  <c r="S226" i="12"/>
  <c r="L222" i="4"/>
  <c r="M201" i="4"/>
  <c r="Z202" i="6"/>
  <c r="AH1936" i="4"/>
  <c r="AA228" i="4"/>
  <c r="AH17" i="6"/>
  <c r="AE17" i="6"/>
  <c r="Z46" i="6"/>
  <c r="BD46" i="6" s="1"/>
  <c r="AG290" i="12"/>
  <c r="AC290" i="12"/>
  <c r="AC57" i="12" s="1"/>
  <c r="AD17" i="6"/>
  <c r="P424" i="12"/>
  <c r="E33" i="5"/>
  <c r="G145" i="6"/>
  <c r="BG43" i="15"/>
  <c r="I33" i="5"/>
  <c r="AO16" i="5"/>
  <c r="AF136" i="6"/>
  <c r="BK107" i="6"/>
  <c r="AE134" i="6"/>
  <c r="AE140" i="6" s="1"/>
  <c r="X59" i="5" s="1"/>
  <c r="AG135" i="6"/>
  <c r="AG107" i="6"/>
  <c r="AG134" i="6" s="1"/>
  <c r="AG140" i="6" s="1"/>
  <c r="AW28" i="15"/>
  <c r="AI1936" i="4"/>
  <c r="D101" i="6"/>
  <c r="D127" i="6" s="1"/>
  <c r="D129" i="6" s="1"/>
  <c r="E127" i="6"/>
  <c r="E129" i="6" s="1"/>
  <c r="E130" i="6" s="1"/>
  <c r="G31" i="5"/>
  <c r="BP39" i="15"/>
  <c r="BP41" i="15" s="1"/>
  <c r="BP15" i="15"/>
  <c r="G88" i="6"/>
  <c r="G94" i="6" s="1"/>
  <c r="G97" i="6" s="1"/>
  <c r="AW29" i="6"/>
  <c r="N80" i="6"/>
  <c r="N86" i="6" s="1"/>
  <c r="N153" i="12" s="1"/>
  <c r="G37" i="5"/>
  <c r="G39" i="5" s="1"/>
  <c r="N204" i="14"/>
  <c r="N207" i="14" s="1"/>
  <c r="N220" i="14" s="1"/>
  <c r="G144" i="6"/>
  <c r="K33" i="6"/>
  <c r="M207" i="14"/>
  <c r="M220" i="14" s="1"/>
  <c r="X63" i="6"/>
  <c r="G131" i="6"/>
  <c r="BG30" i="15"/>
  <c r="BG33" i="15" s="1"/>
  <c r="P206" i="14"/>
  <c r="T15" i="15"/>
  <c r="T18" i="15" s="1"/>
  <c r="BT42" i="15" s="1"/>
  <c r="Z66" i="6"/>
  <c r="H33" i="6"/>
  <c r="R12" i="15"/>
  <c r="AS12" i="15" s="1"/>
  <c r="BR12" i="15" s="1"/>
  <c r="O269" i="12"/>
  <c r="Z445" i="12"/>
  <c r="O255" i="12"/>
  <c r="I205" i="12"/>
  <c r="AD19" i="12"/>
  <c r="AE19" i="12" s="1"/>
  <c r="Z30" i="6"/>
  <c r="BD30" i="6" s="1"/>
  <c r="J205" i="12"/>
  <c r="T32" i="6"/>
  <c r="M27" i="5" s="1"/>
  <c r="AD50" i="6"/>
  <c r="AC50" i="6"/>
  <c r="AC72" i="6" s="1"/>
  <c r="AC312" i="12"/>
  <c r="Z216" i="6"/>
  <c r="E37" i="5"/>
  <c r="E39" i="5" s="1"/>
  <c r="Y428" i="12"/>
  <c r="BA29" i="6"/>
  <c r="K144" i="6"/>
  <c r="K86" i="6"/>
  <c r="BE45" i="15"/>
  <c r="BE46" i="15" s="1"/>
  <c r="D144" i="6"/>
  <c r="D86" i="6"/>
  <c r="D153" i="12" s="1"/>
  <c r="AT184" i="6"/>
  <c r="AT186" i="6" s="1"/>
  <c r="AT189" i="6" s="1"/>
  <c r="AT80" i="6" s="1"/>
  <c r="AT86" i="6" s="1"/>
  <c r="AT88" i="6" s="1"/>
  <c r="AU40" i="6"/>
  <c r="AT40" i="6" s="1"/>
  <c r="AT46" i="6" s="1"/>
  <c r="AT48" i="6" s="1"/>
  <c r="AT51" i="6" s="1"/>
  <c r="Q12" i="15"/>
  <c r="AR12" i="15" s="1"/>
  <c r="BQ12" i="15" s="1"/>
  <c r="I130" i="6"/>
  <c r="I131" i="6"/>
  <c r="S188" i="4"/>
  <c r="T188" i="4"/>
  <c r="U197" i="4"/>
  <c r="V198" i="4" s="1"/>
  <c r="U188" i="4"/>
  <c r="U195" i="4"/>
  <c r="U230" i="4" s="1"/>
  <c r="U231" i="4" s="1"/>
  <c r="V188" i="4"/>
  <c r="AH42" i="4"/>
  <c r="AH2022" i="4" s="1"/>
  <c r="AI42" i="4"/>
  <c r="U413" i="12"/>
  <c r="U176" i="6"/>
  <c r="V443" i="12"/>
  <c r="AI1947" i="4"/>
  <c r="AG1954" i="4"/>
  <c r="R317" i="12"/>
  <c r="AA24" i="4"/>
  <c r="T317" i="12"/>
  <c r="AU14" i="6"/>
  <c r="AT14" i="6" s="1"/>
  <c r="P16" i="5"/>
  <c r="P17" i="5" s="1"/>
  <c r="R160" i="6"/>
  <c r="S160" i="6"/>
  <c r="K160" i="6"/>
  <c r="S317" i="12"/>
  <c r="J226" i="12"/>
  <c r="J227" i="12" s="1"/>
  <c r="AI40" i="4"/>
  <c r="AI2020" i="4" s="1"/>
  <c r="N160" i="6"/>
  <c r="AL256" i="4"/>
  <c r="AL258" i="4" s="1"/>
  <c r="P24" i="4"/>
  <c r="G226" i="12"/>
  <c r="G227" i="12" s="1"/>
  <c r="G160" i="6"/>
  <c r="G317" i="12"/>
  <c r="N195" i="4"/>
  <c r="N230" i="4" s="1"/>
  <c r="O188" i="4"/>
  <c r="N197" i="4"/>
  <c r="N188" i="4"/>
  <c r="AE23" i="4"/>
  <c r="AE2001" i="4"/>
  <c r="AD270" i="4"/>
  <c r="AE270" i="4"/>
  <c r="AA448" i="12"/>
  <c r="AK398" i="4"/>
  <c r="AL398" i="4" s="1"/>
  <c r="AM398" i="4" s="1"/>
  <c r="AN398" i="4" s="1"/>
  <c r="AO398" i="4" s="1"/>
  <c r="AP398" i="4" s="1"/>
  <c r="AQ398" i="4" s="1"/>
  <c r="Y195" i="4"/>
  <c r="Y230" i="4" s="1"/>
  <c r="Y231" i="4" s="1"/>
  <c r="BA19" i="6"/>
  <c r="AZ19" i="6" s="1"/>
  <c r="R197" i="4"/>
  <c r="R201" i="4"/>
  <c r="AX19" i="6"/>
  <c r="AW19" i="6" s="1"/>
  <c r="AH18" i="4"/>
  <c r="AH2000" i="4" s="1"/>
  <c r="Y197" i="4"/>
  <c r="AF297" i="4"/>
  <c r="AF298" i="4" s="1"/>
  <c r="Y283" i="12"/>
  <c r="Y51" i="12" s="1"/>
  <c r="AF2024" i="4"/>
  <c r="Y12" i="6"/>
  <c r="BA12" i="6" s="1"/>
  <c r="AZ12" i="6" s="1"/>
  <c r="AF45" i="4"/>
  <c r="AG2025" i="4" s="1"/>
  <c r="AK362" i="4"/>
  <c r="AJ40" i="4"/>
  <c r="V62" i="8"/>
  <c r="N29" i="8"/>
  <c r="AE17" i="5"/>
  <c r="AE18" i="5" s="1"/>
  <c r="AJ29" i="5"/>
  <c r="AJ28" i="5" s="1"/>
  <c r="AE28" i="5"/>
  <c r="AE30" i="5"/>
  <c r="V71" i="8"/>
  <c r="BH30" i="15"/>
  <c r="BH33" i="15" s="1"/>
  <c r="T128" i="6"/>
  <c r="T129" i="6" s="1"/>
  <c r="AK56" i="5"/>
  <c r="T71" i="8"/>
  <c r="T91" i="8"/>
  <c r="AK12" i="5"/>
  <c r="AK11" i="5" s="1"/>
  <c r="AD58" i="5"/>
  <c r="J29" i="8"/>
  <c r="F131" i="6"/>
  <c r="F130" i="6"/>
  <c r="AD30" i="5"/>
  <c r="AD24" i="5"/>
  <c r="J86" i="6"/>
  <c r="V29" i="6"/>
  <c r="W30" i="6" s="1"/>
  <c r="AU30" i="6" s="1"/>
  <c r="AK25" i="5"/>
  <c r="AK24" i="5" s="1"/>
  <c r="T49" i="8"/>
  <c r="AH31" i="4"/>
  <c r="AH2012" i="4" s="1"/>
  <c r="AM42" i="5"/>
  <c r="AM43" i="5" s="1"/>
  <c r="V62" i="7"/>
  <c r="V63" i="7" s="1"/>
  <c r="W64" i="7" s="1"/>
  <c r="AI41" i="4"/>
  <c r="AI2021" i="4" s="1"/>
  <c r="BD43" i="15"/>
  <c r="BD46" i="15"/>
  <c r="AL29" i="5"/>
  <c r="AL28" i="5" s="1"/>
  <c r="U49" i="8"/>
  <c r="BS39" i="15"/>
  <c r="BS41" i="15" s="1"/>
  <c r="Y38" i="7" s="1"/>
  <c r="BS11" i="15"/>
  <c r="BS24" i="15"/>
  <c r="BS28" i="15"/>
  <c r="BS29" i="15"/>
  <c r="BS23" i="15"/>
  <c r="AE49" i="6"/>
  <c r="AD311" i="12"/>
  <c r="AD49" i="6"/>
  <c r="AD71" i="6" s="1"/>
  <c r="AI42" i="5"/>
  <c r="BH43" i="15"/>
  <c r="AK24" i="15"/>
  <c r="BJ24" i="15" s="1"/>
  <c r="AL23" i="15"/>
  <c r="AM23" i="15" s="1"/>
  <c r="Z283" i="12"/>
  <c r="S27" i="8"/>
  <c r="AJ17" i="5" s="1"/>
  <c r="AJ16" i="5" s="1"/>
  <c r="P80" i="6"/>
  <c r="P86" i="6" s="1"/>
  <c r="P153" i="12" s="1"/>
  <c r="I37" i="5"/>
  <c r="K84" i="8"/>
  <c r="K27" i="8"/>
  <c r="L84" i="8"/>
  <c r="K74" i="8"/>
  <c r="O86" i="6"/>
  <c r="O153" i="12" s="1"/>
  <c r="BI45" i="15"/>
  <c r="O131" i="6"/>
  <c r="O144" i="6"/>
  <c r="AK218" i="4"/>
  <c r="AL218" i="4" s="1"/>
  <c r="AM218" i="4" s="1"/>
  <c r="G210" i="12"/>
  <c r="K131" i="6"/>
  <c r="K130" i="6"/>
  <c r="Z12" i="6"/>
  <c r="X186" i="6"/>
  <c r="AX186" i="6" s="1"/>
  <c r="AV94" i="6"/>
  <c r="AV97" i="6" s="1"/>
  <c r="E85" i="8"/>
  <c r="E27" i="8"/>
  <c r="E29" i="8" s="1"/>
  <c r="E51" i="8" s="1"/>
  <c r="E74" i="8"/>
  <c r="E84" i="8"/>
  <c r="F84" i="8"/>
  <c r="I143" i="14"/>
  <c r="J141" i="14"/>
  <c r="J143" i="14" s="1"/>
  <c r="W238" i="12"/>
  <c r="W240" i="12" s="1"/>
  <c r="W218" i="12" s="1"/>
  <c r="W217" i="12" s="1"/>
  <c r="BS15" i="15"/>
  <c r="W421" i="12"/>
  <c r="J144" i="6"/>
  <c r="F5" i="7"/>
  <c r="F5" i="12"/>
  <c r="F5" i="6"/>
  <c r="N5" i="4"/>
  <c r="G5" i="12" s="1"/>
  <c r="F5" i="8"/>
  <c r="F65" i="8" s="1"/>
  <c r="BS14" i="15"/>
  <c r="BS13" i="15"/>
  <c r="H27" i="5"/>
  <c r="H28" i="5" s="1"/>
  <c r="O33" i="6"/>
  <c r="BS16" i="15"/>
  <c r="AG150" i="4"/>
  <c r="S177" i="6"/>
  <c r="X337" i="12"/>
  <c r="X396" i="12" s="1"/>
  <c r="X421" i="12" s="1"/>
  <c r="L326" i="12"/>
  <c r="L385" i="12" s="1"/>
  <c r="L410" i="12" s="1"/>
  <c r="AG152" i="4"/>
  <c r="AF192" i="4"/>
  <c r="AF186" i="4"/>
  <c r="AF187" i="4"/>
  <c r="AF195" i="4" s="1"/>
  <c r="AF230" i="4" s="1"/>
  <c r="AD170" i="6"/>
  <c r="BJ170" i="6" s="1"/>
  <c r="D166" i="6"/>
  <c r="Z187" i="4"/>
  <c r="Z197" i="4" s="1"/>
  <c r="Z186" i="4"/>
  <c r="Z192" i="4"/>
  <c r="AG146" i="4"/>
  <c r="AG185" i="4"/>
  <c r="AG187" i="4" s="1"/>
  <c r="D333" i="12"/>
  <c r="Z165" i="6"/>
  <c r="L144" i="6"/>
  <c r="BF45" i="15"/>
  <c r="L81" i="6"/>
  <c r="L86" i="6"/>
  <c r="L153" i="12" s="1"/>
  <c r="AD12" i="8"/>
  <c r="AQ29" i="6"/>
  <c r="AG428" i="12" s="1"/>
  <c r="H160" i="6"/>
  <c r="O24" i="4"/>
  <c r="H226" i="12"/>
  <c r="H227" i="12" s="1"/>
  <c r="H317" i="12"/>
  <c r="X422" i="12"/>
  <c r="G72" i="8"/>
  <c r="G51" i="8"/>
  <c r="G77" i="8" s="1"/>
  <c r="AD17" i="5"/>
  <c r="AD16" i="5" s="1"/>
  <c r="M29" i="8"/>
  <c r="M72" i="8" s="1"/>
  <c r="AD59" i="5" s="1"/>
  <c r="AD60" i="5" s="1"/>
  <c r="BG100" i="6"/>
  <c r="BF100" i="6" s="1"/>
  <c r="AF36" i="8"/>
  <c r="AG36" i="8" s="1"/>
  <c r="AX23" i="15"/>
  <c r="AW24" i="15"/>
  <c r="AE335" i="4"/>
  <c r="AE29" i="4"/>
  <c r="AE33" i="4" s="1"/>
  <c r="AC291" i="12"/>
  <c r="AB20" i="6"/>
  <c r="L228" i="4"/>
  <c r="G36" i="7"/>
  <c r="G37" i="7" s="1"/>
  <c r="G55" i="7"/>
  <c r="G58" i="7" s="1"/>
  <c r="H56" i="7" s="1"/>
  <c r="E33" i="14"/>
  <c r="D34" i="14"/>
  <c r="D33" i="14" s="1"/>
  <c r="AR48" i="5"/>
  <c r="AD18" i="8"/>
  <c r="AE18" i="8" s="1"/>
  <c r="J390" i="12"/>
  <c r="J415" i="12" s="1"/>
  <c r="AG2024" i="4"/>
  <c r="AG261" i="4"/>
  <c r="AU29" i="6"/>
  <c r="AK428" i="12" s="1"/>
  <c r="W428" i="12"/>
  <c r="W205" i="12"/>
  <c r="V205" i="12"/>
  <c r="AR15" i="5"/>
  <c r="Z162" i="6"/>
  <c r="Z321" i="12"/>
  <c r="Z372" i="12" s="1"/>
  <c r="Z416" i="12" s="1"/>
  <c r="W163" i="6"/>
  <c r="AU163" i="6" s="1"/>
  <c r="AT163" i="6" s="1"/>
  <c r="F33" i="6"/>
  <c r="R270" i="12"/>
  <c r="S270" i="12" s="1"/>
  <c r="T270" i="12" s="1"/>
  <c r="U270" i="12" s="1"/>
  <c r="V270" i="12" s="1"/>
  <c r="W270" i="12" s="1"/>
  <c r="X270" i="12" s="1"/>
  <c r="Y270" i="12" s="1"/>
  <c r="Z270" i="12" s="1"/>
  <c r="Q248" i="12"/>
  <c r="AC11" i="5"/>
  <c r="AH28" i="5"/>
  <c r="AH30" i="5"/>
  <c r="AE43" i="8"/>
  <c r="P317" i="12"/>
  <c r="P226" i="12"/>
  <c r="P227" i="12" s="1"/>
  <c r="P160" i="6"/>
  <c r="J130" i="6"/>
  <c r="J131" i="6"/>
  <c r="I186" i="14"/>
  <c r="J184" i="14"/>
  <c r="J186" i="14" s="1"/>
  <c r="P333" i="12"/>
  <c r="P394" i="12" s="1"/>
  <c r="P361" i="12" s="1"/>
  <c r="Z139" i="6"/>
  <c r="AF23" i="4"/>
  <c r="AF2001" i="4"/>
  <c r="Y455" i="12"/>
  <c r="AC381" i="12"/>
  <c r="AC188" i="6" s="1"/>
  <c r="AB188" i="6"/>
  <c r="AU10" i="15"/>
  <c r="BT10" i="15" s="1"/>
  <c r="BM185" i="6"/>
  <c r="BJ185" i="6"/>
  <c r="AQ184" i="6"/>
  <c r="AQ186" i="6" s="1"/>
  <c r="AQ189" i="6" s="1"/>
  <c r="V25" i="12"/>
  <c r="V194" i="12"/>
  <c r="W25" i="12"/>
  <c r="W194" i="12"/>
  <c r="V427" i="12"/>
  <c r="Y392" i="12"/>
  <c r="Y417" i="12" s="1"/>
  <c r="Z359" i="12"/>
  <c r="M32" i="6"/>
  <c r="F27" i="5" s="1"/>
  <c r="G28" i="5" s="1"/>
  <c r="O205" i="12"/>
  <c r="P205" i="12"/>
  <c r="AC268" i="12"/>
  <c r="AD268" i="12" s="1"/>
  <c r="S428" i="12"/>
  <c r="S32" i="6"/>
  <c r="L27" i="5" s="1"/>
  <c r="AR13" i="15"/>
  <c r="BQ13" i="15" s="1"/>
  <c r="Y30" i="6"/>
  <c r="BA30" i="6" s="1"/>
  <c r="X30" i="6"/>
  <c r="AX30" i="6" s="1"/>
  <c r="X428" i="12"/>
  <c r="AX29" i="6"/>
  <c r="AU184" i="6"/>
  <c r="W186" i="6"/>
  <c r="O210" i="12"/>
  <c r="P210" i="12"/>
  <c r="Y44" i="12"/>
  <c r="Z313" i="12" s="1"/>
  <c r="Y309" i="12"/>
  <c r="Z309" i="12"/>
  <c r="AB374" i="12"/>
  <c r="AA449" i="12"/>
  <c r="AA182" i="6"/>
  <c r="L32" i="6"/>
  <c r="E27" i="5" s="1"/>
  <c r="E28" i="5" s="1"/>
  <c r="Y63" i="6"/>
  <c r="Y46" i="6"/>
  <c r="R30" i="5" s="1"/>
  <c r="O204" i="14"/>
  <c r="BA40" i="6"/>
  <c r="AZ40" i="6" s="1"/>
  <c r="AZ46" i="6" s="1"/>
  <c r="AZ48" i="6" s="1"/>
  <c r="AZ51" i="6" s="1"/>
  <c r="AZ56" i="6" s="1"/>
  <c r="S12" i="15"/>
  <c r="AT12" i="15" s="1"/>
  <c r="BS12" i="15" s="1"/>
  <c r="Z63" i="6"/>
  <c r="AR184" i="6"/>
  <c r="O30" i="5"/>
  <c r="AM57" i="5" s="1"/>
  <c r="V186" i="6"/>
  <c r="V379" i="12" s="1"/>
  <c r="BJ23" i="15"/>
  <c r="BJ39" i="15"/>
  <c r="BJ28" i="15"/>
  <c r="V91" i="8"/>
  <c r="W88" i="8"/>
  <c r="X88" i="8" s="1"/>
  <c r="I31" i="5"/>
  <c r="J31" i="5"/>
  <c r="I27" i="5"/>
  <c r="P33" i="6"/>
  <c r="J33" i="5"/>
  <c r="F37" i="5"/>
  <c r="F39" i="5" s="1"/>
  <c r="M80" i="6"/>
  <c r="M144" i="6" s="1"/>
  <c r="Q30" i="5"/>
  <c r="AX46" i="6"/>
  <c r="X48" i="6"/>
  <c r="Q32" i="5" s="1"/>
  <c r="BE43" i="15"/>
  <c r="AV68" i="6"/>
  <c r="AY68" i="6"/>
  <c r="AV48" i="6"/>
  <c r="AV32" i="6" s="1"/>
  <c r="E145" i="6"/>
  <c r="E88" i="6"/>
  <c r="E91" i="6" s="1"/>
  <c r="BL90" i="6"/>
  <c r="E166" i="6"/>
  <c r="Q326" i="12"/>
  <c r="Q385" i="12" s="1"/>
  <c r="Q410" i="12" s="1"/>
  <c r="AL150" i="4"/>
  <c r="AM150" i="4" s="1"/>
  <c r="L159" i="6"/>
  <c r="T327" i="12"/>
  <c r="T386" i="12" s="1"/>
  <c r="T411" i="12" s="1"/>
  <c r="Q226" i="12"/>
  <c r="X24" i="4"/>
  <c r="Q317" i="12"/>
  <c r="Q368" i="12" s="1"/>
  <c r="Q160" i="6"/>
  <c r="Y24" i="4"/>
  <c r="I390" i="12"/>
  <c r="I401" i="12" s="1"/>
  <c r="I385" i="12" s="1"/>
  <c r="I410" i="12" s="1"/>
  <c r="T328" i="12"/>
  <c r="AG53" i="4"/>
  <c r="E226" i="12"/>
  <c r="E227" i="12" s="1"/>
  <c r="E160" i="6"/>
  <c r="E317" i="12"/>
  <c r="M358" i="12"/>
  <c r="K166" i="6"/>
  <c r="AK343" i="4"/>
  <c r="AK345" i="4" s="1"/>
  <c r="AK348" i="4" s="1"/>
  <c r="AK354" i="4" s="1"/>
  <c r="AJ345" i="4"/>
  <c r="AJ348" i="4" s="1"/>
  <c r="P326" i="12"/>
  <c r="P385" i="12" s="1"/>
  <c r="S414" i="12"/>
  <c r="S179" i="6"/>
  <c r="T446" i="12"/>
  <c r="K327" i="12"/>
  <c r="K386" i="12" s="1"/>
  <c r="AR12" i="6"/>
  <c r="AQ12" i="6" s="1"/>
  <c r="V13" i="6"/>
  <c r="I159" i="6"/>
  <c r="AL131" i="4"/>
  <c r="AL133" i="4" s="1"/>
  <c r="F326" i="12"/>
  <c r="R386" i="12"/>
  <c r="R411" i="12" s="1"/>
  <c r="I233" i="12"/>
  <c r="H331" i="12"/>
  <c r="AD146" i="4"/>
  <c r="AD185" i="4"/>
  <c r="AD187" i="4" s="1"/>
  <c r="AE146" i="4"/>
  <c r="AE147" i="4"/>
  <c r="AD147" i="4"/>
  <c r="AD1937" i="4" s="1"/>
  <c r="P201" i="4"/>
  <c r="O197" i="4"/>
  <c r="O222" i="4"/>
  <c r="O223" i="4" s="1"/>
  <c r="BA216" i="6"/>
  <c r="AZ216" i="6" s="1"/>
  <c r="U337" i="12"/>
  <c r="U396" i="12" s="1"/>
  <c r="U421" i="12" s="1"/>
  <c r="AO1946" i="4"/>
  <c r="AP1946" i="4" s="1"/>
  <c r="AQ1946" i="4" s="1"/>
  <c r="P18" i="5"/>
  <c r="Q19" i="5" s="1"/>
  <c r="AU15" i="6"/>
  <c r="AT15" i="6" s="1"/>
  <c r="S228" i="4"/>
  <c r="U327" i="12"/>
  <c r="U386" i="12" s="1"/>
  <c r="U411" i="12" s="1"/>
  <c r="W283" i="12"/>
  <c r="W51" i="12" s="1"/>
  <c r="AE2024" i="4"/>
  <c r="AD2024" i="4"/>
  <c r="W12" i="6"/>
  <c r="AU12" i="6" s="1"/>
  <c r="AT12" i="6" s="1"/>
  <c r="Y238" i="12"/>
  <c r="Y240" i="12" s="1"/>
  <c r="Y218" i="12" s="1"/>
  <c r="Y217" i="12" s="1"/>
  <c r="L226" i="12"/>
  <c r="L227" i="12" s="1"/>
  <c r="L317" i="12"/>
  <c r="L368" i="12" s="1"/>
  <c r="L413" i="12" s="1"/>
  <c r="L160" i="6"/>
  <c r="S24" i="4"/>
  <c r="L233" i="12"/>
  <c r="L234" i="12" s="1"/>
  <c r="P386" i="12"/>
  <c r="P411" i="12" s="1"/>
  <c r="D161" i="6"/>
  <c r="D320" i="12"/>
  <c r="AG2031" i="4"/>
  <c r="AJ51" i="4"/>
  <c r="AK210" i="4"/>
  <c r="AL210" i="4" s="1"/>
  <c r="AM210" i="4" s="1"/>
  <c r="AN210" i="4" s="1"/>
  <c r="AO210" i="4" s="1"/>
  <c r="AP210" i="4" s="1"/>
  <c r="AQ210" i="4" s="1"/>
  <c r="AH1941" i="4"/>
  <c r="N326" i="12"/>
  <c r="N385" i="12" s="1"/>
  <c r="N177" i="6" s="1"/>
  <c r="AE378" i="4"/>
  <c r="AD378" i="4"/>
  <c r="AD2001" i="4"/>
  <c r="N358" i="12"/>
  <c r="W326" i="12"/>
  <c r="W410" i="12" s="1"/>
  <c r="L320" i="12"/>
  <c r="L371" i="12" s="1"/>
  <c r="L179" i="6" s="1"/>
  <c r="AH43" i="4"/>
  <c r="AH2023" i="4" s="1"/>
  <c r="S222" i="4"/>
  <c r="T223" i="4" s="1"/>
  <c r="S197" i="4"/>
  <c r="S201" i="4"/>
  <c r="T201" i="4"/>
  <c r="W24" i="4"/>
  <c r="O317" i="12"/>
  <c r="O226" i="12"/>
  <c r="O227" i="12" s="1"/>
  <c r="V24" i="4"/>
  <c r="O160" i="6"/>
  <c r="P179" i="6"/>
  <c r="Q446" i="12"/>
  <c r="D160" i="6"/>
  <c r="D317" i="12"/>
  <c r="D226" i="12"/>
  <c r="D227" i="12" s="1"/>
  <c r="W165" i="6"/>
  <c r="AU165" i="6" s="1"/>
  <c r="AT165" i="6" s="1"/>
  <c r="AA192" i="4"/>
  <c r="AA187" i="4"/>
  <c r="AA195" i="4" s="1"/>
  <c r="AA230" i="4" s="1"/>
  <c r="AA186" i="4"/>
  <c r="J371" i="12"/>
  <c r="W282" i="12"/>
  <c r="W50" i="12" s="1"/>
  <c r="AE2017" i="4"/>
  <c r="AD2017" i="4"/>
  <c r="W11" i="6"/>
  <c r="AU11" i="6" s="1"/>
  <c r="AT11" i="6" s="1"/>
  <c r="AD45" i="4"/>
  <c r="AD2025" i="4" s="1"/>
  <c r="U24" i="4"/>
  <c r="M160" i="6"/>
  <c r="M226" i="12"/>
  <c r="M227" i="12" s="1"/>
  <c r="M317" i="12"/>
  <c r="T24" i="4"/>
  <c r="P414" i="12"/>
  <c r="AA321" i="12"/>
  <c r="AA372" i="12" s="1"/>
  <c r="AA416" i="12" s="1"/>
  <c r="AA162" i="6"/>
  <c r="BG162" i="6" s="1"/>
  <c r="BF162" i="6" s="1"/>
  <c r="AB331" i="12"/>
  <c r="AK133" i="4"/>
  <c r="T447" i="12"/>
  <c r="S180" i="6"/>
  <c r="S447" i="12"/>
  <c r="Z285" i="12"/>
  <c r="Z53" i="12" s="1"/>
  <c r="AF223" i="4"/>
  <c r="AG223" i="4"/>
  <c r="BG181" i="6"/>
  <c r="BF181" i="6" s="1"/>
  <c r="Y54" i="12"/>
  <c r="AK22" i="4"/>
  <c r="AL243" i="4"/>
  <c r="AL22" i="4" s="1"/>
  <c r="R159" i="6"/>
  <c r="R233" i="12"/>
  <c r="R234" i="12" s="1"/>
  <c r="AN346" i="4"/>
  <c r="AO346" i="4" s="1"/>
  <c r="AM135" i="4"/>
  <c r="AC331" i="12"/>
  <c r="Q327" i="12"/>
  <c r="Q386" i="12" s="1"/>
  <c r="Z181" i="6"/>
  <c r="Z448" i="12"/>
  <c r="I371" i="12"/>
  <c r="I179" i="6" s="1"/>
  <c r="I338" i="12"/>
  <c r="I364" i="12" s="1"/>
  <c r="P21" i="5"/>
  <c r="M385" i="12"/>
  <c r="M410" i="12" s="1"/>
  <c r="H233" i="12"/>
  <c r="H265" i="12" s="1"/>
  <c r="H266" i="12" s="1"/>
  <c r="H159" i="6"/>
  <c r="AC238" i="12"/>
  <c r="AC240" i="12" s="1"/>
  <c r="AC218" i="12" s="1"/>
  <c r="AG2001" i="4"/>
  <c r="AG23" i="4"/>
  <c r="R18" i="5"/>
  <c r="BA15" i="6"/>
  <c r="AZ15" i="6" s="1"/>
  <c r="O166" i="6"/>
  <c r="O331" i="12"/>
  <c r="O390" i="12" s="1"/>
  <c r="I176" i="6"/>
  <c r="I30" i="6" s="1"/>
  <c r="AD341" i="12"/>
  <c r="AD424" i="12" s="1"/>
  <c r="K390" i="12"/>
  <c r="K415" i="12" s="1"/>
  <c r="N411" i="12"/>
  <c r="Y181" i="6"/>
  <c r="Y448" i="12"/>
  <c r="M159" i="6"/>
  <c r="S20" i="5"/>
  <c r="S21" i="5" s="1"/>
  <c r="AG15" i="7"/>
  <c r="AF15" i="7"/>
  <c r="AW41" i="5" s="1"/>
  <c r="AH107" i="6"/>
  <c r="Y337" i="12"/>
  <c r="Y396" i="12" s="1"/>
  <c r="Y421" i="12" s="1"/>
  <c r="AE170" i="6"/>
  <c r="BK170" i="6" s="1"/>
  <c r="K326" i="12"/>
  <c r="J326" i="12"/>
  <c r="X341" i="12"/>
  <c r="E326" i="12"/>
  <c r="G326" i="12"/>
  <c r="X326" i="12"/>
  <c r="X410" i="12" s="1"/>
  <c r="Z455" i="12"/>
  <c r="V10" i="6"/>
  <c r="V281" i="12"/>
  <c r="AB322" i="12"/>
  <c r="AB373" i="12" s="1"/>
  <c r="AB164" i="6"/>
  <c r="N159" i="6"/>
  <c r="S233" i="12"/>
  <c r="S159" i="6"/>
  <c r="I230" i="12"/>
  <c r="I231" i="12" s="1"/>
  <c r="N331" i="12"/>
  <c r="N166" i="6"/>
  <c r="AA163" i="6"/>
  <c r="BG163" i="6" s="1"/>
  <c r="BF163" i="6" s="1"/>
  <c r="H166" i="6"/>
  <c r="M331" i="12"/>
  <c r="M166" i="6"/>
  <c r="L230" i="12"/>
  <c r="L231" i="12" s="1"/>
  <c r="S328" i="12"/>
  <c r="S333" i="12"/>
  <c r="S394" i="12" s="1"/>
  <c r="S361" i="12" s="1"/>
  <c r="AB321" i="12"/>
  <c r="AB162" i="6"/>
  <c r="R166" i="6"/>
  <c r="V317" i="12"/>
  <c r="AD24" i="4"/>
  <c r="AD2005" i="4"/>
  <c r="V233" i="12"/>
  <c r="V226" i="12"/>
  <c r="V9" i="6"/>
  <c r="V280" i="12"/>
  <c r="V160" i="6"/>
  <c r="AR160" i="6" s="1"/>
  <c r="AQ160" i="6" s="1"/>
  <c r="AQ168" i="6" s="1"/>
  <c r="F159" i="6"/>
  <c r="K159" i="6"/>
  <c r="K233" i="12"/>
  <c r="P159" i="6"/>
  <c r="P233" i="12"/>
  <c r="D326" i="12"/>
  <c r="Q233" i="12"/>
  <c r="Q159" i="6"/>
  <c r="AE341" i="12"/>
  <c r="AE424" i="12" s="1"/>
  <c r="AD331" i="12"/>
  <c r="AA165" i="6"/>
  <c r="BG165" i="6" s="1"/>
  <c r="BF165" i="6" s="1"/>
  <c r="R230" i="12"/>
  <c r="R231" i="12" s="1"/>
  <c r="AK448" i="12" l="1"/>
  <c r="Z226" i="12"/>
  <c r="X280" i="12"/>
  <c r="X48" i="12" s="1"/>
  <c r="Q57" i="5" s="1"/>
  <c r="AE76" i="4"/>
  <c r="AJ69" i="4"/>
  <c r="AK69" i="4" s="1"/>
  <c r="AL69" i="4" s="1"/>
  <c r="AM69" i="4" s="1"/>
  <c r="AN69" i="4" s="1"/>
  <c r="AO69" i="4" s="1"/>
  <c r="AP69" i="4" s="1"/>
  <c r="AQ69" i="4" s="1"/>
  <c r="AR69" i="4" s="1"/>
  <c r="AS69" i="4" s="1"/>
  <c r="AK177" i="6"/>
  <c r="AK416" i="12"/>
  <c r="AK180" i="6"/>
  <c r="AK446" i="12"/>
  <c r="AK179" i="6"/>
  <c r="AK134" i="6"/>
  <c r="AK140" i="6" s="1"/>
  <c r="AL177" i="6"/>
  <c r="AL444" i="12"/>
  <c r="AL181" i="6"/>
  <c r="AL448" i="12"/>
  <c r="AL446" i="12"/>
  <c r="AL179" i="6"/>
  <c r="AL414" i="12"/>
  <c r="AL180" i="6"/>
  <c r="AL416" i="12"/>
  <c r="AL447" i="12"/>
  <c r="AW8" i="5"/>
  <c r="AW36" i="5"/>
  <c r="AW55" i="5"/>
  <c r="AF290" i="12"/>
  <c r="AQ65" i="4"/>
  <c r="AJ17" i="6" s="1"/>
  <c r="AD34" i="8"/>
  <c r="AD134" i="12" s="1"/>
  <c r="AF43" i="8"/>
  <c r="U147" i="12"/>
  <c r="U139" i="12"/>
  <c r="K88" i="6"/>
  <c r="K153" i="12"/>
  <c r="H88" i="6"/>
  <c r="H91" i="6" s="1"/>
  <c r="H153" i="12"/>
  <c r="J88" i="6"/>
  <c r="J94" i="6" s="1"/>
  <c r="J153" i="12"/>
  <c r="R77" i="6"/>
  <c r="R78" i="6" s="1"/>
  <c r="T89" i="6"/>
  <c r="AJ1947" i="4"/>
  <c r="AK1947" i="4" s="1"/>
  <c r="AI1954" i="4"/>
  <c r="AU18" i="6"/>
  <c r="AT18" i="6" s="1"/>
  <c r="X64" i="5"/>
  <c r="AV8" i="5"/>
  <c r="AV36" i="5"/>
  <c r="AV55" i="5"/>
  <c r="Q21" i="5"/>
  <c r="AJ349" i="4"/>
  <c r="AG47" i="5"/>
  <c r="AG46" i="5" s="1"/>
  <c r="AE20" i="8"/>
  <c r="AK173" i="4"/>
  <c r="AL173" i="4" s="1"/>
  <c r="AL175" i="4" s="1"/>
  <c r="AH43" i="5"/>
  <c r="S64" i="7"/>
  <c r="P64" i="7"/>
  <c r="AA183" i="6"/>
  <c r="BG183" i="6" s="1"/>
  <c r="BF183" i="6" s="1"/>
  <c r="AK43" i="5"/>
  <c r="AH37" i="4"/>
  <c r="AA282" i="12" s="1"/>
  <c r="AA50" i="12" s="1"/>
  <c r="AH377" i="4"/>
  <c r="AA270" i="12"/>
  <c r="AA45" i="6"/>
  <c r="AA58" i="12"/>
  <c r="Z55" i="7"/>
  <c r="Z58" i="7" s="1"/>
  <c r="AA56" i="7" s="1"/>
  <c r="AA58" i="7" s="1"/>
  <c r="AB56" i="7" s="1"/>
  <c r="AA34" i="7"/>
  <c r="Y64" i="7"/>
  <c r="AH265" i="4"/>
  <c r="AC32" i="5"/>
  <c r="S37" i="5"/>
  <c r="S38" i="5" s="1"/>
  <c r="L76" i="8"/>
  <c r="AK73" i="4"/>
  <c r="AD291" i="12" s="1"/>
  <c r="P36" i="7"/>
  <c r="P37" i="7" s="1"/>
  <c r="W413" i="12"/>
  <c r="I38" i="5"/>
  <c r="H40" i="5"/>
  <c r="U72" i="8"/>
  <c r="AL59" i="5" s="1"/>
  <c r="AL60" i="5" s="1"/>
  <c r="AL17" i="5"/>
  <c r="AL18" i="5" s="1"/>
  <c r="AX24" i="15"/>
  <c r="AY23" i="15"/>
  <c r="AZ23" i="15" s="1"/>
  <c r="BA23" i="15" s="1"/>
  <c r="AR398" i="4"/>
  <c r="AS398" i="4" s="1"/>
  <c r="AK136" i="6"/>
  <c r="AK135" i="6"/>
  <c r="AR1946" i="4"/>
  <c r="AS1946" i="4" s="1"/>
  <c r="AR210" i="4"/>
  <c r="AS210" i="4" s="1"/>
  <c r="AR284" i="4"/>
  <c r="AS284" i="4" s="1"/>
  <c r="P34" i="7"/>
  <c r="AN47" i="5"/>
  <c r="AN46" i="5" s="1"/>
  <c r="AJ43" i="5"/>
  <c r="W55" i="7"/>
  <c r="F317" i="12"/>
  <c r="F338" i="12" s="1"/>
  <c r="F364" i="12" s="1"/>
  <c r="AE41" i="8"/>
  <c r="AU26" i="5"/>
  <c r="W64" i="5"/>
  <c r="AU36" i="5"/>
  <c r="AU8" i="5"/>
  <c r="AU55" i="5"/>
  <c r="F233" i="12"/>
  <c r="F265" i="12" s="1"/>
  <c r="F266" i="12" s="1"/>
  <c r="AD29" i="4"/>
  <c r="AD2010" i="4" s="1"/>
  <c r="F88" i="6"/>
  <c r="F91" i="6" s="1"/>
  <c r="AE336" i="4"/>
  <c r="F226" i="12"/>
  <c r="F227" i="12" s="1"/>
  <c r="AL24" i="15"/>
  <c r="BK24" i="15" s="1"/>
  <c r="AL43" i="5"/>
  <c r="AD14" i="8"/>
  <c r="N24" i="4"/>
  <c r="BO30" i="15"/>
  <c r="BO33" i="15" s="1"/>
  <c r="P212" i="14"/>
  <c r="AD152" i="4"/>
  <c r="U22" i="5"/>
  <c r="T22" i="5"/>
  <c r="T23" i="5" s="1"/>
  <c r="M81" i="6"/>
  <c r="AE43" i="5"/>
  <c r="H58" i="7"/>
  <c r="I56" i="7" s="1"/>
  <c r="W231" i="4"/>
  <c r="AP43" i="5"/>
  <c r="AE100" i="6"/>
  <c r="BK100" i="6" s="1"/>
  <c r="AE314" i="4"/>
  <c r="AG136" i="6"/>
  <c r="AK161" i="4"/>
  <c r="AJ163" i="4"/>
  <c r="M86" i="6"/>
  <c r="M153" i="12" s="1"/>
  <c r="M131" i="6"/>
  <c r="AT22" i="5"/>
  <c r="X317" i="12"/>
  <c r="AD55" i="8"/>
  <c r="AE55" i="8" s="1"/>
  <c r="AG297" i="4"/>
  <c r="O5" i="4"/>
  <c r="H5" i="6" s="1"/>
  <c r="AE101" i="6"/>
  <c r="Y33" i="15" s="1"/>
  <c r="BY39" i="15" s="1"/>
  <c r="AG192" i="4"/>
  <c r="R440" i="12"/>
  <c r="AJ1958" i="4"/>
  <c r="AC27" i="6"/>
  <c r="AI30" i="5"/>
  <c r="O64" i="7"/>
  <c r="BG18" i="6"/>
  <c r="BF18" i="6" s="1"/>
  <c r="P37" i="5"/>
  <c r="P38" i="5" s="1"/>
  <c r="AC377" i="12"/>
  <c r="AC451" i="12" s="1"/>
  <c r="AB183" i="6"/>
  <c r="BH183" i="6" s="1"/>
  <c r="G5" i="7"/>
  <c r="M219" i="14"/>
  <c r="M221" i="14" s="1"/>
  <c r="AJ1970" i="4"/>
  <c r="AJ1972" i="4" s="1"/>
  <c r="AJ293" i="4"/>
  <c r="G5" i="6"/>
  <c r="AA451" i="12"/>
  <c r="S17" i="5"/>
  <c r="K176" i="6"/>
  <c r="K30" i="6" s="1"/>
  <c r="G5" i="8"/>
  <c r="G65" i="8" s="1"/>
  <c r="AI30" i="4"/>
  <c r="AI2011" i="4" s="1"/>
  <c r="AT36" i="5"/>
  <c r="R55" i="7"/>
  <c r="M212" i="14"/>
  <c r="M210" i="14" s="1"/>
  <c r="M215" i="14" s="1"/>
  <c r="R36" i="7"/>
  <c r="R37" i="7" s="1"/>
  <c r="S34" i="7"/>
  <c r="BB56" i="6"/>
  <c r="BB80" i="6" s="1"/>
  <c r="BB81" i="6" s="1"/>
  <c r="BE52" i="6"/>
  <c r="BE73" i="6"/>
  <c r="X189" i="6"/>
  <c r="BC78" i="6"/>
  <c r="BC80" i="6" s="1"/>
  <c r="BC86" i="6" s="1"/>
  <c r="BC88" i="6" s="1"/>
  <c r="BP30" i="15"/>
  <c r="BP33" i="15" s="1"/>
  <c r="BI46" i="15"/>
  <c r="BB52" i="6"/>
  <c r="BB32" i="6"/>
  <c r="BB73" i="6"/>
  <c r="BH162" i="6"/>
  <c r="BD162" i="6"/>
  <c r="BC162" i="6" s="1"/>
  <c r="Z13" i="6"/>
  <c r="Z201" i="6" s="1"/>
  <c r="BD12" i="6"/>
  <c r="BC12" i="6" s="1"/>
  <c r="BD216" i="6"/>
  <c r="BC216" i="6" s="1"/>
  <c r="BH164" i="6"/>
  <c r="BD164" i="6"/>
  <c r="BC164" i="6" s="1"/>
  <c r="BG45" i="15"/>
  <c r="BG46" i="15" s="1"/>
  <c r="AH50" i="4"/>
  <c r="AH2029" i="4" s="1"/>
  <c r="AY86" i="6"/>
  <c r="AY88" i="6" s="1"/>
  <c r="AY94" i="6" s="1"/>
  <c r="G76" i="8"/>
  <c r="F73" i="8"/>
  <c r="F75" i="8" s="1"/>
  <c r="AN43" i="5"/>
  <c r="AC18" i="6"/>
  <c r="V22" i="5" s="1"/>
  <c r="AM131" i="4"/>
  <c r="AM133" i="4" s="1"/>
  <c r="M33" i="6"/>
  <c r="AK461" i="4"/>
  <c r="AK2035" i="4" s="1"/>
  <c r="F76" i="8"/>
  <c r="AH355" i="4"/>
  <c r="AH181" i="4"/>
  <c r="E338" i="12"/>
  <c r="E364" i="12" s="1"/>
  <c r="Y313" i="12"/>
  <c r="M51" i="8"/>
  <c r="AI1939" i="4"/>
  <c r="P440" i="12"/>
  <c r="F62" i="8"/>
  <c r="W34" i="7"/>
  <c r="S33" i="6"/>
  <c r="R265" i="12"/>
  <c r="R266" i="12" s="1"/>
  <c r="I414" i="12"/>
  <c r="J30" i="6"/>
  <c r="P198" i="4"/>
  <c r="Q17" i="5"/>
  <c r="X9" i="6"/>
  <c r="X199" i="6" s="1"/>
  <c r="AU9" i="6"/>
  <c r="AT9" i="6" s="1"/>
  <c r="G78" i="8"/>
  <c r="AF24" i="4"/>
  <c r="P81" i="6"/>
  <c r="X160" i="6"/>
  <c r="AX160" i="6" s="1"/>
  <c r="AW160" i="6" s="1"/>
  <c r="I29" i="8"/>
  <c r="I72" i="8" s="1"/>
  <c r="P144" i="6"/>
  <c r="AE228" i="4"/>
  <c r="Q37" i="5"/>
  <c r="N390" i="12"/>
  <c r="N415" i="12" s="1"/>
  <c r="AE24" i="4"/>
  <c r="AE2005" i="4"/>
  <c r="X226" i="12"/>
  <c r="AI37" i="4"/>
  <c r="X64" i="7"/>
  <c r="AO43" i="5"/>
  <c r="AL343" i="4"/>
  <c r="AL345" i="4" s="1"/>
  <c r="AL348" i="4" s="1"/>
  <c r="BJ45" i="15"/>
  <c r="D42" i="5"/>
  <c r="D44" i="5" s="1"/>
  <c r="D47" i="5" s="1"/>
  <c r="D49" i="5" s="1"/>
  <c r="AA308" i="12"/>
  <c r="AS24" i="15"/>
  <c r="BR24" i="15" s="1"/>
  <c r="J145" i="6"/>
  <c r="AR78" i="6"/>
  <c r="AJ2004" i="4"/>
  <c r="AF469" i="4"/>
  <c r="AG469" i="4" s="1"/>
  <c r="BK23" i="15"/>
  <c r="BH45" i="15"/>
  <c r="BH46" i="15" s="1"/>
  <c r="V55" i="7"/>
  <c r="J55" i="7"/>
  <c r="AT23" i="5"/>
  <c r="AJ47" i="5"/>
  <c r="AJ46" i="5" s="1"/>
  <c r="AC20" i="6"/>
  <c r="X379" i="12"/>
  <c r="R31" i="5"/>
  <c r="L265" i="12"/>
  <c r="L266" i="12" s="1"/>
  <c r="Z195" i="4"/>
  <c r="Z230" i="4" s="1"/>
  <c r="Z231" i="4" s="1"/>
  <c r="Z188" i="4"/>
  <c r="AD19" i="8"/>
  <c r="AW80" i="6"/>
  <c r="AW81" i="6" s="1"/>
  <c r="K168" i="6"/>
  <c r="AA188" i="4"/>
  <c r="Y198" i="4"/>
  <c r="O198" i="4"/>
  <c r="L34" i="7"/>
  <c r="L77" i="8"/>
  <c r="AP47" i="5"/>
  <c r="AP46" i="5" s="1"/>
  <c r="K36" i="7"/>
  <c r="K37" i="7" s="1"/>
  <c r="AI16" i="5"/>
  <c r="BC46" i="15"/>
  <c r="Q198" i="4"/>
  <c r="L55" i="7"/>
  <c r="AD27" i="6"/>
  <c r="AJ2035" i="4"/>
  <c r="L73" i="8"/>
  <c r="L75" i="8" s="1"/>
  <c r="G91" i="6"/>
  <c r="J36" i="7"/>
  <c r="J37" i="7" s="1"/>
  <c r="AC18" i="5"/>
  <c r="AF17" i="5"/>
  <c r="AF16" i="5" s="1"/>
  <c r="L36" i="7"/>
  <c r="L37" i="7" s="1"/>
  <c r="N219" i="14"/>
  <c r="N221" i="14" s="1"/>
  <c r="J413" i="12"/>
  <c r="AC288" i="12"/>
  <c r="AC58" i="12" s="1"/>
  <c r="BV24" i="15"/>
  <c r="R198" i="4"/>
  <c r="N413" i="12"/>
  <c r="AI39" i="4"/>
  <c r="AJ2019" i="4" s="1"/>
  <c r="Q33" i="6"/>
  <c r="H338" i="12"/>
  <c r="H364" i="12" s="1"/>
  <c r="AZ80" i="6"/>
  <c r="AZ86" i="6" s="1"/>
  <c r="AZ88" i="6" s="1"/>
  <c r="AI52" i="5"/>
  <c r="AW190" i="6"/>
  <c r="AF2025" i="4"/>
  <c r="AB451" i="12"/>
  <c r="AB422" i="12"/>
  <c r="AM47" i="5"/>
  <c r="AM46" i="5" s="1"/>
  <c r="I91" i="6"/>
  <c r="M34" i="7"/>
  <c r="S223" i="4"/>
  <c r="S168" i="6"/>
  <c r="AT192" i="6"/>
  <c r="L338" i="12"/>
  <c r="L364" i="12" s="1"/>
  <c r="O212" i="14"/>
  <c r="O32" i="5"/>
  <c r="K338" i="12"/>
  <c r="K364" i="12" s="1"/>
  <c r="AI31" i="4"/>
  <c r="AI2012" i="4" s="1"/>
  <c r="AI43" i="5"/>
  <c r="AJ42" i="4"/>
  <c r="AJ2022" i="4" s="1"/>
  <c r="AE46" i="4"/>
  <c r="BA78" i="6"/>
  <c r="N38" i="5"/>
  <c r="E94" i="6"/>
  <c r="E97" i="6" s="1"/>
  <c r="AE311" i="12"/>
  <c r="H38" i="5"/>
  <c r="AJ2020" i="4"/>
  <c r="G38" i="5"/>
  <c r="AG46" i="4"/>
  <c r="V36" i="7"/>
  <c r="V37" i="7" s="1"/>
  <c r="AK2004" i="4"/>
  <c r="AE186" i="4"/>
  <c r="AD192" i="4"/>
  <c r="AE2025" i="4"/>
  <c r="AY81" i="6"/>
  <c r="AK397" i="4"/>
  <c r="Q424" i="12"/>
  <c r="BV23" i="15"/>
  <c r="I168" i="6"/>
  <c r="AS91" i="6"/>
  <c r="AX28" i="15"/>
  <c r="N212" i="14"/>
  <c r="N210" i="14" s="1"/>
  <c r="N215" i="14" s="1"/>
  <c r="AX13" i="6"/>
  <c r="AW13" i="6" s="1"/>
  <c r="BV28" i="15"/>
  <c r="AF46" i="4"/>
  <c r="AM256" i="4"/>
  <c r="H168" i="6"/>
  <c r="AE187" i="4"/>
  <c r="AE197" i="4" s="1"/>
  <c r="AE1940" i="4" s="1"/>
  <c r="AD46" i="4"/>
  <c r="W91" i="8"/>
  <c r="L33" i="6"/>
  <c r="AF197" i="4"/>
  <c r="AF1940" i="4" s="1"/>
  <c r="Q18" i="15"/>
  <c r="R17" i="5"/>
  <c r="O39" i="5"/>
  <c r="Q14" i="5"/>
  <c r="AH17" i="4"/>
  <c r="AH1999" i="4" s="1"/>
  <c r="AA197" i="4"/>
  <c r="AA1940" i="4" s="1"/>
  <c r="N33" i="6"/>
  <c r="AD381" i="12"/>
  <c r="AD188" i="6" s="1"/>
  <c r="J401" i="12"/>
  <c r="J385" i="12" s="1"/>
  <c r="J354" i="12" s="1"/>
  <c r="U51" i="8"/>
  <c r="U62" i="8" s="1"/>
  <c r="AK30" i="5"/>
  <c r="AJ30" i="5"/>
  <c r="H145" i="6"/>
  <c r="R33" i="6"/>
  <c r="W199" i="6"/>
  <c r="AQ80" i="6"/>
  <c r="AQ86" i="6" s="1"/>
  <c r="AQ88" i="6" s="1"/>
  <c r="F145" i="6"/>
  <c r="S36" i="7"/>
  <c r="S37" i="7" s="1"/>
  <c r="AI50" i="5"/>
  <c r="M390" i="12"/>
  <c r="M415" i="12" s="1"/>
  <c r="F38" i="5"/>
  <c r="AI1948" i="4"/>
  <c r="S55" i="7"/>
  <c r="AV81" i="6"/>
  <c r="T29" i="8"/>
  <c r="N198" i="4"/>
  <c r="AD43" i="5"/>
  <c r="Y68" i="6"/>
  <c r="Y48" i="6"/>
  <c r="Y70" i="6" s="1"/>
  <c r="Z392" i="12"/>
  <c r="Z417" i="12" s="1"/>
  <c r="AA359" i="12"/>
  <c r="AB359" i="12" s="1"/>
  <c r="AA139" i="6"/>
  <c r="Z317" i="12"/>
  <c r="Z9" i="6"/>
  <c r="AG24" i="4"/>
  <c r="T198" i="4"/>
  <c r="S198" i="4"/>
  <c r="AE1937" i="4"/>
  <c r="AE150" i="4"/>
  <c r="AE152" i="4"/>
  <c r="I265" i="12"/>
  <c r="I266" i="12" s="1"/>
  <c r="I234" i="12"/>
  <c r="AO57" i="5"/>
  <c r="AB182" i="6"/>
  <c r="AB449" i="12"/>
  <c r="AC374" i="12"/>
  <c r="AC449" i="12" s="1"/>
  <c r="W189" i="6"/>
  <c r="W143" i="6" s="1"/>
  <c r="W379" i="12"/>
  <c r="P368" i="12"/>
  <c r="P176" i="6" s="1"/>
  <c r="N51" i="8"/>
  <c r="N62" i="8" s="1"/>
  <c r="N72" i="8"/>
  <c r="AE59" i="5" s="1"/>
  <c r="AE60" i="5" s="1"/>
  <c r="AF29" i="4"/>
  <c r="AF33" i="4" s="1"/>
  <c r="Y10" i="6" s="1"/>
  <c r="Y200" i="6" s="1"/>
  <c r="AF335" i="4"/>
  <c r="AF336" i="4" s="1"/>
  <c r="D130" i="6"/>
  <c r="D131" i="6"/>
  <c r="AW56" i="6"/>
  <c r="AZ52" i="6"/>
  <c r="AE13" i="8"/>
  <c r="Y55" i="7"/>
  <c r="AA370" i="12"/>
  <c r="AB445" i="12" s="1"/>
  <c r="N34" i="7"/>
  <c r="M55" i="7"/>
  <c r="M36" i="7"/>
  <c r="M37" i="7" s="1"/>
  <c r="AD47" i="5"/>
  <c r="AD46" i="5" s="1"/>
  <c r="D62" i="8"/>
  <c r="D77" i="8"/>
  <c r="D73" i="8"/>
  <c r="D75" i="8" s="1"/>
  <c r="AT8" i="5"/>
  <c r="AT55" i="5"/>
  <c r="AR13" i="6"/>
  <c r="AQ13" i="6" s="1"/>
  <c r="O14" i="5"/>
  <c r="O15" i="5" s="1"/>
  <c r="J28" i="5"/>
  <c r="I28" i="5"/>
  <c r="AJ50" i="5"/>
  <c r="AO47" i="5"/>
  <c r="AO46" i="5" s="1"/>
  <c r="AD150" i="4"/>
  <c r="AF150" i="4"/>
  <c r="Y284" i="12"/>
  <c r="Y52" i="12" s="1"/>
  <c r="BT43" i="15"/>
  <c r="AJ41" i="4"/>
  <c r="AJ2021" i="4" s="1"/>
  <c r="AK363" i="4"/>
  <c r="AK41" i="4" s="1"/>
  <c r="I103" i="6"/>
  <c r="I138" i="6" s="1"/>
  <c r="I79" i="8"/>
  <c r="I102" i="6"/>
  <c r="I97" i="6"/>
  <c r="I104" i="6" s="1"/>
  <c r="I117" i="6" s="1"/>
  <c r="AL362" i="4"/>
  <c r="AL40" i="4" s="1"/>
  <c r="AK40" i="4"/>
  <c r="AK2020" i="4" s="1"/>
  <c r="AK387" i="4"/>
  <c r="R338" i="12"/>
  <c r="R434" i="12" s="1"/>
  <c r="R368" i="12"/>
  <c r="R413" i="12" s="1"/>
  <c r="AK394" i="4"/>
  <c r="AL394" i="4" s="1"/>
  <c r="G79" i="8"/>
  <c r="G102" i="6"/>
  <c r="G103" i="6"/>
  <c r="G113" i="6" s="1"/>
  <c r="S30" i="5"/>
  <c r="S31" i="5" s="1"/>
  <c r="Z275" i="12"/>
  <c r="Z48" i="6"/>
  <c r="AH1938" i="4"/>
  <c r="AH169" i="4"/>
  <c r="L223" i="4"/>
  <c r="M223" i="4"/>
  <c r="W48" i="6"/>
  <c r="P32" i="5" s="1"/>
  <c r="P30" i="5"/>
  <c r="AN57" i="5" s="1"/>
  <c r="R19" i="5"/>
  <c r="S19" i="5"/>
  <c r="Y9" i="6"/>
  <c r="Y199" i="6" s="1"/>
  <c r="Y280" i="12"/>
  <c r="Y48" i="12" s="1"/>
  <c r="R57" i="5" s="1"/>
  <c r="AF2005" i="4"/>
  <c r="Y160" i="6"/>
  <c r="BA160" i="6" s="1"/>
  <c r="AZ160" i="6" s="1"/>
  <c r="Y226" i="12"/>
  <c r="AB16" i="6"/>
  <c r="AG2005" i="4"/>
  <c r="BC52" i="6"/>
  <c r="AG228" i="4"/>
  <c r="AU186" i="6"/>
  <c r="Z280" i="12"/>
  <c r="Z48" i="12" s="1"/>
  <c r="S57" i="5" s="1"/>
  <c r="BQ42" i="15"/>
  <c r="BQ43" i="15" s="1"/>
  <c r="AF228" i="4"/>
  <c r="AI38" i="4"/>
  <c r="AI2018" i="4" s="1"/>
  <c r="M368" i="12"/>
  <c r="M413" i="12" s="1"/>
  <c r="AS97" i="6"/>
  <c r="AV98" i="6" s="1"/>
  <c r="AV95" i="6"/>
  <c r="AH14" i="4"/>
  <c r="AH1996" i="4" s="1"/>
  <c r="AI18" i="4"/>
  <c r="AI2000" i="4" s="1"/>
  <c r="AJ18" i="4"/>
  <c r="R34" i="7"/>
  <c r="AV51" i="6"/>
  <c r="AY73" i="6" s="1"/>
  <c r="AC246" i="12"/>
  <c r="AE35" i="8"/>
  <c r="AS15" i="5"/>
  <c r="O145" i="6"/>
  <c r="Z284" i="12"/>
  <c r="Z52" i="12" s="1"/>
  <c r="Z51" i="12"/>
  <c r="J179" i="6"/>
  <c r="J414" i="12"/>
  <c r="Z68" i="6"/>
  <c r="W284" i="12"/>
  <c r="W52" i="12" s="1"/>
  <c r="Z160" i="6"/>
  <c r="O368" i="12"/>
  <c r="O413" i="12" s="1"/>
  <c r="AK205" i="4"/>
  <c r="AK207" i="4" s="1"/>
  <c r="BA46" i="6"/>
  <c r="Y317" i="12"/>
  <c r="E42" i="5"/>
  <c r="E44" i="5" s="1"/>
  <c r="E47" i="5" s="1"/>
  <c r="L145" i="6"/>
  <c r="AL24" i="5"/>
  <c r="AL30" i="5"/>
  <c r="AW52" i="6"/>
  <c r="BQ30" i="15"/>
  <c r="BQ33" i="15" s="1"/>
  <c r="R168" i="6"/>
  <c r="L168" i="6"/>
  <c r="AK16" i="5"/>
  <c r="AK18" i="5"/>
  <c r="AD186" i="4"/>
  <c r="AD18" i="5"/>
  <c r="AG186" i="4"/>
  <c r="O88" i="6"/>
  <c r="O94" i="6" s="1"/>
  <c r="R177" i="6"/>
  <c r="P223" i="4"/>
  <c r="S18" i="15"/>
  <c r="BS42" i="15" s="1"/>
  <c r="BS43" i="15" s="1"/>
  <c r="AC199" i="12"/>
  <c r="AC202" i="12" s="1"/>
  <c r="AE12" i="8"/>
  <c r="AF12" i="8" s="1"/>
  <c r="H42" i="5"/>
  <c r="H44" i="5" s="1"/>
  <c r="H47" i="5" s="1"/>
  <c r="H49" i="5" s="1"/>
  <c r="AE16" i="5"/>
  <c r="V64" i="7"/>
  <c r="AE71" i="6"/>
  <c r="D338" i="12"/>
  <c r="D364" i="12" s="1"/>
  <c r="AI1941" i="4"/>
  <c r="AK349" i="4"/>
  <c r="O38" i="5"/>
  <c r="E40" i="5"/>
  <c r="M198" i="4"/>
  <c r="L88" i="6"/>
  <c r="L94" i="6" s="1"/>
  <c r="E72" i="8"/>
  <c r="AF49" i="6"/>
  <c r="AF71" i="6" s="1"/>
  <c r="D88" i="6"/>
  <c r="D91" i="6" s="1"/>
  <c r="N131" i="6"/>
  <c r="N144" i="6"/>
  <c r="BM107" i="6"/>
  <c r="AI2022" i="4"/>
  <c r="Q36" i="7"/>
  <c r="Q37" i="7" s="1"/>
  <c r="X68" i="6"/>
  <c r="BA181" i="6"/>
  <c r="AZ181" i="6" s="1"/>
  <c r="I400" i="12"/>
  <c r="T33" i="6"/>
  <c r="AM159" i="4"/>
  <c r="AM161" i="4" s="1"/>
  <c r="D145" i="6"/>
  <c r="O81" i="6"/>
  <c r="AH47" i="5"/>
  <c r="AH52" i="5" s="1"/>
  <c r="AM243" i="4"/>
  <c r="AM22" i="4" s="1"/>
  <c r="AM2004" i="4" s="1"/>
  <c r="G73" i="8"/>
  <c r="G75" i="8" s="1"/>
  <c r="N81" i="6"/>
  <c r="G62" i="8"/>
  <c r="J51" i="8"/>
  <c r="I39" i="5"/>
  <c r="I40" i="5" s="1"/>
  <c r="AF44" i="7"/>
  <c r="AG44" i="7" s="1"/>
  <c r="AR29" i="6"/>
  <c r="AH428" i="12" s="1"/>
  <c r="U198" i="4"/>
  <c r="Y34" i="7"/>
  <c r="X34" i="7"/>
  <c r="S80" i="6"/>
  <c r="S86" i="6" s="1"/>
  <c r="S153" i="12" s="1"/>
  <c r="AE52" i="5"/>
  <c r="AC52" i="5"/>
  <c r="M38" i="5"/>
  <c r="AH44" i="4"/>
  <c r="AA283" i="12" s="1"/>
  <c r="AG45" i="8"/>
  <c r="AH45" i="8" s="1"/>
  <c r="J72" i="8"/>
  <c r="V428" i="12"/>
  <c r="AX18" i="6"/>
  <c r="AW18" i="6" s="1"/>
  <c r="X55" i="7"/>
  <c r="AT168" i="6"/>
  <c r="G42" i="7"/>
  <c r="V30" i="6"/>
  <c r="AR30" i="6" s="1"/>
  <c r="Q55" i="7"/>
  <c r="AU46" i="6"/>
  <c r="X36" i="7"/>
  <c r="X37" i="7" s="1"/>
  <c r="AG30" i="5"/>
  <c r="AB287" i="12"/>
  <c r="Q34" i="7"/>
  <c r="E131" i="6"/>
  <c r="BH178" i="6"/>
  <c r="K401" i="12"/>
  <c r="K385" i="12" s="1"/>
  <c r="K410" i="12" s="1"/>
  <c r="I415" i="12"/>
  <c r="X51" i="6"/>
  <c r="X87" i="8" s="1"/>
  <c r="BG182" i="6"/>
  <c r="BF182" i="6" s="1"/>
  <c r="AR186" i="6"/>
  <c r="G338" i="12"/>
  <c r="G364" i="12" s="1"/>
  <c r="Y13" i="6"/>
  <c r="Y201" i="6" s="1"/>
  <c r="S368" i="12"/>
  <c r="S413" i="12" s="1"/>
  <c r="V231" i="4"/>
  <c r="AI51" i="4"/>
  <c r="AI2030" i="4" s="1"/>
  <c r="E38" i="5"/>
  <c r="AK361" i="4"/>
  <c r="AK39" i="4" s="1"/>
  <c r="AK2019" i="4" s="1"/>
  <c r="M64" i="7"/>
  <c r="I55" i="7"/>
  <c r="F168" i="6"/>
  <c r="AK404" i="4"/>
  <c r="AL404" i="4" s="1"/>
  <c r="P19" i="5"/>
  <c r="AX48" i="6"/>
  <c r="K145" i="6"/>
  <c r="AE50" i="6"/>
  <c r="AE72" i="6" s="1"/>
  <c r="J64" i="7"/>
  <c r="H73" i="8"/>
  <c r="H75" i="8" s="1"/>
  <c r="BA14" i="6"/>
  <c r="AZ14" i="6" s="1"/>
  <c r="O29" i="8"/>
  <c r="V189" i="6"/>
  <c r="K29" i="8"/>
  <c r="K51" i="8" s="1"/>
  <c r="AD312" i="12"/>
  <c r="R18" i="15"/>
  <c r="BR42" i="15" s="1"/>
  <c r="BR43" i="15" s="1"/>
  <c r="AH1956" i="4"/>
  <c r="Z34" i="7"/>
  <c r="Z36" i="7"/>
  <c r="Z37" i="7" s="1"/>
  <c r="Y202" i="6"/>
  <c r="AF52" i="5"/>
  <c r="AU15" i="15"/>
  <c r="BT15" i="15" s="1"/>
  <c r="AJ30" i="4"/>
  <c r="W13" i="6"/>
  <c r="W201" i="6" s="1"/>
  <c r="BP42" i="15"/>
  <c r="BP43" i="15" s="1"/>
  <c r="AH1954" i="4"/>
  <c r="BF46" i="15"/>
  <c r="H77" i="8"/>
  <c r="AB216" i="6"/>
  <c r="BH216" i="6" s="1"/>
  <c r="X284" i="12"/>
  <c r="X52" i="12" s="1"/>
  <c r="I354" i="12"/>
  <c r="H234" i="12"/>
  <c r="AL2004" i="4"/>
  <c r="T338" i="12"/>
  <c r="T342" i="12" s="1"/>
  <c r="T368" i="12"/>
  <c r="U443" i="12" s="1"/>
  <c r="AQ47" i="5"/>
  <c r="H62" i="8"/>
  <c r="BM90" i="6"/>
  <c r="Q23" i="5"/>
  <c r="R23" i="5"/>
  <c r="AK1953" i="4"/>
  <c r="AK1958" i="4" s="1"/>
  <c r="AK1970" i="4"/>
  <c r="AK1972" i="4" s="1"/>
  <c r="AL1951" i="4"/>
  <c r="AE56" i="8"/>
  <c r="Z198" i="4"/>
  <c r="Z1940" i="4"/>
  <c r="AD370" i="12"/>
  <c r="AI107" i="6"/>
  <c r="AH134" i="6"/>
  <c r="AH140" i="6" s="1"/>
  <c r="BN107" i="6"/>
  <c r="AH136" i="6"/>
  <c r="AH135" i="6"/>
  <c r="G42" i="5"/>
  <c r="G44" i="5" s="1"/>
  <c r="G47" i="5" s="1"/>
  <c r="N145" i="6"/>
  <c r="N88" i="6"/>
  <c r="P422" i="12"/>
  <c r="AD72" i="6"/>
  <c r="K94" i="6"/>
  <c r="K91" i="6"/>
  <c r="AD44" i="8"/>
  <c r="AN218" i="4"/>
  <c r="AK326" i="4"/>
  <c r="AJ31" i="4"/>
  <c r="AN23" i="15"/>
  <c r="AM24" i="15"/>
  <c r="BL24" i="15" s="1"/>
  <c r="BL23" i="15"/>
  <c r="P88" i="6"/>
  <c r="P145" i="6"/>
  <c r="I42" i="5"/>
  <c r="I44" i="5" s="1"/>
  <c r="I47" i="5" s="1"/>
  <c r="AR29" i="5"/>
  <c r="AR28" i="5" s="1"/>
  <c r="E62" i="8"/>
  <c r="E76" i="8"/>
  <c r="E73" i="8"/>
  <c r="E75" i="8" s="1"/>
  <c r="E77" i="8"/>
  <c r="AA38" i="6"/>
  <c r="BG38" i="6" s="1"/>
  <c r="BF38" i="6" s="1"/>
  <c r="AA302" i="12"/>
  <c r="Z337" i="12"/>
  <c r="Z396" i="12" s="1"/>
  <c r="Z421" i="12" s="1"/>
  <c r="K411" i="12"/>
  <c r="AF170" i="6"/>
  <c r="BL170" i="6" s="1"/>
  <c r="AG197" i="4"/>
  <c r="AG195" i="4"/>
  <c r="AG230" i="4" s="1"/>
  <c r="AG188" i="4"/>
  <c r="Y341" i="12"/>
  <c r="G159" i="6"/>
  <c r="G168" i="6" s="1"/>
  <c r="G233" i="12"/>
  <c r="AF18" i="8"/>
  <c r="E159" i="6"/>
  <c r="E168" i="6" s="1"/>
  <c r="E233" i="12"/>
  <c r="R246" i="12"/>
  <c r="R268" i="12" s="1"/>
  <c r="Z341" i="12"/>
  <c r="S338" i="12"/>
  <c r="S342" i="12" s="1"/>
  <c r="AG43" i="8"/>
  <c r="X281" i="12"/>
  <c r="X10" i="6"/>
  <c r="X200" i="6" s="1"/>
  <c r="X230" i="12"/>
  <c r="X231" i="12" s="1"/>
  <c r="X233" i="12"/>
  <c r="J338" i="12"/>
  <c r="J364" i="12" s="1"/>
  <c r="Z447" i="12"/>
  <c r="Z180" i="6"/>
  <c r="AH36" i="8"/>
  <c r="AF19" i="12"/>
  <c r="AE27" i="6"/>
  <c r="J159" i="6"/>
  <c r="J168" i="6" s="1"/>
  <c r="J233" i="12"/>
  <c r="Y326" i="12"/>
  <c r="Y410" i="12" s="1"/>
  <c r="V292" i="12"/>
  <c r="V295" i="12" s="1"/>
  <c r="AR10" i="6"/>
  <c r="AQ10" i="6" s="1"/>
  <c r="O12" i="5"/>
  <c r="O13" i="5" s="1"/>
  <c r="AD246" i="12"/>
  <c r="AE268" i="12"/>
  <c r="AP57" i="5"/>
  <c r="R39" i="5"/>
  <c r="M28" i="5"/>
  <c r="L28" i="5"/>
  <c r="L414" i="12"/>
  <c r="G40" i="5"/>
  <c r="F40" i="5"/>
  <c r="G104" i="6"/>
  <c r="J95" i="6"/>
  <c r="J79" i="8"/>
  <c r="J102" i="6"/>
  <c r="J103" i="6"/>
  <c r="J97" i="6"/>
  <c r="AI15" i="7"/>
  <c r="AH15" i="7"/>
  <c r="BN90" i="6"/>
  <c r="Y88" i="8"/>
  <c r="X91" i="8"/>
  <c r="AV33" i="6"/>
  <c r="AY33" i="6"/>
  <c r="O10" i="5"/>
  <c r="V21" i="6"/>
  <c r="AR9" i="6"/>
  <c r="AQ9" i="6" s="1"/>
  <c r="E230" i="12"/>
  <c r="E231" i="12" s="1"/>
  <c r="T387" i="12"/>
  <c r="T369" i="12" s="1"/>
  <c r="AN150" i="4"/>
  <c r="P265" i="12"/>
  <c r="P266" i="12" s="1"/>
  <c r="P234" i="12"/>
  <c r="V230" i="12"/>
  <c r="V231" i="12" s="1"/>
  <c r="K230" i="12"/>
  <c r="K231" i="12" s="1"/>
  <c r="P331" i="12"/>
  <c r="P166" i="6"/>
  <c r="P168" i="6" s="1"/>
  <c r="S234" i="12"/>
  <c r="S265" i="12"/>
  <c r="S266" i="12" s="1"/>
  <c r="L176" i="6"/>
  <c r="L401" i="12"/>
  <c r="L394" i="12" s="1"/>
  <c r="AB448" i="12"/>
  <c r="AB181" i="6"/>
  <c r="BD181" i="6" s="1"/>
  <c r="BC181" i="6" s="1"/>
  <c r="AK44" i="5"/>
  <c r="T27" i="7"/>
  <c r="AC321" i="12"/>
  <c r="AC162" i="6"/>
  <c r="BI162" i="6" s="1"/>
  <c r="AL287" i="4"/>
  <c r="AL289" i="4" s="1"/>
  <c r="AL293" i="4" s="1"/>
  <c r="K234" i="12"/>
  <c r="K265" i="12"/>
  <c r="K266" i="12" s="1"/>
  <c r="AK289" i="4"/>
  <c r="AK293" i="4" s="1"/>
  <c r="N410" i="12"/>
  <c r="V413" i="12"/>
  <c r="V347" i="12"/>
  <c r="AC322" i="12"/>
  <c r="AC373" i="12" s="1"/>
  <c r="AC164" i="6"/>
  <c r="BI164" i="6" s="1"/>
  <c r="AD197" i="4"/>
  <c r="AD1940" i="4" s="1"/>
  <c r="AD195" i="4"/>
  <c r="AD230" i="4" s="1"/>
  <c r="AD188" i="4"/>
  <c r="P177" i="6"/>
  <c r="T233" i="12"/>
  <c r="T159" i="6"/>
  <c r="T168" i="6" s="1"/>
  <c r="T230" i="12"/>
  <c r="T231" i="12" s="1"/>
  <c r="V265" i="12"/>
  <c r="V266" i="12" s="1"/>
  <c r="V234" i="12"/>
  <c r="AI2023" i="4"/>
  <c r="O326" i="12"/>
  <c r="AB372" i="12"/>
  <c r="AA447" i="12"/>
  <c r="AA180" i="6"/>
  <c r="AB163" i="6"/>
  <c r="F230" i="12"/>
  <c r="F231" i="12" s="1"/>
  <c r="S230" i="12"/>
  <c r="S231" i="12" s="1"/>
  <c r="Q176" i="6"/>
  <c r="Q413" i="12"/>
  <c r="AQ171" i="6"/>
  <c r="AG343" i="12" s="1"/>
  <c r="AG339" i="12"/>
  <c r="AG434" i="12" s="1"/>
  <c r="AL320" i="4"/>
  <c r="AK30" i="4"/>
  <c r="U328" i="12"/>
  <c r="U338" i="12" s="1"/>
  <c r="U342" i="12" s="1"/>
  <c r="U387" i="12"/>
  <c r="U369" i="12" s="1"/>
  <c r="P410" i="12"/>
  <c r="AK37" i="4"/>
  <c r="AN136" i="4"/>
  <c r="Q177" i="6"/>
  <c r="Q331" i="12"/>
  <c r="Q166" i="6"/>
  <c r="Q168" i="6" s="1"/>
  <c r="O415" i="12"/>
  <c r="AF341" i="12"/>
  <c r="AF424" i="12" s="1"/>
  <c r="AB165" i="6"/>
  <c r="AE331" i="12"/>
  <c r="D159" i="6"/>
  <c r="D168" i="6" s="1"/>
  <c r="D233" i="12"/>
  <c r="D234" i="12" s="1"/>
  <c r="AP346" i="4"/>
  <c r="AQ346" i="4" s="1"/>
  <c r="AR346" i="4" s="1"/>
  <c r="AS346" i="4" s="1"/>
  <c r="Q411" i="12"/>
  <c r="Q265" i="12"/>
  <c r="Q266" i="12" s="1"/>
  <c r="Q234" i="12"/>
  <c r="AF76" i="4" l="1"/>
  <c r="AL288" i="12"/>
  <c r="AS2035" i="4"/>
  <c r="AL18" i="6"/>
  <c r="H94" i="6"/>
  <c r="H102" i="6" s="1"/>
  <c r="AR65" i="4"/>
  <c r="AS65" i="4" s="1"/>
  <c r="AL17" i="6" s="1"/>
  <c r="AJ164" i="4"/>
  <c r="AK164" i="4" s="1"/>
  <c r="AL164" i="4" s="1"/>
  <c r="AM164" i="4" s="1"/>
  <c r="AN164" i="4" s="1"/>
  <c r="AO164" i="4" s="1"/>
  <c r="AP164" i="4" s="1"/>
  <c r="AQ164" i="4" s="1"/>
  <c r="AR164" i="4" s="1"/>
  <c r="AS164" i="4" s="1"/>
  <c r="AJ166" i="4"/>
  <c r="AI134" i="6"/>
  <c r="AI140" i="6" s="1"/>
  <c r="BA24" i="15"/>
  <c r="AE34" i="8"/>
  <c r="AE134" i="12" s="1"/>
  <c r="AE135" i="12" s="1"/>
  <c r="AE143" i="12" s="1"/>
  <c r="AJ290" i="12"/>
  <c r="AY28" i="15"/>
  <c r="AU22" i="5"/>
  <c r="G173" i="12"/>
  <c r="G174" i="12"/>
  <c r="G172" i="12"/>
  <c r="E173" i="12"/>
  <c r="E172" i="12"/>
  <c r="E174" i="12"/>
  <c r="Q173" i="12"/>
  <c r="Q174" i="12"/>
  <c r="Q172" i="12"/>
  <c r="T172" i="12"/>
  <c r="T173" i="12"/>
  <c r="T174" i="12"/>
  <c r="J150" i="6"/>
  <c r="J173" i="12"/>
  <c r="J174" i="12"/>
  <c r="J172" i="12"/>
  <c r="H81" i="8"/>
  <c r="H174" i="12"/>
  <c r="H173" i="12"/>
  <c r="H172" i="12"/>
  <c r="K149" i="6"/>
  <c r="K172" i="12"/>
  <c r="K174" i="12"/>
  <c r="K173" i="12"/>
  <c r="Q77" i="6"/>
  <c r="D172" i="12"/>
  <c r="D173" i="12"/>
  <c r="D174" i="12"/>
  <c r="F81" i="8"/>
  <c r="F172" i="12"/>
  <c r="F173" i="12"/>
  <c r="F174" i="12"/>
  <c r="I174" i="12"/>
  <c r="I173" i="12"/>
  <c r="I172" i="12"/>
  <c r="S172" i="12"/>
  <c r="S173" i="12"/>
  <c r="S174" i="12"/>
  <c r="AJ1960" i="4"/>
  <c r="V172" i="12"/>
  <c r="V174" i="12"/>
  <c r="V173" i="12"/>
  <c r="L172" i="12"/>
  <c r="L173" i="12"/>
  <c r="L174" i="12"/>
  <c r="AD135" i="12"/>
  <c r="AD143" i="12" s="1"/>
  <c r="P174" i="12"/>
  <c r="P173" i="12"/>
  <c r="P172" i="12"/>
  <c r="R171" i="6"/>
  <c r="R173" i="12"/>
  <c r="R174" i="12"/>
  <c r="R172" i="12"/>
  <c r="J91" i="6"/>
  <c r="V80" i="12"/>
  <c r="V122" i="12"/>
  <c r="V117" i="12"/>
  <c r="V85" i="12"/>
  <c r="V112" i="12"/>
  <c r="V77" i="12"/>
  <c r="Q24" i="8"/>
  <c r="AJ1948" i="4"/>
  <c r="AJ1954" i="4"/>
  <c r="AN52" i="5"/>
  <c r="AB270" i="12"/>
  <c r="AC270" i="12" s="1"/>
  <c r="AD270" i="12" s="1"/>
  <c r="AE270" i="12" s="1"/>
  <c r="AF270" i="12" s="1"/>
  <c r="AG270" i="12" s="1"/>
  <c r="AH270" i="12" s="1"/>
  <c r="AI270" i="12" s="1"/>
  <c r="AJ270" i="12" s="1"/>
  <c r="AK270" i="12" s="1"/>
  <c r="AL270" i="12" s="1"/>
  <c r="AH378" i="4"/>
  <c r="AI378" i="4"/>
  <c r="U89" i="6"/>
  <c r="BI100" i="6"/>
  <c r="AI266" i="4"/>
  <c r="AI267" i="4"/>
  <c r="AI269" i="4" s="1"/>
  <c r="AJ270" i="4" s="1"/>
  <c r="AV23" i="5"/>
  <c r="AF41" i="8"/>
  <c r="AV26" i="5"/>
  <c r="AZ24" i="15"/>
  <c r="BY24" i="15" s="1"/>
  <c r="BY23" i="15"/>
  <c r="AE2010" i="4"/>
  <c r="AD33" i="4"/>
  <c r="AG52" i="5"/>
  <c r="AK175" i="4"/>
  <c r="AH2017" i="4"/>
  <c r="AM173" i="4"/>
  <c r="AM175" i="4" s="1"/>
  <c r="AF20" i="8"/>
  <c r="X192" i="6"/>
  <c r="AX192" i="6" s="1"/>
  <c r="AW192" i="6" s="1"/>
  <c r="AW193" i="6" s="1"/>
  <c r="X143" i="6"/>
  <c r="O34" i="5"/>
  <c r="V143" i="6"/>
  <c r="AK283" i="4"/>
  <c r="AL16" i="5"/>
  <c r="W33" i="15"/>
  <c r="BW23" i="15" s="1"/>
  <c r="AM343" i="4"/>
  <c r="AM345" i="4" s="1"/>
  <c r="AM348" i="4" s="1"/>
  <c r="AM349" i="4" s="1"/>
  <c r="BG45" i="6"/>
  <c r="BF45" i="6" s="1"/>
  <c r="U16" i="15"/>
  <c r="AA67" i="6"/>
  <c r="AD20" i="6"/>
  <c r="AL73" i="4"/>
  <c r="AE291" i="12" s="1"/>
  <c r="X347" i="12"/>
  <c r="AA11" i="6"/>
  <c r="BG11" i="6" s="1"/>
  <c r="BF11" i="6" s="1"/>
  <c r="AH297" i="4"/>
  <c r="AA284" i="12"/>
  <c r="AA52" i="12" s="1"/>
  <c r="AA51" i="12"/>
  <c r="AH469" i="4"/>
  <c r="AH266" i="4"/>
  <c r="AH267" i="4"/>
  <c r="AH269" i="4" s="1"/>
  <c r="AF2010" i="4"/>
  <c r="H148" i="6"/>
  <c r="AE14" i="8"/>
  <c r="AD377" i="12"/>
  <c r="AD183" i="6" s="1"/>
  <c r="BJ183" i="6" s="1"/>
  <c r="AC183" i="6"/>
  <c r="BI183" i="6" s="1"/>
  <c r="AD101" i="6"/>
  <c r="AT171" i="6"/>
  <c r="AJ343" i="12" s="1"/>
  <c r="AJ339" i="12"/>
  <c r="AJ434" i="12" s="1"/>
  <c r="AY24" i="15"/>
  <c r="AF18" i="5"/>
  <c r="I58" i="7"/>
  <c r="J56" i="7" s="1"/>
  <c r="J58" i="7" s="1"/>
  <c r="K56" i="7" s="1"/>
  <c r="K58" i="7" s="1"/>
  <c r="L56" i="7" s="1"/>
  <c r="L58" i="7" s="1"/>
  <c r="M56" i="7" s="1"/>
  <c r="M58" i="7" s="1"/>
  <c r="N56" i="7" s="1"/>
  <c r="N58" i="7" s="1"/>
  <c r="O56" i="7" s="1"/>
  <c r="O58" i="7" s="1"/>
  <c r="P56" i="7" s="1"/>
  <c r="P58" i="7" s="1"/>
  <c r="AT48" i="5"/>
  <c r="E79" i="8"/>
  <c r="H147" i="6"/>
  <c r="BA9" i="6"/>
  <c r="AZ9" i="6" s="1"/>
  <c r="AX189" i="6"/>
  <c r="M145" i="6"/>
  <c r="M76" i="8"/>
  <c r="M88" i="6"/>
  <c r="M91" i="6" s="1"/>
  <c r="BD183" i="6"/>
  <c r="BC183" i="6" s="1"/>
  <c r="F234" i="12"/>
  <c r="AI1949" i="4"/>
  <c r="AL363" i="4"/>
  <c r="AL41" i="4" s="1"/>
  <c r="AL2021" i="4" s="1"/>
  <c r="X413" i="12"/>
  <c r="AN131" i="4"/>
  <c r="AN133" i="4" s="1"/>
  <c r="L82" i="8"/>
  <c r="AE48" i="7"/>
  <c r="AA231" i="4"/>
  <c r="X403" i="12"/>
  <c r="X190" i="6"/>
  <c r="AX190" i="6" s="1"/>
  <c r="AD48" i="7"/>
  <c r="U23" i="5"/>
  <c r="F94" i="6"/>
  <c r="G95" i="6" s="1"/>
  <c r="M209" i="14"/>
  <c r="M214" i="14" s="1"/>
  <c r="AD100" i="6"/>
  <c r="H149" i="6"/>
  <c r="V23" i="5"/>
  <c r="U20" i="5"/>
  <c r="BE48" i="15"/>
  <c r="BE49" i="15" s="1"/>
  <c r="H78" i="8"/>
  <c r="AD32" i="5"/>
  <c r="I51" i="8"/>
  <c r="I77" i="8" s="1"/>
  <c r="Q38" i="5"/>
  <c r="AG298" i="4"/>
  <c r="K80" i="8"/>
  <c r="J78" i="8"/>
  <c r="H95" i="6"/>
  <c r="M77" i="8"/>
  <c r="AX9" i="6"/>
  <c r="AW9" i="6" s="1"/>
  <c r="M62" i="8"/>
  <c r="AW86" i="6"/>
  <c r="AW88" i="6" s="1"/>
  <c r="K150" i="6"/>
  <c r="I425" i="12"/>
  <c r="F42" i="5"/>
  <c r="F44" i="5" s="1"/>
  <c r="F47" i="5" s="1"/>
  <c r="G48" i="5" s="1"/>
  <c r="O443" i="12"/>
  <c r="M73" i="8"/>
  <c r="M75" i="8" s="1"/>
  <c r="Q10" i="5"/>
  <c r="Q11" i="5" s="1"/>
  <c r="S171" i="6"/>
  <c r="AV52" i="6"/>
  <c r="R342" i="12"/>
  <c r="R193" i="6"/>
  <c r="AD18" i="6"/>
  <c r="W22" i="5" s="1"/>
  <c r="W23" i="5" s="1"/>
  <c r="H5" i="12"/>
  <c r="L83" i="8"/>
  <c r="U77" i="8"/>
  <c r="R422" i="12"/>
  <c r="R425" i="12" s="1"/>
  <c r="R432" i="12" s="1"/>
  <c r="BI101" i="6"/>
  <c r="Q39" i="5"/>
  <c r="R40" i="5" s="1"/>
  <c r="E78" i="8"/>
  <c r="AH15" i="4"/>
  <c r="AH1997" i="4" s="1"/>
  <c r="R38" i="5"/>
  <c r="AE188" i="4"/>
  <c r="AF13" i="8"/>
  <c r="AG13" i="8" s="1"/>
  <c r="AL461" i="4"/>
  <c r="AL2035" i="4" s="1"/>
  <c r="X383" i="12"/>
  <c r="J400" i="12"/>
  <c r="H83" i="8"/>
  <c r="AJ2011" i="4"/>
  <c r="H171" i="6"/>
  <c r="R400" i="12"/>
  <c r="R435" i="12" s="1"/>
  <c r="H80" i="8"/>
  <c r="AF311" i="12"/>
  <c r="H132" i="6"/>
  <c r="H82" i="8"/>
  <c r="H5" i="8"/>
  <c r="H65" i="8" s="1"/>
  <c r="P5" i="4"/>
  <c r="I5" i="12" s="1"/>
  <c r="AK355" i="4"/>
  <c r="H5" i="7"/>
  <c r="O176" i="6"/>
  <c r="O30" i="6" s="1"/>
  <c r="AI44" i="4"/>
  <c r="AI45" i="4" s="1"/>
  <c r="R10" i="5"/>
  <c r="AI2017" i="4"/>
  <c r="AB11" i="6"/>
  <c r="AB282" i="12"/>
  <c r="AJ1941" i="4"/>
  <c r="AJ37" i="4"/>
  <c r="AI2034" i="4"/>
  <c r="AJ52" i="5"/>
  <c r="AJ2012" i="4"/>
  <c r="AK51" i="4"/>
  <c r="AK2030" i="4" s="1"/>
  <c r="AD288" i="12"/>
  <c r="I78" i="8"/>
  <c r="AA392" i="12"/>
  <c r="AA417" i="12" s="1"/>
  <c r="AK217" i="4"/>
  <c r="AK18" i="4" s="1"/>
  <c r="AK2000" i="4" s="1"/>
  <c r="R443" i="12"/>
  <c r="BB33" i="6"/>
  <c r="BE33" i="6"/>
  <c r="BB86" i="6"/>
  <c r="BB88" i="6" s="1"/>
  <c r="BE81" i="6"/>
  <c r="K171" i="6"/>
  <c r="K83" i="8"/>
  <c r="K147" i="6"/>
  <c r="AV73" i="6"/>
  <c r="R147" i="6"/>
  <c r="AC127" i="6"/>
  <c r="K132" i="6"/>
  <c r="K81" i="8"/>
  <c r="S80" i="8"/>
  <c r="AY52" i="6"/>
  <c r="AV56" i="6"/>
  <c r="T19" i="15"/>
  <c r="P14" i="5"/>
  <c r="P15" i="5" s="1"/>
  <c r="K148" i="6"/>
  <c r="AU13" i="6"/>
  <c r="AT13" i="6" s="1"/>
  <c r="K82" i="8"/>
  <c r="S339" i="12"/>
  <c r="AY91" i="6"/>
  <c r="S14" i="5"/>
  <c r="BD13" i="6"/>
  <c r="BC13" i="6" s="1"/>
  <c r="Z199" i="6"/>
  <c r="BD9" i="6"/>
  <c r="BC9" i="6" s="1"/>
  <c r="BH165" i="6"/>
  <c r="BD165" i="6"/>
  <c r="BC165" i="6" s="1"/>
  <c r="Z51" i="6"/>
  <c r="BD48" i="6"/>
  <c r="BH163" i="6"/>
  <c r="BD163" i="6"/>
  <c r="BC163" i="6" s="1"/>
  <c r="BD182" i="6"/>
  <c r="BC182" i="6" s="1"/>
  <c r="AJ1939" i="4"/>
  <c r="F80" i="8"/>
  <c r="AH16" i="4"/>
  <c r="AH1998" i="4" s="1"/>
  <c r="J76" i="8"/>
  <c r="Q34" i="5"/>
  <c r="W403" i="12"/>
  <c r="AI2019" i="4"/>
  <c r="AE381" i="12"/>
  <c r="AF381" i="12" s="1"/>
  <c r="N77" i="8"/>
  <c r="AK2011" i="4"/>
  <c r="AM52" i="5"/>
  <c r="S19" i="15"/>
  <c r="AC182" i="6"/>
  <c r="BI182" i="6" s="1"/>
  <c r="I83" i="8"/>
  <c r="R339" i="12"/>
  <c r="E102" i="6"/>
  <c r="E112" i="6" s="1"/>
  <c r="AF35" i="8"/>
  <c r="AE19" i="8"/>
  <c r="AF19" i="8" s="1"/>
  <c r="AC200" i="12"/>
  <c r="R81" i="8"/>
  <c r="AA303" i="12"/>
  <c r="S149" i="6"/>
  <c r="E103" i="6"/>
  <c r="E113" i="6" s="1"/>
  <c r="L171" i="6"/>
  <c r="K354" i="12"/>
  <c r="AH45" i="4"/>
  <c r="AH46" i="4" s="1"/>
  <c r="U73" i="8"/>
  <c r="U75" i="8" s="1"/>
  <c r="E48" i="5"/>
  <c r="AN243" i="4"/>
  <c r="AN22" i="4" s="1"/>
  <c r="AN2004" i="4" s="1"/>
  <c r="K400" i="12"/>
  <c r="X56" i="6"/>
  <c r="X80" i="6" s="1"/>
  <c r="AJ2030" i="4"/>
  <c r="T72" i="8"/>
  <c r="AK59" i="5" s="1"/>
  <c r="AK60" i="5" s="1"/>
  <c r="AZ81" i="6"/>
  <c r="T51" i="8"/>
  <c r="AK2021" i="4"/>
  <c r="AH1959" i="4"/>
  <c r="AH1961" i="4" s="1"/>
  <c r="AH1962" i="4" s="1"/>
  <c r="AH1963" i="4" s="1"/>
  <c r="AJ49" i="4"/>
  <c r="AH2024" i="4"/>
  <c r="P33" i="5"/>
  <c r="Q33" i="5"/>
  <c r="I22" i="6"/>
  <c r="R32" i="5"/>
  <c r="R33" i="5" s="1"/>
  <c r="L147" i="6"/>
  <c r="D94" i="6"/>
  <c r="E95" i="6" s="1"/>
  <c r="AP52" i="5"/>
  <c r="AK364" i="4"/>
  <c r="AL364" i="4" s="1"/>
  <c r="AM364" i="4" s="1"/>
  <c r="BC48" i="15"/>
  <c r="BC49" i="15" s="1"/>
  <c r="I148" i="6"/>
  <c r="I147" i="6"/>
  <c r="L150" i="6"/>
  <c r="Y51" i="6"/>
  <c r="Y52" i="6" s="1"/>
  <c r="BA52" i="6" s="1"/>
  <c r="L148" i="6"/>
  <c r="E49" i="5"/>
  <c r="E50" i="5" s="1"/>
  <c r="G22" i="6"/>
  <c r="BF48" i="15"/>
  <c r="BF49" i="15" s="1"/>
  <c r="U76" i="8"/>
  <c r="AH46" i="5"/>
  <c r="I81" i="8"/>
  <c r="X70" i="6"/>
  <c r="L22" i="6"/>
  <c r="AD374" i="12"/>
  <c r="AD449" i="12" s="1"/>
  <c r="L149" i="6"/>
  <c r="I113" i="6"/>
  <c r="I122" i="6" s="1"/>
  <c r="AL32" i="5"/>
  <c r="AL33" i="5" s="1"/>
  <c r="AL58" i="5" s="1"/>
  <c r="S443" i="12"/>
  <c r="P39" i="5"/>
  <c r="P40" i="5" s="1"/>
  <c r="I150" i="6"/>
  <c r="BA48" i="6"/>
  <c r="L132" i="6"/>
  <c r="L81" i="8"/>
  <c r="L80" i="8"/>
  <c r="AK384" i="4"/>
  <c r="AL384" i="4" s="1"/>
  <c r="AM384" i="4" s="1"/>
  <c r="AN384" i="4" s="1"/>
  <c r="AN386" i="4" s="1"/>
  <c r="I171" i="6"/>
  <c r="I132" i="6"/>
  <c r="I80" i="8"/>
  <c r="R80" i="8"/>
  <c r="F83" i="8"/>
  <c r="F171" i="6"/>
  <c r="AJ43" i="4"/>
  <c r="AJ2023" i="4" s="1"/>
  <c r="S83" i="8"/>
  <c r="S82" i="8"/>
  <c r="R148" i="6"/>
  <c r="X90" i="8"/>
  <c r="X92" i="8" s="1"/>
  <c r="AX51" i="6"/>
  <c r="S22" i="6"/>
  <c r="BL48" i="15"/>
  <c r="W192" i="6"/>
  <c r="V192" i="6"/>
  <c r="AR192" i="6" s="1"/>
  <c r="BG84" i="6"/>
  <c r="F22" i="6"/>
  <c r="AN159" i="4"/>
  <c r="AO159" i="4" s="1"/>
  <c r="J77" i="8"/>
  <c r="AE32" i="5"/>
  <c r="AF312" i="12"/>
  <c r="BC81" i="6"/>
  <c r="F149" i="6"/>
  <c r="F147" i="6"/>
  <c r="S81" i="8"/>
  <c r="X130" i="6"/>
  <c r="W383" i="12"/>
  <c r="V87" i="8"/>
  <c r="J62" i="8"/>
  <c r="N76" i="8"/>
  <c r="F148" i="6"/>
  <c r="F132" i="6"/>
  <c r="R83" i="8"/>
  <c r="S147" i="6"/>
  <c r="X65" i="7"/>
  <c r="X66" i="7" s="1"/>
  <c r="R82" i="8"/>
  <c r="AU189" i="6"/>
  <c r="AD199" i="12"/>
  <c r="AD202" i="12" s="1"/>
  <c r="J73" i="8"/>
  <c r="J75" i="8" s="1"/>
  <c r="N73" i="8"/>
  <c r="N75" i="8" s="1"/>
  <c r="AL361" i="4"/>
  <c r="AM361" i="4" s="1"/>
  <c r="AM39" i="4" s="1"/>
  <c r="AL2020" i="4"/>
  <c r="Q443" i="12"/>
  <c r="F82" i="8"/>
  <c r="BM48" i="15"/>
  <c r="M443" i="12"/>
  <c r="V403" i="12"/>
  <c r="AH1957" i="4"/>
  <c r="AK365" i="4"/>
  <c r="AL365" i="4" s="1"/>
  <c r="M176" i="6"/>
  <c r="N30" i="6" s="1"/>
  <c r="G112" i="6"/>
  <c r="G121" i="6" s="1"/>
  <c r="BH182" i="6"/>
  <c r="V65" i="7"/>
  <c r="V66" i="7" s="1"/>
  <c r="V80" i="6"/>
  <c r="V144" i="6" s="1"/>
  <c r="AF2014" i="4"/>
  <c r="L91" i="6"/>
  <c r="AA198" i="4"/>
  <c r="K72" i="8"/>
  <c r="O91" i="6"/>
  <c r="R176" i="6"/>
  <c r="T413" i="12"/>
  <c r="S32" i="5"/>
  <c r="AF77" i="4"/>
  <c r="W190" i="6"/>
  <c r="AU190" i="6" s="1"/>
  <c r="T176" i="6"/>
  <c r="U30" i="6" s="1"/>
  <c r="P443" i="12"/>
  <c r="AL205" i="4"/>
  <c r="AL207" i="4" s="1"/>
  <c r="AE195" i="4"/>
  <c r="AE230" i="4" s="1"/>
  <c r="AF231" i="4" s="1"/>
  <c r="AR189" i="6"/>
  <c r="AF34" i="4"/>
  <c r="AB139" i="6"/>
  <c r="AM362" i="4"/>
  <c r="AN362" i="4" s="1"/>
  <c r="P413" i="12"/>
  <c r="AM258" i="4"/>
  <c r="AN256" i="4"/>
  <c r="N443" i="12"/>
  <c r="V130" i="6"/>
  <c r="AF188" i="4"/>
  <c r="G138" i="6"/>
  <c r="Z70" i="6"/>
  <c r="V90" i="8"/>
  <c r="V92" i="8" s="1"/>
  <c r="Y281" i="12"/>
  <c r="Y49" i="12" s="1"/>
  <c r="R14" i="5"/>
  <c r="T443" i="12"/>
  <c r="S176" i="6"/>
  <c r="AD52" i="5"/>
  <c r="I82" i="8"/>
  <c r="I149" i="6"/>
  <c r="AE312" i="12"/>
  <c r="N209" i="14"/>
  <c r="N214" i="14" s="1"/>
  <c r="V383" i="12"/>
  <c r="J410" i="12"/>
  <c r="J425" i="12" s="1"/>
  <c r="Y233" i="12"/>
  <c r="Y265" i="12" s="1"/>
  <c r="Y266" i="12" s="1"/>
  <c r="BA13" i="6"/>
  <c r="AZ13" i="6" s="1"/>
  <c r="AK396" i="4"/>
  <c r="AK399" i="4" s="1"/>
  <c r="R19" i="15"/>
  <c r="AJ2000" i="4"/>
  <c r="P31" i="5"/>
  <c r="AU48" i="6"/>
  <c r="W51" i="6"/>
  <c r="AH49" i="4"/>
  <c r="AA445" i="12"/>
  <c r="AA216" i="6"/>
  <c r="BG216" i="6" s="1"/>
  <c r="BF216" i="6" s="1"/>
  <c r="AA178" i="6"/>
  <c r="I112" i="6"/>
  <c r="I121" i="6" s="1"/>
  <c r="AI1938" i="4"/>
  <c r="AO52" i="5"/>
  <c r="AL396" i="4"/>
  <c r="AM394" i="4"/>
  <c r="AA16" i="6"/>
  <c r="AA287" i="12"/>
  <c r="AJ38" i="4"/>
  <c r="AJ2018" i="4" s="1"/>
  <c r="AK360" i="4"/>
  <c r="S10" i="5"/>
  <c r="Q31" i="5"/>
  <c r="AH2034" i="4"/>
  <c r="AQ57" i="5"/>
  <c r="S39" i="5"/>
  <c r="S40" i="5" s="1"/>
  <c r="S88" i="6"/>
  <c r="S94" i="6" s="1"/>
  <c r="L42" i="5"/>
  <c r="L44" i="5" s="1"/>
  <c r="L47" i="5" s="1"/>
  <c r="L49" i="5" s="1"/>
  <c r="AA12" i="6"/>
  <c r="AK238" i="4"/>
  <c r="AJ21" i="4"/>
  <c r="AJ2003" i="4" s="1"/>
  <c r="BM45" i="15"/>
  <c r="S144" i="6"/>
  <c r="AC370" i="12"/>
  <c r="AD445" i="12" s="1"/>
  <c r="AD21" i="8"/>
  <c r="Z39" i="7"/>
  <c r="AQ46" i="5"/>
  <c r="AQ52" i="5"/>
  <c r="O72" i="8"/>
  <c r="AF59" i="5" s="1"/>
  <c r="AF60" i="5" s="1"/>
  <c r="O51" i="8"/>
  <c r="AJ1936" i="4"/>
  <c r="AI13" i="4"/>
  <c r="AI1995" i="4" s="1"/>
  <c r="S145" i="6"/>
  <c r="Y21" i="6"/>
  <c r="K425" i="12"/>
  <c r="R80" i="6"/>
  <c r="K37" i="5"/>
  <c r="H22" i="6"/>
  <c r="S246" i="12"/>
  <c r="S268" i="12" s="1"/>
  <c r="T269" i="12" s="1"/>
  <c r="AL1953" i="4"/>
  <c r="AL1958" i="4" s="1"/>
  <c r="AL1970" i="4"/>
  <c r="AL1972" i="4" s="1"/>
  <c r="AM1951" i="4"/>
  <c r="AK1960" i="4"/>
  <c r="L30" i="6"/>
  <c r="AF56" i="8"/>
  <c r="AD216" i="6"/>
  <c r="BJ216" i="6" s="1"/>
  <c r="AD178" i="6"/>
  <c r="AG198" i="4"/>
  <c r="AG1940" i="4"/>
  <c r="AJ1938" i="4"/>
  <c r="AE370" i="12"/>
  <c r="AI135" i="6"/>
  <c r="AI136" i="6"/>
  <c r="AH44" i="7"/>
  <c r="N94" i="6"/>
  <c r="N91" i="6"/>
  <c r="H48" i="5"/>
  <c r="G49" i="5"/>
  <c r="H50" i="5" s="1"/>
  <c r="S434" i="12"/>
  <c r="K102" i="6"/>
  <c r="K78" i="8"/>
  <c r="K95" i="6"/>
  <c r="K103" i="6"/>
  <c r="K97" i="6"/>
  <c r="K98" i="6" s="1"/>
  <c r="K79" i="8"/>
  <c r="AQ21" i="6"/>
  <c r="AQ32" i="6" s="1"/>
  <c r="R12" i="5"/>
  <c r="BA10" i="6"/>
  <c r="AZ10" i="6" s="1"/>
  <c r="AE44" i="8"/>
  <c r="BM23" i="15"/>
  <c r="AN24" i="15"/>
  <c r="BM24" i="15" s="1"/>
  <c r="K76" i="8"/>
  <c r="K62" i="8"/>
  <c r="K73" i="8"/>
  <c r="K75" i="8" s="1"/>
  <c r="K77" i="8"/>
  <c r="O103" i="6"/>
  <c r="O102" i="6"/>
  <c r="O97" i="6"/>
  <c r="O78" i="8"/>
  <c r="AL1947" i="4"/>
  <c r="AK1948" i="4"/>
  <c r="AK1954" i="4"/>
  <c r="AF55" i="8"/>
  <c r="AA61" i="6"/>
  <c r="I48" i="5"/>
  <c r="I49" i="5"/>
  <c r="I50" i="5" s="1"/>
  <c r="AK31" i="4"/>
  <c r="AK2012" i="4" s="1"/>
  <c r="AL326" i="4"/>
  <c r="AI45" i="8"/>
  <c r="AO218" i="4"/>
  <c r="P91" i="6"/>
  <c r="P94" i="6"/>
  <c r="P150" i="6" s="1"/>
  <c r="AS29" i="5"/>
  <c r="AS28" i="5" s="1"/>
  <c r="K22" i="6"/>
  <c r="U177" i="6"/>
  <c r="U184" i="6" s="1"/>
  <c r="AA337" i="12"/>
  <c r="AA396" i="12" s="1"/>
  <c r="AA421" i="12" s="1"/>
  <c r="AG231" i="4"/>
  <c r="AG170" i="6"/>
  <c r="BM170" i="6" s="1"/>
  <c r="T177" i="6"/>
  <c r="J230" i="12"/>
  <c r="J231" i="12" s="1"/>
  <c r="AG12" i="8"/>
  <c r="X49" i="12"/>
  <c r="X292" i="12"/>
  <c r="E148" i="6"/>
  <c r="E132" i="6"/>
  <c r="E81" i="8"/>
  <c r="E83" i="8"/>
  <c r="E147" i="6"/>
  <c r="E80" i="8"/>
  <c r="E149" i="6"/>
  <c r="E82" i="8"/>
  <c r="E150" i="6"/>
  <c r="E171" i="6"/>
  <c r="G230" i="12"/>
  <c r="G231" i="12" s="1"/>
  <c r="AG19" i="12"/>
  <c r="AF27" i="6"/>
  <c r="AG18" i="8"/>
  <c r="G234" i="12"/>
  <c r="G265" i="12"/>
  <c r="G266" i="12" s="1"/>
  <c r="L102" i="6"/>
  <c r="L79" i="8"/>
  <c r="L78" i="8"/>
  <c r="L97" i="6"/>
  <c r="L103" i="6"/>
  <c r="L95" i="6"/>
  <c r="G147" i="6"/>
  <c r="G132" i="6"/>
  <c r="G83" i="8"/>
  <c r="G171" i="6"/>
  <c r="G148" i="6"/>
  <c r="G80" i="8"/>
  <c r="G149" i="6"/>
  <c r="G150" i="6"/>
  <c r="G82" i="8"/>
  <c r="G81" i="8"/>
  <c r="X265" i="12"/>
  <c r="X266" i="12" s="1"/>
  <c r="X234" i="12"/>
  <c r="J265" i="12"/>
  <c r="J266" i="12" s="1"/>
  <c r="J234" i="12"/>
  <c r="AI36" i="8"/>
  <c r="AE127" i="6"/>
  <c r="BK101" i="6"/>
  <c r="BJ40" i="15"/>
  <c r="BJ41" i="15" s="1"/>
  <c r="BJ29" i="15"/>
  <c r="BJ30" i="15" s="1"/>
  <c r="BJ33" i="15" s="1"/>
  <c r="J83" i="8"/>
  <c r="J171" i="6"/>
  <c r="J149" i="6"/>
  <c r="J132" i="6"/>
  <c r="J81" i="8"/>
  <c r="BD48" i="15"/>
  <c r="BD49" i="15" s="1"/>
  <c r="J147" i="6"/>
  <c r="J148" i="6"/>
  <c r="J82" i="8"/>
  <c r="J80" i="8"/>
  <c r="J22" i="6"/>
  <c r="Q12" i="5"/>
  <c r="AX10" i="6"/>
  <c r="AW10" i="6" s="1"/>
  <c r="X21" i="6"/>
  <c r="AH43" i="8"/>
  <c r="P193" i="6"/>
  <c r="Q193" i="6"/>
  <c r="E265" i="12"/>
  <c r="E266" i="12" s="1"/>
  <c r="E234" i="12"/>
  <c r="AA341" i="12"/>
  <c r="Z326" i="12"/>
  <c r="Z410" i="12" s="1"/>
  <c r="U356" i="12"/>
  <c r="AE246" i="12"/>
  <c r="AF268" i="12"/>
  <c r="AC359" i="12"/>
  <c r="AB392" i="12"/>
  <c r="AB417" i="12" s="1"/>
  <c r="Y91" i="8"/>
  <c r="Z88" i="8"/>
  <c r="AY95" i="6"/>
  <c r="AY97" i="6"/>
  <c r="AY98" i="6" s="1"/>
  <c r="J112" i="6"/>
  <c r="G125" i="6"/>
  <c r="G122" i="6"/>
  <c r="J104" i="6"/>
  <c r="J98" i="6"/>
  <c r="J106" i="6"/>
  <c r="J118" i="6" s="1"/>
  <c r="E104" i="6"/>
  <c r="J113" i="6"/>
  <c r="J138" i="6"/>
  <c r="G117" i="6"/>
  <c r="H112" i="6"/>
  <c r="T375" i="12"/>
  <c r="T378" i="12" s="1"/>
  <c r="T444" i="12"/>
  <c r="P82" i="8"/>
  <c r="P148" i="6"/>
  <c r="P81" i="8"/>
  <c r="P83" i="8"/>
  <c r="P339" i="12"/>
  <c r="P80" i="8"/>
  <c r="P171" i="6"/>
  <c r="P149" i="6"/>
  <c r="P147" i="6"/>
  <c r="BJ48" i="15"/>
  <c r="O385" i="12"/>
  <c r="AO150" i="4"/>
  <c r="AF198" i="4"/>
  <c r="AE198" i="4"/>
  <c r="AD11" i="6"/>
  <c r="AD282" i="12"/>
  <c r="AD31" i="12" s="1"/>
  <c r="AD38" i="6" s="1"/>
  <c r="AM320" i="4"/>
  <c r="AL30" i="4"/>
  <c r="AL2011" i="4" s="1"/>
  <c r="BG180" i="6"/>
  <c r="BF180" i="6" s="1"/>
  <c r="O159" i="6"/>
  <c r="AD164" i="6"/>
  <c r="BJ164" i="6" s="1"/>
  <c r="AD322" i="12"/>
  <c r="AD373" i="12" s="1"/>
  <c r="L361" i="12"/>
  <c r="L419" i="12"/>
  <c r="L425" i="12" s="1"/>
  <c r="T339" i="12"/>
  <c r="T434" i="12" s="1"/>
  <c r="T22" i="6"/>
  <c r="T82" i="8"/>
  <c r="T81" i="8"/>
  <c r="T80" i="8"/>
  <c r="BN48" i="15"/>
  <c r="BN49" i="15" s="1"/>
  <c r="T171" i="6"/>
  <c r="T132" i="6"/>
  <c r="T83" i="8"/>
  <c r="AD231" i="4"/>
  <c r="AM287" i="4"/>
  <c r="AM289" i="4" s="1"/>
  <c r="AM293" i="4" s="1"/>
  <c r="AC372" i="12"/>
  <c r="AC416" i="12" s="1"/>
  <c r="L400" i="12"/>
  <c r="O233" i="12"/>
  <c r="O11" i="5"/>
  <c r="P11" i="5"/>
  <c r="U230" i="12"/>
  <c r="U231" i="12" s="1"/>
  <c r="U233" i="12"/>
  <c r="U159" i="6"/>
  <c r="U168" i="6" s="1"/>
  <c r="T33" i="7"/>
  <c r="N161" i="6"/>
  <c r="N168" i="6" s="1"/>
  <c r="N320" i="12"/>
  <c r="N233" i="12"/>
  <c r="Q30" i="6"/>
  <c r="T234" i="12"/>
  <c r="T265" i="12"/>
  <c r="T266" i="12" s="1"/>
  <c r="AD198" i="4"/>
  <c r="AD162" i="6"/>
  <c r="BJ162" i="6" s="1"/>
  <c r="AD321" i="12"/>
  <c r="AD372" i="12" s="1"/>
  <c r="BH181" i="6"/>
  <c r="V444" i="12"/>
  <c r="U375" i="12"/>
  <c r="U378" i="12" s="1"/>
  <c r="U444" i="12"/>
  <c r="M320" i="12"/>
  <c r="M161" i="6"/>
  <c r="M168" i="6" s="1"/>
  <c r="M233" i="12"/>
  <c r="AB180" i="6"/>
  <c r="BD180" i="6" s="1"/>
  <c r="BC180" i="6" s="1"/>
  <c r="AB447" i="12"/>
  <c r="Y159" i="6"/>
  <c r="BA159" i="6" s="1"/>
  <c r="AZ159" i="6" s="1"/>
  <c r="Y318" i="12"/>
  <c r="Y369" i="12" s="1"/>
  <c r="AC181" i="6"/>
  <c r="AC448" i="12"/>
  <c r="AL354" i="4"/>
  <c r="AL349" i="4"/>
  <c r="AB416" i="12"/>
  <c r="AC163" i="6"/>
  <c r="BI163" i="6" s="1"/>
  <c r="H230" i="12"/>
  <c r="H231" i="12" s="1"/>
  <c r="P390" i="12"/>
  <c r="P415" i="12" s="1"/>
  <c r="P338" i="12"/>
  <c r="V132" i="6"/>
  <c r="AR168" i="6"/>
  <c r="AH339" i="12" s="1"/>
  <c r="AH434" i="12" s="1"/>
  <c r="V83" i="8"/>
  <c r="BP48" i="15"/>
  <c r="BP49" i="15" s="1"/>
  <c r="V80" i="8"/>
  <c r="O24" i="5"/>
  <c r="O25" i="5" s="1"/>
  <c r="AR21" i="6"/>
  <c r="V82" i="8"/>
  <c r="V147" i="6"/>
  <c r="V81" i="8"/>
  <c r="V339" i="12"/>
  <c r="V434" i="12" s="1"/>
  <c r="V171" i="6"/>
  <c r="Q83" i="8"/>
  <c r="Q82" i="8"/>
  <c r="Q148" i="6"/>
  <c r="Q81" i="8"/>
  <c r="Q22" i="6"/>
  <c r="Q80" i="8"/>
  <c r="Q171" i="6"/>
  <c r="Q147" i="6"/>
  <c r="Q339" i="12"/>
  <c r="BK48" i="15"/>
  <c r="R22" i="6"/>
  <c r="AO136" i="4"/>
  <c r="D132" i="6"/>
  <c r="D149" i="6"/>
  <c r="D171" i="6"/>
  <c r="D81" i="8"/>
  <c r="D148" i="6"/>
  <c r="D82" i="8"/>
  <c r="D147" i="6"/>
  <c r="D83" i="8"/>
  <c r="D80" i="8"/>
  <c r="E22" i="6"/>
  <c r="D230" i="12"/>
  <c r="D231" i="12" s="1"/>
  <c r="AF331" i="12"/>
  <c r="AC165" i="6"/>
  <c r="BI165" i="6" s="1"/>
  <c r="AG341" i="12"/>
  <c r="AG424" i="12" s="1"/>
  <c r="Q390" i="12"/>
  <c r="Q415" i="12" s="1"/>
  <c r="Q338" i="12"/>
  <c r="AM404" i="4"/>
  <c r="AL51" i="4"/>
  <c r="AL397" i="4"/>
  <c r="AL387" i="4"/>
  <c r="I95" i="6" l="1"/>
  <c r="AF34" i="8"/>
  <c r="BA28" i="15" s="1"/>
  <c r="H97" i="6"/>
  <c r="H104" i="6" s="1"/>
  <c r="H150" i="6"/>
  <c r="H79" i="8"/>
  <c r="Q78" i="6"/>
  <c r="J37" i="5" s="1"/>
  <c r="W233" i="12"/>
  <c r="W234" i="12" s="1"/>
  <c r="AD76" i="4"/>
  <c r="AE77" i="4" s="1"/>
  <c r="H103" i="6"/>
  <c r="H113" i="6" s="1"/>
  <c r="AM73" i="4"/>
  <c r="AF291" i="12" s="1"/>
  <c r="R343" i="12"/>
  <c r="AK163" i="4"/>
  <c r="AK290" i="12"/>
  <c r="AK17" i="6"/>
  <c r="AL290" i="12"/>
  <c r="AZ28" i="15"/>
  <c r="BY28" i="15" s="1"/>
  <c r="AV22" i="5"/>
  <c r="X33" i="15"/>
  <c r="BX39" i="15" s="1"/>
  <c r="AJ45" i="8"/>
  <c r="AJ36" i="8"/>
  <c r="AW23" i="5"/>
  <c r="AG41" i="8"/>
  <c r="AW26" i="5"/>
  <c r="AK209" i="4"/>
  <c r="AK1941" i="4" s="1"/>
  <c r="R117" i="12"/>
  <c r="R80" i="12"/>
  <c r="V22" i="6"/>
  <c r="AR22" i="6" s="1"/>
  <c r="U173" i="12"/>
  <c r="U174" i="12"/>
  <c r="U172" i="12"/>
  <c r="Y174" i="12"/>
  <c r="Y172" i="12"/>
  <c r="Y173" i="12"/>
  <c r="N172" i="12"/>
  <c r="N174" i="12"/>
  <c r="N173" i="12"/>
  <c r="M172" i="12"/>
  <c r="M173" i="12"/>
  <c r="M174" i="12"/>
  <c r="X174" i="12"/>
  <c r="X172" i="12"/>
  <c r="X173" i="12"/>
  <c r="Y122" i="12"/>
  <c r="Y80" i="12"/>
  <c r="Y117" i="12"/>
  <c r="Y77" i="12"/>
  <c r="Y85" i="12"/>
  <c r="Y112" i="12"/>
  <c r="X77" i="12"/>
  <c r="X80" i="12"/>
  <c r="X122" i="12"/>
  <c r="X117" i="12"/>
  <c r="X112" i="12"/>
  <c r="X85" i="12"/>
  <c r="Q80" i="12"/>
  <c r="Q117" i="12"/>
  <c r="T80" i="12"/>
  <c r="T117" i="12"/>
  <c r="T112" i="12"/>
  <c r="T122" i="12"/>
  <c r="T85" i="12"/>
  <c r="T77" i="12"/>
  <c r="S172" i="6"/>
  <c r="S77" i="12"/>
  <c r="S80" i="12"/>
  <c r="S112" i="12"/>
  <c r="S122" i="12"/>
  <c r="S85" i="12"/>
  <c r="S117" i="12"/>
  <c r="P80" i="12"/>
  <c r="P117" i="12"/>
  <c r="L80" i="12"/>
  <c r="L117" i="12"/>
  <c r="Q27" i="8"/>
  <c r="AH14" i="5"/>
  <c r="Q80" i="6"/>
  <c r="R81" i="6" s="1"/>
  <c r="AC11" i="6"/>
  <c r="AJ1949" i="4"/>
  <c r="AL283" i="4"/>
  <c r="AM283" i="4" s="1"/>
  <c r="AD34" i="4"/>
  <c r="AD2014" i="4"/>
  <c r="AE34" i="4"/>
  <c r="W10" i="6"/>
  <c r="W200" i="6" s="1"/>
  <c r="AK1949" i="4"/>
  <c r="AK1955" i="4" s="1"/>
  <c r="AE2014" i="4"/>
  <c r="AM354" i="4"/>
  <c r="AM37" i="4" s="1"/>
  <c r="AN343" i="4"/>
  <c r="AN345" i="4" s="1"/>
  <c r="AN348" i="4" s="1"/>
  <c r="AN349" i="4" s="1"/>
  <c r="V89" i="6"/>
  <c r="AE20" i="6"/>
  <c r="AI469" i="4"/>
  <c r="AJ469" i="4" s="1"/>
  <c r="W281" i="12"/>
  <c r="W49" i="12" s="1"/>
  <c r="AI270" i="4"/>
  <c r="AV48" i="5"/>
  <c r="AG20" i="8"/>
  <c r="AH20" i="8" s="1"/>
  <c r="AI20" i="8" s="1"/>
  <c r="X193" i="6"/>
  <c r="AX193" i="6" s="1"/>
  <c r="AN173" i="4"/>
  <c r="AN175" i="4" s="1"/>
  <c r="AF101" i="6"/>
  <c r="BW28" i="15"/>
  <c r="BW39" i="15"/>
  <c r="AV16" i="15"/>
  <c r="BU16" i="15" s="1"/>
  <c r="AM363" i="4"/>
  <c r="AN363" i="4" s="1"/>
  <c r="Y347" i="12"/>
  <c r="Z347" i="12" s="1"/>
  <c r="BW24" i="15"/>
  <c r="AJ17" i="4"/>
  <c r="M94" i="6"/>
  <c r="M78" i="8" s="1"/>
  <c r="AE377" i="12"/>
  <c r="AF377" i="12" s="1"/>
  <c r="H138" i="6"/>
  <c r="I62" i="8"/>
  <c r="I73" i="8"/>
  <c r="I75" i="8" s="1"/>
  <c r="AH298" i="4"/>
  <c r="AA55" i="12"/>
  <c r="AE18" i="6"/>
  <c r="X22" i="5" s="1"/>
  <c r="X23" i="5" s="1"/>
  <c r="AH270" i="4"/>
  <c r="AI16" i="4"/>
  <c r="AI1998" i="4" s="1"/>
  <c r="M211" i="14"/>
  <c r="M216" i="14" s="1"/>
  <c r="M217" i="14" s="1"/>
  <c r="AD451" i="12"/>
  <c r="AF14" i="8"/>
  <c r="AG14" i="8" s="1"/>
  <c r="AH14" i="8" s="1"/>
  <c r="AD127" i="6"/>
  <c r="AF100" i="6"/>
  <c r="BL100" i="6" s="1"/>
  <c r="BJ101" i="6"/>
  <c r="F103" i="6"/>
  <c r="F113" i="6" s="1"/>
  <c r="G115" i="6" s="1"/>
  <c r="F95" i="6"/>
  <c r="Z422" i="12"/>
  <c r="AL217" i="4"/>
  <c r="AL18" i="4" s="1"/>
  <c r="AL2000" i="4" s="1"/>
  <c r="R364" i="12"/>
  <c r="H98" i="6"/>
  <c r="R401" i="12"/>
  <c r="P30" i="6"/>
  <c r="R402" i="12"/>
  <c r="AF48" i="7"/>
  <c r="F79" i="8"/>
  <c r="I5" i="8"/>
  <c r="I65" i="8" s="1"/>
  <c r="F97" i="6"/>
  <c r="F104" i="6" s="1"/>
  <c r="F105" i="6" s="1"/>
  <c r="AU192" i="6"/>
  <c r="AW21" i="6"/>
  <c r="AW32" i="6" s="1"/>
  <c r="AO131" i="4"/>
  <c r="AO133" i="4" s="1"/>
  <c r="AG49" i="6"/>
  <c r="AG71" i="6" s="1"/>
  <c r="F150" i="6"/>
  <c r="F102" i="6"/>
  <c r="F78" i="8"/>
  <c r="AU48" i="5"/>
  <c r="F49" i="5"/>
  <c r="G50" i="5" s="1"/>
  <c r="R11" i="5"/>
  <c r="BJ100" i="6"/>
  <c r="AB283" i="12"/>
  <c r="AL42" i="4"/>
  <c r="K172" i="6"/>
  <c r="T41" i="5"/>
  <c r="AB12" i="6"/>
  <c r="AB13" i="6" s="1"/>
  <c r="I5" i="7"/>
  <c r="AK386" i="4"/>
  <c r="AK389" i="4" s="1"/>
  <c r="AK390" i="4" s="1"/>
  <c r="AK42" i="4"/>
  <c r="AK2022" i="4" s="1"/>
  <c r="I76" i="8"/>
  <c r="AI2024" i="4"/>
  <c r="I5" i="6"/>
  <c r="Q5" i="4"/>
  <c r="S343" i="12"/>
  <c r="AG29" i="4"/>
  <c r="AG335" i="4"/>
  <c r="AG311" i="12"/>
  <c r="AM461" i="4"/>
  <c r="AN461" i="4" s="1"/>
  <c r="AO461" i="4" s="1"/>
  <c r="Q15" i="5"/>
  <c r="AE288" i="12"/>
  <c r="AE231" i="4"/>
  <c r="AI17" i="4"/>
  <c r="AI1999" i="4" s="1"/>
  <c r="AO243" i="4"/>
  <c r="AO22" i="4" s="1"/>
  <c r="AO2004" i="4" s="1"/>
  <c r="AN161" i="4"/>
  <c r="AF2038" i="4"/>
  <c r="AL386" i="4"/>
  <c r="AL389" i="4" s="1"/>
  <c r="Z87" i="8"/>
  <c r="AK177" i="4"/>
  <c r="S11" i="5"/>
  <c r="L172" i="6"/>
  <c r="Z65" i="7"/>
  <c r="Z66" i="7" s="1"/>
  <c r="Z90" i="8"/>
  <c r="Z56" i="6"/>
  <c r="AK366" i="4"/>
  <c r="AK375" i="4" s="1"/>
  <c r="AH19" i="4"/>
  <c r="Z130" i="6"/>
  <c r="AM205" i="4"/>
  <c r="AM207" i="4" s="1"/>
  <c r="AI46" i="4"/>
  <c r="AJ44" i="4"/>
  <c r="AH2025" i="4"/>
  <c r="E138" i="6"/>
  <c r="AC282" i="12"/>
  <c r="AC50" i="12" s="1"/>
  <c r="AI2025" i="4"/>
  <c r="AJ2017" i="4"/>
  <c r="AK2017" i="4"/>
  <c r="AL2030" i="4"/>
  <c r="I125" i="6"/>
  <c r="S15" i="5"/>
  <c r="AA13" i="6"/>
  <c r="BG12" i="6"/>
  <c r="BF12" i="6" s="1"/>
  <c r="T20" i="5"/>
  <c r="T21" i="5" s="1"/>
  <c r="BG16" i="6"/>
  <c r="BF16" i="6" s="1"/>
  <c r="BB94" i="6"/>
  <c r="BB91" i="6"/>
  <c r="Z73" i="6"/>
  <c r="BA51" i="6"/>
  <c r="R24" i="5"/>
  <c r="R58" i="5" s="1"/>
  <c r="R15" i="5"/>
  <c r="S34" i="5"/>
  <c r="BD51" i="6"/>
  <c r="AK43" i="4"/>
  <c r="AK2023" i="4" s="1"/>
  <c r="AE199" i="12"/>
  <c r="AE200" i="12" s="1"/>
  <c r="AD200" i="12"/>
  <c r="AA39" i="6"/>
  <c r="BG39" i="6" s="1"/>
  <c r="BF39" i="6" s="1"/>
  <c r="AE188" i="6"/>
  <c r="AA304" i="12"/>
  <c r="S91" i="6"/>
  <c r="AJ50" i="4"/>
  <c r="AJ52" i="4" s="1"/>
  <c r="M30" i="6"/>
  <c r="Z52" i="6"/>
  <c r="BD52" i="6" s="1"/>
  <c r="AX56" i="6"/>
  <c r="Y130" i="6"/>
  <c r="Y87" i="8"/>
  <c r="Y65" i="7"/>
  <c r="Y66" i="7" s="1"/>
  <c r="R34" i="5"/>
  <c r="R35" i="5" s="1"/>
  <c r="AR80" i="6"/>
  <c r="Y90" i="8"/>
  <c r="Y92" i="8" s="1"/>
  <c r="AD84" i="6"/>
  <c r="Y56" i="6"/>
  <c r="Y73" i="6"/>
  <c r="AK278" i="4"/>
  <c r="AG35" i="8"/>
  <c r="AH35" i="8" s="1"/>
  <c r="AD182" i="6"/>
  <c r="D78" i="8"/>
  <c r="AF50" i="6"/>
  <c r="AF72" i="6" s="1"/>
  <c r="S30" i="6"/>
  <c r="D150" i="6"/>
  <c r="V148" i="6"/>
  <c r="P425" i="12"/>
  <c r="P432" i="12" s="1"/>
  <c r="AE374" i="12"/>
  <c r="AE182" i="6" s="1"/>
  <c r="AZ21" i="6"/>
  <c r="AZ32" i="6" s="1"/>
  <c r="D79" i="8"/>
  <c r="R30" i="6"/>
  <c r="S33" i="5"/>
  <c r="AN361" i="4"/>
  <c r="AO361" i="4" s="1"/>
  <c r="AC139" i="6"/>
  <c r="Y292" i="12"/>
  <c r="Y295" i="12" s="1"/>
  <c r="Y63" i="12" s="1"/>
  <c r="AI49" i="4"/>
  <c r="AI2028" i="4" s="1"/>
  <c r="AM40" i="4"/>
  <c r="AM2020" i="4" s="1"/>
  <c r="D102" i="6"/>
  <c r="G124" i="6"/>
  <c r="D103" i="6"/>
  <c r="D138" i="6" s="1"/>
  <c r="Q40" i="5"/>
  <c r="T62" i="8"/>
  <c r="T77" i="8"/>
  <c r="AK32" i="5"/>
  <c r="AK33" i="5" s="1"/>
  <c r="AK58" i="5" s="1"/>
  <c r="T76" i="8"/>
  <c r="T73" i="8"/>
  <c r="T75" i="8" s="1"/>
  <c r="D97" i="6"/>
  <c r="D104" i="6" s="1"/>
  <c r="D117" i="6" s="1"/>
  <c r="AG312" i="12"/>
  <c r="Y234" i="12"/>
  <c r="BG85" i="6"/>
  <c r="BF85" i="6" s="1"/>
  <c r="Q222" i="14"/>
  <c r="AI15" i="4"/>
  <c r="AI1997" i="4" s="1"/>
  <c r="V86" i="6"/>
  <c r="Y147" i="6"/>
  <c r="V131" i="6"/>
  <c r="W193" i="6"/>
  <c r="AU193" i="6" s="1"/>
  <c r="I124" i="6"/>
  <c r="AL39" i="4"/>
  <c r="AL2019" i="4" s="1"/>
  <c r="BP45" i="15"/>
  <c r="BP46" i="15" s="1"/>
  <c r="V149" i="6"/>
  <c r="T30" i="6"/>
  <c r="AD139" i="6"/>
  <c r="AI50" i="4"/>
  <c r="N211" i="14"/>
  <c r="N216" i="14" s="1"/>
  <c r="N217" i="14" s="1"/>
  <c r="AN258" i="4"/>
  <c r="AO256" i="4"/>
  <c r="Y230" i="12"/>
  <c r="Y231" i="12" s="1"/>
  <c r="Y32" i="6"/>
  <c r="R27" i="5" s="1"/>
  <c r="Y83" i="8"/>
  <c r="Y132" i="6"/>
  <c r="AM396" i="4"/>
  <c r="AN394" i="4"/>
  <c r="Y53" i="6"/>
  <c r="AH52" i="4"/>
  <c r="AH2028" i="4"/>
  <c r="W65" i="7"/>
  <c r="W66" i="7" s="1"/>
  <c r="AU51" i="6"/>
  <c r="W56" i="6"/>
  <c r="P34" i="5"/>
  <c r="W130" i="6"/>
  <c r="X52" i="6"/>
  <c r="AX52" i="6" s="1"/>
  <c r="W87" i="8"/>
  <c r="W90" i="8"/>
  <c r="W92" i="8" s="1"/>
  <c r="X73" i="6"/>
  <c r="Y148" i="6"/>
  <c r="Y339" i="12"/>
  <c r="Y434" i="12" s="1"/>
  <c r="AL360" i="4"/>
  <c r="AK38" i="4"/>
  <c r="AK2018" i="4" s="1"/>
  <c r="AA43" i="6"/>
  <c r="AA307" i="12"/>
  <c r="BG178" i="6"/>
  <c r="BF178" i="6" s="1"/>
  <c r="P9" i="8"/>
  <c r="P136" i="12" s="1"/>
  <c r="Q56" i="7"/>
  <c r="Q58" i="7" s="1"/>
  <c r="Y22" i="6"/>
  <c r="BA22" i="6" s="1"/>
  <c r="BA21" i="6"/>
  <c r="AL238" i="4"/>
  <c r="AK21" i="4"/>
  <c r="AK2003" i="4" s="1"/>
  <c r="Q240" i="12"/>
  <c r="AE21" i="8"/>
  <c r="AC216" i="6"/>
  <c r="BI216" i="6" s="1"/>
  <c r="AC445" i="12"/>
  <c r="AC178" i="6"/>
  <c r="AK1936" i="4"/>
  <c r="AK140" i="4"/>
  <c r="AJ13" i="4"/>
  <c r="AJ1995" i="4" s="1"/>
  <c r="O62" i="8"/>
  <c r="O73" i="8"/>
  <c r="O75" i="8" s="1"/>
  <c r="O76" i="8"/>
  <c r="AF32" i="5"/>
  <c r="O77" i="8"/>
  <c r="Y171" i="6"/>
  <c r="Y343" i="12" s="1"/>
  <c r="Y81" i="8"/>
  <c r="BS48" i="15"/>
  <c r="BS49" i="15" s="1"/>
  <c r="Y82" i="8"/>
  <c r="Y80" i="8"/>
  <c r="BA168" i="6"/>
  <c r="AO384" i="4"/>
  <c r="AP384" i="4" s="1"/>
  <c r="S254" i="12"/>
  <c r="S255" i="12" s="1"/>
  <c r="AH13" i="8"/>
  <c r="K39" i="5"/>
  <c r="L38" i="5"/>
  <c r="S81" i="6"/>
  <c r="BL45" i="15"/>
  <c r="R86" i="6"/>
  <c r="R153" i="12" s="1"/>
  <c r="R144" i="6"/>
  <c r="R149" i="6"/>
  <c r="S103" i="6"/>
  <c r="S97" i="6"/>
  <c r="S150" i="6"/>
  <c r="S102" i="6"/>
  <c r="AM1970" i="4"/>
  <c r="AM1972" i="4" s="1"/>
  <c r="AM1953" i="4"/>
  <c r="AM1958" i="4" s="1"/>
  <c r="AN1951" i="4"/>
  <c r="AA422" i="12"/>
  <c r="AL1960" i="4"/>
  <c r="AM386" i="4"/>
  <c r="AG56" i="8"/>
  <c r="AE445" i="12"/>
  <c r="AE216" i="6"/>
  <c r="BK216" i="6" s="1"/>
  <c r="AE178" i="6"/>
  <c r="BJ178" i="6"/>
  <c r="AF370" i="12"/>
  <c r="AJ15" i="4"/>
  <c r="AK1938" i="4"/>
  <c r="AL163" i="4"/>
  <c r="AK168" i="4"/>
  <c r="AI44" i="7"/>
  <c r="N102" i="6"/>
  <c r="N97" i="6"/>
  <c r="N78" i="8"/>
  <c r="N79" i="8"/>
  <c r="N103" i="6"/>
  <c r="BH89" i="6"/>
  <c r="O95" i="6"/>
  <c r="K112" i="6"/>
  <c r="D51" i="5"/>
  <c r="K106" i="6"/>
  <c r="K118" i="6" s="1"/>
  <c r="K104" i="6"/>
  <c r="K105" i="6" s="1"/>
  <c r="AR39" i="5"/>
  <c r="K138" i="6"/>
  <c r="D52" i="5"/>
  <c r="K113" i="6"/>
  <c r="K115" i="6" s="1"/>
  <c r="AS39" i="5"/>
  <c r="AN40" i="4"/>
  <c r="AO362" i="4"/>
  <c r="R13" i="5"/>
  <c r="AF44" i="8"/>
  <c r="AG19" i="8"/>
  <c r="P102" i="6"/>
  <c r="P103" i="6"/>
  <c r="P95" i="6"/>
  <c r="P97" i="6"/>
  <c r="AL1954" i="4"/>
  <c r="AL1948" i="4"/>
  <c r="AM1947" i="4"/>
  <c r="AD47" i="8"/>
  <c r="AP218" i="4"/>
  <c r="AQ218" i="4" s="1"/>
  <c r="AT29" i="5"/>
  <c r="AT28" i="5" s="1"/>
  <c r="BJ49" i="15"/>
  <c r="S148" i="6"/>
  <c r="S193" i="6"/>
  <c r="O106" i="6"/>
  <c r="O118" i="6" s="1"/>
  <c r="O104" i="6"/>
  <c r="O79" i="8"/>
  <c r="S440" i="12"/>
  <c r="S424" i="12"/>
  <c r="AG55" i="8"/>
  <c r="O112" i="6"/>
  <c r="H51" i="5"/>
  <c r="AL31" i="4"/>
  <c r="AL2012" i="4" s="1"/>
  <c r="AM326" i="4"/>
  <c r="AH311" i="12"/>
  <c r="AH49" i="6"/>
  <c r="O113" i="6"/>
  <c r="C15" i="14"/>
  <c r="H52" i="5"/>
  <c r="O138" i="6"/>
  <c r="S269" i="12"/>
  <c r="T184" i="6"/>
  <c r="T186" i="6" s="1"/>
  <c r="AB337" i="12"/>
  <c r="AB396" i="12" s="1"/>
  <c r="AB421" i="12" s="1"/>
  <c r="AH170" i="6"/>
  <c r="BN170" i="6" s="1"/>
  <c r="AI170" i="6"/>
  <c r="L104" i="6"/>
  <c r="L106" i="6"/>
  <c r="L118" i="6" s="1"/>
  <c r="L98" i="6"/>
  <c r="X295" i="12"/>
  <c r="X63" i="12" s="1"/>
  <c r="X59" i="12"/>
  <c r="BK29" i="15"/>
  <c r="BK30" i="15" s="1"/>
  <c r="BK33" i="15" s="1"/>
  <c r="BK40" i="15"/>
  <c r="BK41" i="15" s="1"/>
  <c r="BK49" i="15" s="1"/>
  <c r="AH18" i="8"/>
  <c r="AN73" i="4"/>
  <c r="AG291" i="12" s="1"/>
  <c r="AF20" i="6"/>
  <c r="AI43" i="8"/>
  <c r="AP159" i="4"/>
  <c r="E51" i="5"/>
  <c r="L112" i="6"/>
  <c r="AH19" i="12"/>
  <c r="AG27" i="6"/>
  <c r="AH12" i="8"/>
  <c r="BJ46" i="15"/>
  <c r="BJ43" i="15"/>
  <c r="AB341" i="12"/>
  <c r="X171" i="6"/>
  <c r="X132" i="6"/>
  <c r="X83" i="8"/>
  <c r="Q24" i="5"/>
  <c r="Q58" i="5" s="1"/>
  <c r="X339" i="12"/>
  <c r="X434" i="12" s="1"/>
  <c r="AX168" i="6"/>
  <c r="X81" i="8"/>
  <c r="X148" i="6"/>
  <c r="AX21" i="6"/>
  <c r="BR48" i="15"/>
  <c r="BR49" i="15" s="1"/>
  <c r="X80" i="8"/>
  <c r="X82" i="8"/>
  <c r="X147" i="6"/>
  <c r="X32" i="6"/>
  <c r="X53" i="6"/>
  <c r="AO161" i="4"/>
  <c r="L138" i="6"/>
  <c r="E52" i="5"/>
  <c r="L113" i="6"/>
  <c r="AC455" i="12"/>
  <c r="AA326" i="12"/>
  <c r="AA410" i="12" s="1"/>
  <c r="AG381" i="12"/>
  <c r="AF188" i="6"/>
  <c r="AG268" i="12"/>
  <c r="AF246" i="12"/>
  <c r="P426" i="12"/>
  <c r="AC392" i="12"/>
  <c r="AC417" i="12" s="1"/>
  <c r="AD359" i="12"/>
  <c r="J125" i="6"/>
  <c r="J122" i="6"/>
  <c r="J115" i="6"/>
  <c r="H122" i="6"/>
  <c r="H125" i="6"/>
  <c r="H115" i="6"/>
  <c r="I115" i="6"/>
  <c r="E117" i="6"/>
  <c r="J105" i="6"/>
  <c r="J117" i="6"/>
  <c r="BR45" i="15"/>
  <c r="BR46" i="15" s="1"/>
  <c r="X144" i="6"/>
  <c r="X86" i="6"/>
  <c r="X153" i="12" s="1"/>
  <c r="AX80" i="6"/>
  <c r="X131" i="6"/>
  <c r="X149" i="6"/>
  <c r="H121" i="6"/>
  <c r="H124" i="6"/>
  <c r="H114" i="6"/>
  <c r="I114" i="6"/>
  <c r="E122" i="6"/>
  <c r="E125" i="6"/>
  <c r="E121" i="6"/>
  <c r="E124" i="6"/>
  <c r="H117" i="6"/>
  <c r="H105" i="6"/>
  <c r="I105" i="6"/>
  <c r="J124" i="6"/>
  <c r="J121" i="6"/>
  <c r="J114" i="6"/>
  <c r="AA88" i="8"/>
  <c r="AB88" i="8" s="1"/>
  <c r="AC88" i="8" s="1"/>
  <c r="AD88" i="8" s="1"/>
  <c r="AE88" i="8" s="1"/>
  <c r="AF88" i="8" s="1"/>
  <c r="AG88" i="8" s="1"/>
  <c r="AH88" i="8" s="1"/>
  <c r="AI88" i="8" s="1"/>
  <c r="AJ88" i="8" s="1"/>
  <c r="AK88" i="8" s="1"/>
  <c r="AL88" i="8" s="1"/>
  <c r="Z91" i="8"/>
  <c r="M265" i="12"/>
  <c r="M266" i="12" s="1"/>
  <c r="M234" i="12"/>
  <c r="M82" i="8"/>
  <c r="M171" i="6"/>
  <c r="M83" i="8"/>
  <c r="M22" i="6"/>
  <c r="M147" i="6"/>
  <c r="M80" i="8"/>
  <c r="BG48" i="15"/>
  <c r="BG49" i="15" s="1"/>
  <c r="M81" i="8"/>
  <c r="M148" i="6"/>
  <c r="M132" i="6"/>
  <c r="M149" i="6"/>
  <c r="AD416" i="12"/>
  <c r="AD447" i="12"/>
  <c r="AD180" i="6"/>
  <c r="P400" i="12"/>
  <c r="AM365" i="4"/>
  <c r="AL43" i="4"/>
  <c r="O265" i="12"/>
  <c r="O266" i="12" s="1"/>
  <c r="O234" i="12"/>
  <c r="AE322" i="12"/>
  <c r="AE373" i="12" s="1"/>
  <c r="AE164" i="6"/>
  <c r="BK164" i="6" s="1"/>
  <c r="AD163" i="6"/>
  <c r="BJ163" i="6" s="1"/>
  <c r="U27" i="7"/>
  <c r="AL44" i="5"/>
  <c r="AD448" i="12"/>
  <c r="AD181" i="6"/>
  <c r="Z318" i="12"/>
  <c r="Z369" i="12" s="1"/>
  <c r="Z159" i="6"/>
  <c r="O177" i="6"/>
  <c r="P343" i="12"/>
  <c r="P342" i="12"/>
  <c r="P434" i="12"/>
  <c r="BH180" i="6"/>
  <c r="R238" i="12"/>
  <c r="R240" i="12" s="1"/>
  <c r="R218" i="12" s="1"/>
  <c r="R217" i="12" s="1"/>
  <c r="AL355" i="4"/>
  <c r="AL37" i="4"/>
  <c r="M371" i="12"/>
  <c r="M414" i="12" s="1"/>
  <c r="M338" i="12"/>
  <c r="M364" i="12" s="1"/>
  <c r="N230" i="12"/>
  <c r="N231" i="12" s="1"/>
  <c r="U83" i="8"/>
  <c r="U132" i="6"/>
  <c r="U82" i="8"/>
  <c r="U80" i="8"/>
  <c r="U339" i="12"/>
  <c r="U434" i="12" s="1"/>
  <c r="U81" i="8"/>
  <c r="U171" i="6"/>
  <c r="BO48" i="15"/>
  <c r="BO49" i="15" s="1"/>
  <c r="U22" i="6"/>
  <c r="AU22" i="6" s="1"/>
  <c r="AC180" i="6"/>
  <c r="AC447" i="12"/>
  <c r="AE162" i="6"/>
  <c r="BK162" i="6" s="1"/>
  <c r="AE321" i="12"/>
  <c r="AN320" i="4"/>
  <c r="AM30" i="4"/>
  <c r="AM2011" i="4" s="1"/>
  <c r="O410" i="12"/>
  <c r="T452" i="12"/>
  <c r="T382" i="12"/>
  <c r="V452" i="12"/>
  <c r="U382" i="12"/>
  <c r="U452" i="12"/>
  <c r="V343" i="12"/>
  <c r="V32" i="6"/>
  <c r="AR171" i="6"/>
  <c r="AH343" i="12" s="1"/>
  <c r="Y444" i="12"/>
  <c r="Y177" i="6"/>
  <c r="N338" i="12"/>
  <c r="N364" i="12" s="1"/>
  <c r="N371" i="12"/>
  <c r="N414" i="12" s="1"/>
  <c r="U234" i="12"/>
  <c r="U265" i="12"/>
  <c r="U266" i="12" s="1"/>
  <c r="AN364" i="4"/>
  <c r="AM42" i="4"/>
  <c r="AN287" i="4"/>
  <c r="M230" i="12"/>
  <c r="M231" i="12" s="1"/>
  <c r="N149" i="6"/>
  <c r="N22" i="6"/>
  <c r="N147" i="6"/>
  <c r="N80" i="8"/>
  <c r="N171" i="6"/>
  <c r="N82" i="8"/>
  <c r="N83" i="8"/>
  <c r="N81" i="8"/>
  <c r="N132" i="6"/>
  <c r="N148" i="6"/>
  <c r="N150" i="6"/>
  <c r="BH48" i="15"/>
  <c r="BH49" i="15" s="1"/>
  <c r="BI181" i="6"/>
  <c r="N30" i="5"/>
  <c r="U186" i="6"/>
  <c r="P230" i="12"/>
  <c r="P231" i="12" s="1"/>
  <c r="N234" i="12"/>
  <c r="N265" i="12"/>
  <c r="N266" i="12" s="1"/>
  <c r="AN283" i="4"/>
  <c r="T34" i="7"/>
  <c r="T55" i="7"/>
  <c r="T36" i="7"/>
  <c r="T37" i="7" s="1"/>
  <c r="AK47" i="5"/>
  <c r="O161" i="6"/>
  <c r="O168" i="6" s="1"/>
  <c r="O320" i="12"/>
  <c r="T172" i="6"/>
  <c r="T343" i="12"/>
  <c r="AP150" i="4"/>
  <c r="AQ150" i="4" s="1"/>
  <c r="Q426" i="12"/>
  <c r="Q425" i="12"/>
  <c r="Q432" i="12" s="1"/>
  <c r="Q434" i="12"/>
  <c r="Q342" i="12"/>
  <c r="Q400" i="12"/>
  <c r="AD165" i="6"/>
  <c r="BJ165" i="6" s="1"/>
  <c r="AP136" i="4"/>
  <c r="AI341" i="12"/>
  <c r="AI424" i="12" s="1"/>
  <c r="AH341" i="12"/>
  <c r="AH424" i="12" s="1"/>
  <c r="Q230" i="12"/>
  <c r="Q231" i="12" s="1"/>
  <c r="Q343" i="12"/>
  <c r="Q172" i="6"/>
  <c r="R172" i="6"/>
  <c r="AG331" i="12"/>
  <c r="AN404" i="4"/>
  <c r="AM51" i="4"/>
  <c r="AM2030" i="4" s="1"/>
  <c r="AK50" i="4"/>
  <c r="AK400" i="4"/>
  <c r="AL399" i="4"/>
  <c r="AM397" i="4"/>
  <c r="AM387" i="4"/>
  <c r="I98" i="6" l="1"/>
  <c r="BX28" i="15"/>
  <c r="BX23" i="15"/>
  <c r="BX24" i="15"/>
  <c r="W265" i="12"/>
  <c r="W266" i="12" s="1"/>
  <c r="AW22" i="5"/>
  <c r="AG34" i="8"/>
  <c r="AH34" i="8" s="1"/>
  <c r="AI34" i="8" s="1"/>
  <c r="AJ34" i="8" s="1"/>
  <c r="AF134" i="12"/>
  <c r="AF135" i="12" s="1"/>
  <c r="AF143" i="12" s="1"/>
  <c r="AJ285" i="4"/>
  <c r="AJ295" i="4" s="1"/>
  <c r="AL209" i="4"/>
  <c r="AL1941" i="4" s="1"/>
  <c r="AK1939" i="4"/>
  <c r="AK180" i="4"/>
  <c r="AJ44" i="7"/>
  <c r="AK36" i="8"/>
  <c r="AK45" i="8"/>
  <c r="AF127" i="6"/>
  <c r="Z33" i="15"/>
  <c r="AQ136" i="4"/>
  <c r="AJ20" i="8"/>
  <c r="AK212" i="4"/>
  <c r="AH41" i="8"/>
  <c r="AW48" i="5"/>
  <c r="AH134" i="12"/>
  <c r="M79" i="8"/>
  <c r="AJ43" i="8"/>
  <c r="O173" i="12"/>
  <c r="O172" i="12"/>
  <c r="O174" i="12"/>
  <c r="M117" i="12"/>
  <c r="M80" i="12"/>
  <c r="N117" i="12"/>
  <c r="N80" i="12"/>
  <c r="V172" i="6"/>
  <c r="AR172" i="6" s="1"/>
  <c r="U77" i="12"/>
  <c r="U117" i="12"/>
  <c r="U80" i="12"/>
  <c r="U112" i="12"/>
  <c r="U122" i="12"/>
  <c r="U85" i="12"/>
  <c r="J38" i="5"/>
  <c r="J39" i="5"/>
  <c r="J40" i="5" s="1"/>
  <c r="BK45" i="15"/>
  <c r="BK46" i="15" s="1"/>
  <c r="Q86" i="6"/>
  <c r="Q81" i="6"/>
  <c r="Q144" i="6"/>
  <c r="Q149" i="6"/>
  <c r="P138" i="12"/>
  <c r="P137" i="12"/>
  <c r="P139" i="12" s="1"/>
  <c r="V88" i="6"/>
  <c r="V91" i="6" s="1"/>
  <c r="V153" i="12"/>
  <c r="K38" i="5"/>
  <c r="AH17" i="5"/>
  <c r="AH16" i="5" s="1"/>
  <c r="N95" i="6"/>
  <c r="AN354" i="4"/>
  <c r="AO343" i="4"/>
  <c r="AP343" i="4" s="1"/>
  <c r="AQ343" i="4" s="1"/>
  <c r="AJ1957" i="4"/>
  <c r="AJ1956" i="4"/>
  <c r="AJ1959" i="4"/>
  <c r="AJ1961" i="4" s="1"/>
  <c r="AJ1962" i="4" s="1"/>
  <c r="AJ1963" i="4" s="1"/>
  <c r="W21" i="6"/>
  <c r="W292" i="12"/>
  <c r="W295" i="12" s="1"/>
  <c r="W63" i="12" s="1"/>
  <c r="AU10" i="6"/>
  <c r="AT10" i="6" s="1"/>
  <c r="AT21" i="6" s="1"/>
  <c r="AT32" i="6" s="1"/>
  <c r="AT33" i="6" s="1"/>
  <c r="W230" i="12"/>
  <c r="W231" i="12" s="1"/>
  <c r="AE2038" i="4"/>
  <c r="AD77" i="4"/>
  <c r="AD2038" i="4"/>
  <c r="AL1949" i="4"/>
  <c r="AL1955" i="4" s="1"/>
  <c r="P12" i="5"/>
  <c r="P13" i="5" s="1"/>
  <c r="AM355" i="4"/>
  <c r="AM2022" i="4"/>
  <c r="AK270" i="4"/>
  <c r="AL270" i="4" s="1"/>
  <c r="AM270" i="4" s="1"/>
  <c r="AN270" i="4" s="1"/>
  <c r="AO270" i="4" s="1"/>
  <c r="AP270" i="4" s="1"/>
  <c r="AQ270" i="4" s="1"/>
  <c r="AR270" i="4" s="1"/>
  <c r="AS270" i="4" s="1"/>
  <c r="AI297" i="4"/>
  <c r="W89" i="6"/>
  <c r="AR89" i="6"/>
  <c r="AQ89" i="6" s="1"/>
  <c r="AK469" i="4"/>
  <c r="AL469" i="4" s="1"/>
  <c r="AJ1988" i="4"/>
  <c r="AO173" i="4"/>
  <c r="AO175" i="4" s="1"/>
  <c r="M97" i="6"/>
  <c r="M106" i="6" s="1"/>
  <c r="M118" i="6" s="1"/>
  <c r="M95" i="6"/>
  <c r="BL101" i="6"/>
  <c r="Y368" i="12"/>
  <c r="Y176" i="6" s="1"/>
  <c r="M102" i="6"/>
  <c r="M103" i="6"/>
  <c r="M138" i="6" s="1"/>
  <c r="M150" i="6"/>
  <c r="AE451" i="12"/>
  <c r="AP243" i="4"/>
  <c r="AP22" i="4" s="1"/>
  <c r="AP2004" i="4" s="1"/>
  <c r="AG101" i="6"/>
  <c r="AG127" i="6" s="1"/>
  <c r="AM41" i="4"/>
  <c r="AM2021" i="4" s="1"/>
  <c r="AE183" i="6"/>
  <c r="BK183" i="6" s="1"/>
  <c r="AH71" i="6"/>
  <c r="AG100" i="6"/>
  <c r="BM100" i="6" s="1"/>
  <c r="Y422" i="12"/>
  <c r="F115" i="6"/>
  <c r="AC283" i="12"/>
  <c r="AC51" i="12" s="1"/>
  <c r="AH335" i="4"/>
  <c r="AH336" i="4" s="1"/>
  <c r="AH29" i="4"/>
  <c r="AH33" i="4" s="1"/>
  <c r="F122" i="6"/>
  <c r="AG48" i="7"/>
  <c r="F125" i="6"/>
  <c r="AM217" i="4"/>
  <c r="AM18" i="4" s="1"/>
  <c r="AM2000" i="4" s="1"/>
  <c r="F138" i="6"/>
  <c r="AP131" i="4"/>
  <c r="AP133" i="4" s="1"/>
  <c r="AG18" i="6"/>
  <c r="AK377" i="4"/>
  <c r="AK378" i="4" s="1"/>
  <c r="AF374" i="12"/>
  <c r="AG374" i="12" s="1"/>
  <c r="AK49" i="4"/>
  <c r="AK2028" i="4" s="1"/>
  <c r="AF199" i="12"/>
  <c r="AF202" i="12" s="1"/>
  <c r="AE202" i="12"/>
  <c r="AB284" i="12"/>
  <c r="AP161" i="4"/>
  <c r="AQ159" i="4"/>
  <c r="AQ161" i="4" s="1"/>
  <c r="AR218" i="4"/>
  <c r="AS218" i="4" s="1"/>
  <c r="AR150" i="4"/>
  <c r="AS150" i="4" s="1"/>
  <c r="AJ49" i="6"/>
  <c r="AJ311" i="12"/>
  <c r="AP386" i="4"/>
  <c r="AQ384" i="4"/>
  <c r="G98" i="6"/>
  <c r="F98" i="6"/>
  <c r="AE449" i="12"/>
  <c r="Z80" i="6"/>
  <c r="BD80" i="6" s="1"/>
  <c r="AZ33" i="6"/>
  <c r="F117" i="6"/>
  <c r="G105" i="6"/>
  <c r="F112" i="6"/>
  <c r="AU29" i="5"/>
  <c r="AA40" i="6"/>
  <c r="AL2023" i="4"/>
  <c r="Z92" i="8"/>
  <c r="AN205" i="4"/>
  <c r="AN207" i="4" s="1"/>
  <c r="BG43" i="6"/>
  <c r="BF43" i="6" s="1"/>
  <c r="U14" i="5"/>
  <c r="R5" i="4"/>
  <c r="K5" i="6" s="1"/>
  <c r="J5" i="7"/>
  <c r="AG2010" i="4"/>
  <c r="AG33" i="4"/>
  <c r="AG76" i="4" s="1"/>
  <c r="J5" i="12"/>
  <c r="AL2022" i="4"/>
  <c r="J5" i="8"/>
  <c r="J65" i="8" s="1"/>
  <c r="AG336" i="4"/>
  <c r="J5" i="6"/>
  <c r="AD302" i="12"/>
  <c r="AC12" i="6"/>
  <c r="AC13" i="6" s="1"/>
  <c r="V14" i="5" s="1"/>
  <c r="AJ1997" i="4"/>
  <c r="AJ45" i="4"/>
  <c r="AJ46" i="4" s="1"/>
  <c r="Y80" i="6"/>
  <c r="Y81" i="6" s="1"/>
  <c r="BA81" i="6" s="1"/>
  <c r="AJ2024" i="4"/>
  <c r="AC38" i="6"/>
  <c r="AJ1999" i="4"/>
  <c r="AG50" i="6"/>
  <c r="AG72" i="6" s="1"/>
  <c r="AL177" i="4"/>
  <c r="AM177" i="4" s="1"/>
  <c r="AJ16" i="4"/>
  <c r="AJ1998" i="4" s="1"/>
  <c r="AD52" i="7"/>
  <c r="V145" i="6"/>
  <c r="AH2001" i="4"/>
  <c r="BD56" i="6"/>
  <c r="BA56" i="6"/>
  <c r="E98" i="6"/>
  <c r="E105" i="6"/>
  <c r="U21" i="5"/>
  <c r="AA62" i="6"/>
  <c r="AK2029" i="4"/>
  <c r="BA32" i="6"/>
  <c r="S35" i="5"/>
  <c r="T14" i="5"/>
  <c r="BG13" i="6"/>
  <c r="BF13" i="6" s="1"/>
  <c r="BE95" i="6"/>
  <c r="BB97" i="6"/>
  <c r="BB95" i="6"/>
  <c r="AJ2028" i="4"/>
  <c r="Y59" i="12"/>
  <c r="BJ84" i="6"/>
  <c r="D113" i="6"/>
  <c r="E115" i="6" s="1"/>
  <c r="AK280" i="4"/>
  <c r="AK285" i="4" s="1"/>
  <c r="AK295" i="4" s="1"/>
  <c r="AK265" i="4"/>
  <c r="AL278" i="4"/>
  <c r="BJ182" i="6"/>
  <c r="AZ22" i="6"/>
  <c r="AR86" i="6"/>
  <c r="D112" i="6"/>
  <c r="E114" i="6" s="1"/>
  <c r="O42" i="5"/>
  <c r="O44" i="5" s="1"/>
  <c r="O47" i="5" s="1"/>
  <c r="O49" i="5" s="1"/>
  <c r="AN39" i="4"/>
  <c r="AN2019" i="4" s="1"/>
  <c r="AN2020" i="4"/>
  <c r="BA171" i="6"/>
  <c r="AM2019" i="4"/>
  <c r="AK44" i="4"/>
  <c r="AD12" i="6" s="1"/>
  <c r="AD13" i="6" s="1"/>
  <c r="W14" i="5" s="1"/>
  <c r="AI2029" i="4"/>
  <c r="AI52" i="4"/>
  <c r="AJ2031" i="4" s="1"/>
  <c r="Y33" i="6"/>
  <c r="BA33" i="6" s="1"/>
  <c r="AJ2029" i="4"/>
  <c r="AO258" i="4"/>
  <c r="AP256" i="4"/>
  <c r="P70" i="8"/>
  <c r="AG9" i="5"/>
  <c r="P15" i="8"/>
  <c r="AM360" i="4"/>
  <c r="AM366" i="4" s="1"/>
  <c r="AL38" i="4"/>
  <c r="AL2018" i="4" s="1"/>
  <c r="AL366" i="4"/>
  <c r="Q35" i="5"/>
  <c r="P35" i="5"/>
  <c r="AN396" i="4"/>
  <c r="AO394" i="4"/>
  <c r="W80" i="6"/>
  <c r="AH2031" i="4"/>
  <c r="AA285" i="12"/>
  <c r="AA14" i="6"/>
  <c r="AH53" i="4"/>
  <c r="Q206" i="14"/>
  <c r="U15" i="15"/>
  <c r="AA204" i="6"/>
  <c r="AA66" i="6"/>
  <c r="Q9" i="8"/>
  <c r="Q136" i="12" s="1"/>
  <c r="R56" i="7"/>
  <c r="R58" i="7" s="1"/>
  <c r="AM238" i="4"/>
  <c r="AL21" i="4"/>
  <c r="AL2003" i="4" s="1"/>
  <c r="T255" i="12"/>
  <c r="BI178" i="6"/>
  <c r="AF21" i="8"/>
  <c r="AL1936" i="4"/>
  <c r="AL140" i="4"/>
  <c r="AK141" i="4"/>
  <c r="AK13" i="4"/>
  <c r="AK1995" i="4" s="1"/>
  <c r="Y172" i="6"/>
  <c r="BA172" i="6" s="1"/>
  <c r="AO386" i="4"/>
  <c r="L40" i="5"/>
  <c r="AI13" i="8"/>
  <c r="R88" i="6"/>
  <c r="R145" i="6"/>
  <c r="K42" i="5"/>
  <c r="K44" i="5" s="1"/>
  <c r="K47" i="5" s="1"/>
  <c r="AO39" i="4"/>
  <c r="AP361" i="4"/>
  <c r="AE84" i="6"/>
  <c r="AR51" i="5"/>
  <c r="AR50" i="5" s="1"/>
  <c r="L52" i="5"/>
  <c r="S113" i="6"/>
  <c r="S138" i="6"/>
  <c r="S112" i="6"/>
  <c r="L51" i="5"/>
  <c r="S106" i="6"/>
  <c r="S118" i="6" s="1"/>
  <c r="S104" i="6"/>
  <c r="S79" i="8"/>
  <c r="AN1970" i="4"/>
  <c r="AN1972" i="4" s="1"/>
  <c r="AO1951" i="4"/>
  <c r="AN1953" i="4"/>
  <c r="AN1958" i="4" s="1"/>
  <c r="AM1960" i="4"/>
  <c r="AH56" i="8"/>
  <c r="AF178" i="6"/>
  <c r="AF216" i="6"/>
  <c r="BL216" i="6" s="1"/>
  <c r="AF445" i="12"/>
  <c r="AK169" i="4"/>
  <c r="AK15" i="4"/>
  <c r="AK1997" i="4" s="1"/>
  <c r="BK178" i="6"/>
  <c r="AL1938" i="4"/>
  <c r="AM163" i="4"/>
  <c r="AL168" i="4"/>
  <c r="AG370" i="12"/>
  <c r="N104" i="6"/>
  <c r="N106" i="6"/>
  <c r="N118" i="6" s="1"/>
  <c r="BI89" i="6"/>
  <c r="AD89" i="6"/>
  <c r="G51" i="5"/>
  <c r="N112" i="6"/>
  <c r="O98" i="6"/>
  <c r="E54" i="5"/>
  <c r="N138" i="6"/>
  <c r="N113" i="6"/>
  <c r="G52" i="5"/>
  <c r="H54" i="5" s="1"/>
  <c r="AG377" i="12"/>
  <c r="AF451" i="12"/>
  <c r="AF183" i="6"/>
  <c r="BL183" i="6" s="1"/>
  <c r="K125" i="6"/>
  <c r="K122" i="6"/>
  <c r="K117" i="6"/>
  <c r="D53" i="5"/>
  <c r="K124" i="6"/>
  <c r="K121" i="6"/>
  <c r="K114" i="6"/>
  <c r="AP461" i="4"/>
  <c r="AA347" i="12"/>
  <c r="Z368" i="12"/>
  <c r="AO40" i="4"/>
  <c r="AO2020" i="4" s="1"/>
  <c r="AP362" i="4"/>
  <c r="AH19" i="8"/>
  <c r="AG44" i="8"/>
  <c r="G15" i="14"/>
  <c r="E15" i="14"/>
  <c r="D15" i="14"/>
  <c r="C14" i="14"/>
  <c r="F15" i="14"/>
  <c r="C16" i="14"/>
  <c r="J15" i="14"/>
  <c r="H15" i="14"/>
  <c r="I15" i="14"/>
  <c r="O125" i="6"/>
  <c r="O122" i="6"/>
  <c r="AN326" i="4"/>
  <c r="AM31" i="4"/>
  <c r="AM2012" i="4" s="1"/>
  <c r="O121" i="6"/>
  <c r="O124" i="6"/>
  <c r="O117" i="6"/>
  <c r="H53" i="5"/>
  <c r="AH48" i="7"/>
  <c r="AH100" i="6"/>
  <c r="BN100" i="6" s="1"/>
  <c r="T424" i="12"/>
  <c r="T440" i="12"/>
  <c r="P113" i="6"/>
  <c r="I52" i="5"/>
  <c r="I54" i="5" s="1"/>
  <c r="P138" i="6"/>
  <c r="AH55" i="8"/>
  <c r="AM1948" i="4"/>
  <c r="AM1949" i="4" s="1"/>
  <c r="AM1955" i="4" s="1"/>
  <c r="AM1954" i="4"/>
  <c r="AN1947" i="4"/>
  <c r="P112" i="6"/>
  <c r="I51" i="5"/>
  <c r="P79" i="8"/>
  <c r="P98" i="6"/>
  <c r="P106" i="6"/>
  <c r="P118" i="6" s="1"/>
  <c r="P104" i="6"/>
  <c r="AI311" i="12"/>
  <c r="AI49" i="6"/>
  <c r="AI71" i="6" s="1"/>
  <c r="Y215" i="6"/>
  <c r="BA215" i="6" s="1"/>
  <c r="AZ215" i="6" s="1"/>
  <c r="Y185" i="6"/>
  <c r="Y450" i="12"/>
  <c r="AK1957" i="4"/>
  <c r="AK1959" i="4"/>
  <c r="AK1961" i="4" s="1"/>
  <c r="AK1962" i="4" s="1"/>
  <c r="AK1963" i="4" s="1"/>
  <c r="AK1956" i="4"/>
  <c r="AO363" i="4"/>
  <c r="AN41" i="4"/>
  <c r="AE47" i="8"/>
  <c r="U440" i="12"/>
  <c r="U424" i="12"/>
  <c r="M30" i="5"/>
  <c r="M31" i="5" s="1"/>
  <c r="AC337" i="12"/>
  <c r="AC396" i="12" s="1"/>
  <c r="AC421" i="12" s="1"/>
  <c r="AI35" i="8"/>
  <c r="AI14" i="8"/>
  <c r="BK43" i="15"/>
  <c r="L122" i="6"/>
  <c r="L125" i="6"/>
  <c r="L115" i="6"/>
  <c r="AH101" i="6"/>
  <c r="AI18" i="8"/>
  <c r="X343" i="12"/>
  <c r="AX171" i="6"/>
  <c r="R25" i="5"/>
  <c r="AX32" i="6"/>
  <c r="Q27" i="5"/>
  <c r="R28" i="5" s="1"/>
  <c r="AI12" i="8"/>
  <c r="AH27" i="6"/>
  <c r="AI19" i="12"/>
  <c r="L121" i="6"/>
  <c r="L124" i="6"/>
  <c r="L114" i="6"/>
  <c r="BL29" i="15"/>
  <c r="BL30" i="15" s="1"/>
  <c r="BL33" i="15" s="1"/>
  <c r="BL40" i="15"/>
  <c r="BL41" i="15" s="1"/>
  <c r="AO73" i="4"/>
  <c r="AH291" i="12" s="1"/>
  <c r="AG20" i="6"/>
  <c r="E53" i="5"/>
  <c r="L117" i="6"/>
  <c r="L105" i="6"/>
  <c r="AB326" i="12"/>
  <c r="AB410" i="12" s="1"/>
  <c r="AD455" i="12"/>
  <c r="AE359" i="12"/>
  <c r="AD392" i="12"/>
  <c r="AD417" i="12" s="1"/>
  <c r="AG188" i="6"/>
  <c r="AH381" i="12"/>
  <c r="AH268" i="12"/>
  <c r="AG246" i="12"/>
  <c r="BK182" i="6"/>
  <c r="X145" i="6"/>
  <c r="Q42" i="5"/>
  <c r="Q44" i="5" s="1"/>
  <c r="Q47" i="5" s="1"/>
  <c r="X88" i="6"/>
  <c r="AX86" i="6"/>
  <c r="AA159" i="6"/>
  <c r="BG159" i="6" s="1"/>
  <c r="BF159" i="6" s="1"/>
  <c r="AA318" i="12"/>
  <c r="AA369" i="12" s="1"/>
  <c r="O371" i="12"/>
  <c r="O414" i="12" s="1"/>
  <c r="O338" i="12"/>
  <c r="O364" i="12" s="1"/>
  <c r="AO364" i="4"/>
  <c r="AN42" i="4"/>
  <c r="AN2022" i="4" s="1"/>
  <c r="N179" i="6"/>
  <c r="N446" i="12"/>
  <c r="N401" i="12"/>
  <c r="N394" i="12" s="1"/>
  <c r="N400" i="12" s="1"/>
  <c r="O27" i="5"/>
  <c r="AR32" i="6"/>
  <c r="BI180" i="6"/>
  <c r="U343" i="12"/>
  <c r="U32" i="6"/>
  <c r="U172" i="6"/>
  <c r="M446" i="12"/>
  <c r="M179" i="6"/>
  <c r="M401" i="12"/>
  <c r="M394" i="12" s="1"/>
  <c r="M400" i="12" s="1"/>
  <c r="AE163" i="6"/>
  <c r="BK163" i="6" s="1"/>
  <c r="AF321" i="12"/>
  <c r="AF162" i="6"/>
  <c r="BL162" i="6" s="1"/>
  <c r="P364" i="12"/>
  <c r="P435" i="12"/>
  <c r="P436" i="12" s="1"/>
  <c r="BJ180" i="6"/>
  <c r="AK17" i="4"/>
  <c r="AK1999" i="4" s="1"/>
  <c r="AK213" i="4"/>
  <c r="O230" i="12"/>
  <c r="O231" i="12" s="1"/>
  <c r="N172" i="6"/>
  <c r="BA177" i="6"/>
  <c r="AZ177" i="6" s="1"/>
  <c r="Z444" i="12"/>
  <c r="Z177" i="6"/>
  <c r="T379" i="12"/>
  <c r="T189" i="6"/>
  <c r="T143" i="6" s="1"/>
  <c r="BN42" i="15"/>
  <c r="BN43" i="15" s="1"/>
  <c r="M32" i="5"/>
  <c r="M33" i="5" s="1"/>
  <c r="AM209" i="4"/>
  <c r="AM1941" i="4" s="1"/>
  <c r="AL212" i="4"/>
  <c r="AE282" i="12"/>
  <c r="AE31" i="12" s="1"/>
  <c r="AL2017" i="4"/>
  <c r="AE11" i="6"/>
  <c r="BJ181" i="6"/>
  <c r="AE181" i="6"/>
  <c r="AE448" i="12"/>
  <c r="AM43" i="4"/>
  <c r="AN365" i="4"/>
  <c r="M172" i="6"/>
  <c r="AO287" i="4"/>
  <c r="U33" i="7"/>
  <c r="AO283" i="4"/>
  <c r="N32" i="5"/>
  <c r="U379" i="12"/>
  <c r="BO42" i="15"/>
  <c r="BO43" i="15" s="1"/>
  <c r="U189" i="6"/>
  <c r="U143" i="6" s="1"/>
  <c r="AE372" i="12"/>
  <c r="AN37" i="4"/>
  <c r="AN355" i="4"/>
  <c r="AF11" i="6"/>
  <c r="AF282" i="12"/>
  <c r="AF31" i="12" s="1"/>
  <c r="AF38" i="6" s="1"/>
  <c r="AM2017" i="4"/>
  <c r="AK46" i="5"/>
  <c r="AK52" i="5"/>
  <c r="AL57" i="5"/>
  <c r="O31" i="5"/>
  <c r="AN289" i="4"/>
  <c r="AN293" i="4" s="1"/>
  <c r="AN30" i="4"/>
  <c r="AN2011" i="4" s="1"/>
  <c r="AO320" i="4"/>
  <c r="AF322" i="12"/>
  <c r="AF373" i="12" s="1"/>
  <c r="AF164" i="6"/>
  <c r="BL164" i="6" s="1"/>
  <c r="O80" i="8"/>
  <c r="O83" i="8"/>
  <c r="O149" i="6"/>
  <c r="O22" i="6"/>
  <c r="O171" i="6"/>
  <c r="O148" i="6"/>
  <c r="O150" i="6"/>
  <c r="O82" i="8"/>
  <c r="O132" i="6"/>
  <c r="BI48" i="15"/>
  <c r="BI49" i="15" s="1"/>
  <c r="O147" i="6"/>
  <c r="O81" i="8"/>
  <c r="P22" i="6"/>
  <c r="Q364" i="12"/>
  <c r="Q401" i="12"/>
  <c r="Q435" i="12"/>
  <c r="Q402" i="12"/>
  <c r="AA301" i="12"/>
  <c r="AA37" i="6"/>
  <c r="AE165" i="6"/>
  <c r="BK165" i="6" s="1"/>
  <c r="AH331" i="12"/>
  <c r="AN51" i="4"/>
  <c r="AN2030" i="4" s="1"/>
  <c r="AO404" i="4"/>
  <c r="AL50" i="4"/>
  <c r="AL2029" i="4" s="1"/>
  <c r="AL400" i="4"/>
  <c r="AM399" i="4"/>
  <c r="AN397" i="4"/>
  <c r="AN387" i="4"/>
  <c r="AM389" i="4"/>
  <c r="AL49" i="4"/>
  <c r="AL390" i="4"/>
  <c r="AC14" i="6"/>
  <c r="AC285" i="12"/>
  <c r="AC53" i="12" s="1"/>
  <c r="AG134" i="12" l="1"/>
  <c r="AJ297" i="4"/>
  <c r="AK297" i="4" s="1"/>
  <c r="AR136" i="4"/>
  <c r="AH135" i="12"/>
  <c r="AH143" i="12" s="1"/>
  <c r="AJ12" i="8"/>
  <c r="AJ134" i="12" s="1"/>
  <c r="BZ39" i="15"/>
  <c r="BZ23" i="15"/>
  <c r="BZ24" i="15"/>
  <c r="BZ28" i="15"/>
  <c r="AK20" i="8"/>
  <c r="AL36" i="8"/>
  <c r="AJ18" i="8"/>
  <c r="AJ35" i="8"/>
  <c r="AJ13" i="8"/>
  <c r="AK43" i="8"/>
  <c r="AK34" i="8"/>
  <c r="AL45" i="8"/>
  <c r="AK44" i="7"/>
  <c r="AI41" i="8"/>
  <c r="AW33" i="6"/>
  <c r="AP345" i="4"/>
  <c r="AP348" i="4" s="1"/>
  <c r="AP354" i="4" s="1"/>
  <c r="AO345" i="4"/>
  <c r="AO348" i="4" s="1"/>
  <c r="AO354" i="4" s="1"/>
  <c r="AO355" i="4" s="1"/>
  <c r="AG135" i="12"/>
  <c r="AG143" i="12" s="1"/>
  <c r="W174" i="12"/>
  <c r="W172" i="12"/>
  <c r="W173" i="12"/>
  <c r="AI134" i="12"/>
  <c r="M98" i="6"/>
  <c r="BQ48" i="15"/>
  <c r="BQ49" i="15" s="1"/>
  <c r="W117" i="12"/>
  <c r="W80" i="12"/>
  <c r="W112" i="12"/>
  <c r="W122" i="12"/>
  <c r="W85" i="12"/>
  <c r="W77" i="12"/>
  <c r="K40" i="5"/>
  <c r="O80" i="12"/>
  <c r="O117" i="12"/>
  <c r="AR88" i="6"/>
  <c r="V94" i="6"/>
  <c r="V150" i="6" s="1"/>
  <c r="Q138" i="12"/>
  <c r="Q153" i="12"/>
  <c r="Q88" i="6"/>
  <c r="J42" i="5"/>
  <c r="J44" i="5" s="1"/>
  <c r="J47" i="5" s="1"/>
  <c r="K48" i="5" s="1"/>
  <c r="Q145" i="6"/>
  <c r="Q137" i="12"/>
  <c r="Q139" i="12" s="1"/>
  <c r="BM101" i="6"/>
  <c r="Y413" i="12"/>
  <c r="AT22" i="6"/>
  <c r="W53" i="6"/>
  <c r="W32" i="6"/>
  <c r="X33" i="6" s="1"/>
  <c r="AX33" i="6" s="1"/>
  <c r="W339" i="12"/>
  <c r="W434" i="12" s="1"/>
  <c r="AW22" i="6"/>
  <c r="W80" i="8"/>
  <c r="P24" i="5"/>
  <c r="Q25" i="5" s="1"/>
  <c r="AU21" i="6"/>
  <c r="W81" i="8"/>
  <c r="AU168" i="6"/>
  <c r="AK339" i="12" s="1"/>
  <c r="AK434" i="12" s="1"/>
  <c r="W83" i="8"/>
  <c r="W147" i="6"/>
  <c r="W132" i="6"/>
  <c r="X22" i="6"/>
  <c r="AX22" i="6" s="1"/>
  <c r="W82" i="8"/>
  <c r="W22" i="6"/>
  <c r="W148" i="6"/>
  <c r="W171" i="6"/>
  <c r="AU171" i="6" s="1"/>
  <c r="AK343" i="12" s="1"/>
  <c r="W59" i="12"/>
  <c r="Q13" i="5"/>
  <c r="AK269" i="4"/>
  <c r="AL269" i="4" s="1"/>
  <c r="AM269" i="4" s="1"/>
  <c r="AN269" i="4" s="1"/>
  <c r="AO269" i="4" s="1"/>
  <c r="AP269" i="4" s="1"/>
  <c r="AQ269" i="4" s="1"/>
  <c r="AR269" i="4" s="1"/>
  <c r="AS269" i="4" s="1"/>
  <c r="F51" i="5"/>
  <c r="M112" i="6"/>
  <c r="M114" i="6" s="1"/>
  <c r="AN2021" i="4"/>
  <c r="AP173" i="4"/>
  <c r="AP175" i="4" s="1"/>
  <c r="M113" i="6"/>
  <c r="M125" i="6" s="1"/>
  <c r="AK470" i="4"/>
  <c r="AK1988" i="4" s="1"/>
  <c r="AI298" i="4"/>
  <c r="AI29" i="4" s="1"/>
  <c r="AI2010" i="4" s="1"/>
  <c r="AQ91" i="6"/>
  <c r="AQ94" i="6"/>
  <c r="AC47" i="6"/>
  <c r="X89" i="6"/>
  <c r="X94" i="6" s="1"/>
  <c r="AU89" i="6"/>
  <c r="AT89" i="6" s="1"/>
  <c r="F52" i="5"/>
  <c r="F54" i="5" s="1"/>
  <c r="N98" i="6"/>
  <c r="M104" i="6"/>
  <c r="F53" i="5" s="1"/>
  <c r="Y443" i="12"/>
  <c r="AV29" i="5"/>
  <c r="AV28" i="5" s="1"/>
  <c r="AQ243" i="4"/>
  <c r="AQ22" i="4" s="1"/>
  <c r="AQ2004" i="4" s="1"/>
  <c r="Z144" i="6"/>
  <c r="AF182" i="6"/>
  <c r="AF449" i="12"/>
  <c r="AG199" i="12"/>
  <c r="AG202" i="12" s="1"/>
  <c r="AJ2025" i="4"/>
  <c r="AC284" i="12"/>
  <c r="AC52" i="12" s="1"/>
  <c r="Y86" i="6"/>
  <c r="AK52" i="4"/>
  <c r="AK53" i="4" s="1"/>
  <c r="AM469" i="4"/>
  <c r="AL470" i="4"/>
  <c r="AH2010" i="4"/>
  <c r="AQ131" i="4"/>
  <c r="AR131" i="4" s="1"/>
  <c r="AC293" i="12"/>
  <c r="AC60" i="12" s="1"/>
  <c r="AC19" i="6"/>
  <c r="AA41" i="6"/>
  <c r="AA53" i="12"/>
  <c r="AA10" i="6"/>
  <c r="AA200" i="6" s="1"/>
  <c r="AA281" i="12"/>
  <c r="AA49" i="12" s="1"/>
  <c r="AN217" i="4"/>
  <c r="AN18" i="4" s="1"/>
  <c r="AN2000" i="4" s="1"/>
  <c r="AO205" i="4"/>
  <c r="AO207" i="4" s="1"/>
  <c r="Z131" i="6"/>
  <c r="Z86" i="6"/>
  <c r="AG288" i="12"/>
  <c r="AN2035" i="4"/>
  <c r="Z81" i="6"/>
  <c r="BD81" i="6" s="1"/>
  <c r="K5" i="7"/>
  <c r="K5" i="12"/>
  <c r="AA63" i="6"/>
  <c r="AF200" i="12"/>
  <c r="AJ101" i="6"/>
  <c r="AJ127" i="6" s="1"/>
  <c r="S5" i="4"/>
  <c r="L5" i="12" s="1"/>
  <c r="AA201" i="6"/>
  <c r="AP40" i="4"/>
  <c r="AP2020" i="4" s="1"/>
  <c r="AQ362" i="4"/>
  <c r="U12" i="15"/>
  <c r="BA80" i="6"/>
  <c r="K5" i="8"/>
  <c r="K65" i="8" s="1"/>
  <c r="AH1988" i="4"/>
  <c r="AA19" i="6" s="1"/>
  <c r="AJ100" i="6"/>
  <c r="AJ48" i="7"/>
  <c r="AI18" i="6"/>
  <c r="AQ461" i="4"/>
  <c r="AP39" i="4"/>
  <c r="AP2019" i="4" s="1"/>
  <c r="AQ361" i="4"/>
  <c r="AQ386" i="4"/>
  <c r="AR384" i="4"/>
  <c r="AJ71" i="6"/>
  <c r="AR159" i="4"/>
  <c r="AQ345" i="4"/>
  <c r="AQ348" i="4" s="1"/>
  <c r="AR343" i="4"/>
  <c r="Y149" i="6"/>
  <c r="Y144" i="6"/>
  <c r="AI27" i="6"/>
  <c r="AJ19" i="12"/>
  <c r="AJ14" i="8"/>
  <c r="AP258" i="4"/>
  <c r="AQ256" i="4"/>
  <c r="AR256" i="4" s="1"/>
  <c r="AJ50" i="6"/>
  <c r="AJ312" i="12"/>
  <c r="BG40" i="6"/>
  <c r="BF40" i="6" s="1"/>
  <c r="AK311" i="12"/>
  <c r="AK49" i="6"/>
  <c r="W15" i="5"/>
  <c r="BT45" i="15"/>
  <c r="BT46" i="15" s="1"/>
  <c r="Y131" i="6"/>
  <c r="BS45" i="15"/>
  <c r="BS46" i="15" s="1"/>
  <c r="G114" i="6"/>
  <c r="F124" i="6"/>
  <c r="F114" i="6"/>
  <c r="F121" i="6"/>
  <c r="AU28" i="5"/>
  <c r="V15" i="5"/>
  <c r="AH312" i="12"/>
  <c r="AL44" i="4"/>
  <c r="AE283" i="12" s="1"/>
  <c r="AE32" i="12" s="1"/>
  <c r="AE39" i="6" s="1"/>
  <c r="AH50" i="6"/>
  <c r="AH72" i="6" s="1"/>
  <c r="AM2035" i="4"/>
  <c r="AF18" i="6"/>
  <c r="Y22" i="5" s="1"/>
  <c r="Y23" i="5" s="1"/>
  <c r="AF288" i="12"/>
  <c r="Z233" i="12"/>
  <c r="AH2014" i="4"/>
  <c r="Z10" i="6"/>
  <c r="AG34" i="4"/>
  <c r="AH34" i="4"/>
  <c r="AG2014" i="4"/>
  <c r="Z281" i="12"/>
  <c r="AM1939" i="4"/>
  <c r="AM180" i="4"/>
  <c r="AM16" i="4" s="1"/>
  <c r="AN177" i="4"/>
  <c r="AN1939" i="4" s="1"/>
  <c r="AK2024" i="4"/>
  <c r="AD283" i="12"/>
  <c r="AD32" i="12" s="1"/>
  <c r="AK45" i="4"/>
  <c r="AK46" i="4" s="1"/>
  <c r="AD61" i="6"/>
  <c r="AK16" i="4"/>
  <c r="AK1998" i="4" s="1"/>
  <c r="AK181" i="4"/>
  <c r="AL1939" i="4"/>
  <c r="AL180" i="4"/>
  <c r="AO2019" i="4"/>
  <c r="D114" i="6"/>
  <c r="AE139" i="6"/>
  <c r="BG37" i="6"/>
  <c r="BF37" i="6" s="1"/>
  <c r="T16" i="5"/>
  <c r="T17" i="5" s="1"/>
  <c r="BG14" i="6"/>
  <c r="BF14" i="6" s="1"/>
  <c r="BE98" i="6"/>
  <c r="BB98" i="6"/>
  <c r="T15" i="5"/>
  <c r="U15" i="5"/>
  <c r="D122" i="6"/>
  <c r="D115" i="6"/>
  <c r="D125" i="6"/>
  <c r="AJ53" i="4"/>
  <c r="AL280" i="4"/>
  <c r="AL285" i="4" s="1"/>
  <c r="AL295" i="4" s="1"/>
  <c r="AM278" i="4"/>
  <c r="AL265" i="4"/>
  <c r="AK266" i="4"/>
  <c r="AK267" i="4"/>
  <c r="D121" i="6"/>
  <c r="D124" i="6"/>
  <c r="AM377" i="4"/>
  <c r="AM375" i="4"/>
  <c r="AB285" i="12"/>
  <c r="AB14" i="6"/>
  <c r="AI2031" i="4"/>
  <c r="AI53" i="4"/>
  <c r="AA305" i="12"/>
  <c r="AG12" i="5"/>
  <c r="P29" i="8"/>
  <c r="Q15" i="8"/>
  <c r="Q70" i="8"/>
  <c r="AH9" i="5"/>
  <c r="BQ45" i="15"/>
  <c r="BQ46" i="15" s="1"/>
  <c r="W131" i="6"/>
  <c r="W144" i="6"/>
  <c r="W86" i="6"/>
  <c r="W153" i="12" s="1"/>
  <c r="W81" i="6"/>
  <c r="AU81" i="6" s="1"/>
  <c r="AU80" i="6"/>
  <c r="X81" i="6"/>
  <c r="AX81" i="6" s="1"/>
  <c r="W149" i="6"/>
  <c r="P128" i="6"/>
  <c r="P129" i="6" s="1"/>
  <c r="P87" i="8"/>
  <c r="P71" i="8"/>
  <c r="P91" i="8"/>
  <c r="P92" i="8" s="1"/>
  <c r="AG56" i="5"/>
  <c r="AG58" i="5" s="1"/>
  <c r="AV15" i="15"/>
  <c r="BU15" i="15" s="1"/>
  <c r="AO396" i="4"/>
  <c r="AP394" i="4"/>
  <c r="AN360" i="4"/>
  <c r="AN366" i="4" s="1"/>
  <c r="AM38" i="4"/>
  <c r="AM2018" i="4" s="1"/>
  <c r="R9" i="8"/>
  <c r="R136" i="12" s="1"/>
  <c r="R137" i="12" s="1"/>
  <c r="R139" i="12" s="1"/>
  <c r="S56" i="7"/>
  <c r="S58" i="7" s="1"/>
  <c r="AL375" i="4"/>
  <c r="AL377" i="4"/>
  <c r="AL378" i="4" s="1"/>
  <c r="AM21" i="4"/>
  <c r="AM2003" i="4" s="1"/>
  <c r="AN238" i="4"/>
  <c r="AG21" i="8"/>
  <c r="AM1936" i="4"/>
  <c r="AM140" i="4"/>
  <c r="AN135" i="4"/>
  <c r="AL141" i="4"/>
  <c r="AL13" i="4"/>
  <c r="AL1995" i="4" s="1"/>
  <c r="R91" i="6"/>
  <c r="R94" i="6"/>
  <c r="K49" i="5"/>
  <c r="L48" i="5"/>
  <c r="BK84" i="6"/>
  <c r="AE52" i="7"/>
  <c r="AF84" i="6"/>
  <c r="BL84" i="6" s="1"/>
  <c r="C66" i="14"/>
  <c r="S117" i="6"/>
  <c r="L53" i="5"/>
  <c r="S124" i="6"/>
  <c r="S121" i="6"/>
  <c r="S125" i="6"/>
  <c r="S122" i="6"/>
  <c r="AO1970" i="4"/>
  <c r="AO1972" i="4" s="1"/>
  <c r="AP1951" i="4"/>
  <c r="AQ1951" i="4" s="1"/>
  <c r="AO1953" i="4"/>
  <c r="AO1958" i="4" s="1"/>
  <c r="AN1960" i="4"/>
  <c r="AI56" i="8"/>
  <c r="AG178" i="6"/>
  <c r="AG216" i="6"/>
  <c r="BM216" i="6" s="1"/>
  <c r="AG445" i="12"/>
  <c r="AH370" i="12"/>
  <c r="BL178" i="6"/>
  <c r="AL15" i="4"/>
  <c r="AL1997" i="4" s="1"/>
  <c r="AL169" i="4"/>
  <c r="AM1938" i="4"/>
  <c r="AN163" i="4"/>
  <c r="AM168" i="4"/>
  <c r="G53" i="5"/>
  <c r="N117" i="6"/>
  <c r="N122" i="6"/>
  <c r="N125" i="6"/>
  <c r="N121" i="6"/>
  <c r="N124" i="6"/>
  <c r="O105" i="6"/>
  <c r="O114" i="6"/>
  <c r="AE89" i="6"/>
  <c r="BJ89" i="6"/>
  <c r="O115" i="6"/>
  <c r="M39" i="5"/>
  <c r="M40" i="5" s="1"/>
  <c r="AH377" i="12"/>
  <c r="AG183" i="6"/>
  <c r="BM183" i="6" s="1"/>
  <c r="AG451" i="12"/>
  <c r="AI312" i="12"/>
  <c r="AI50" i="6"/>
  <c r="N31" i="5"/>
  <c r="AO2035" i="4"/>
  <c r="AH18" i="6"/>
  <c r="AH288" i="12"/>
  <c r="Z176" i="6"/>
  <c r="Z413" i="12"/>
  <c r="Z443" i="12"/>
  <c r="BA176" i="6"/>
  <c r="AZ176" i="6" s="1"/>
  <c r="AZ30" i="6" s="1"/>
  <c r="AB347" i="12"/>
  <c r="AH44" i="8"/>
  <c r="AI19" i="8"/>
  <c r="AP363" i="4"/>
  <c r="AO41" i="4"/>
  <c r="AO2021" i="4" s="1"/>
  <c r="BA185" i="6"/>
  <c r="AZ185" i="6" s="1"/>
  <c r="O205" i="14"/>
  <c r="Z185" i="6"/>
  <c r="Z215" i="6"/>
  <c r="Z450" i="12"/>
  <c r="E14" i="14"/>
  <c r="F14" i="14"/>
  <c r="C13" i="14"/>
  <c r="G14" i="14"/>
  <c r="J14" i="14"/>
  <c r="D14" i="14"/>
  <c r="I14" i="14"/>
  <c r="H14" i="14"/>
  <c r="P122" i="6"/>
  <c r="P125" i="6"/>
  <c r="P115" i="6"/>
  <c r="AI100" i="6"/>
  <c r="AI48" i="7"/>
  <c r="AL1957" i="4"/>
  <c r="AL1956" i="4"/>
  <c r="AL1959" i="4"/>
  <c r="AL1961" i="4" s="1"/>
  <c r="AL1962" i="4" s="1"/>
  <c r="AL1963" i="4" s="1"/>
  <c r="P105" i="6"/>
  <c r="C27" i="14"/>
  <c r="I53" i="5"/>
  <c r="P117" i="6"/>
  <c r="P114" i="6"/>
  <c r="P121" i="6"/>
  <c r="P124" i="6"/>
  <c r="AN1948" i="4"/>
  <c r="AN1949" i="4" s="1"/>
  <c r="AN1955" i="4" s="1"/>
  <c r="AN1954" i="4"/>
  <c r="AO1947" i="4"/>
  <c r="AI55" i="8"/>
  <c r="AN31" i="4"/>
  <c r="AN2012" i="4" s="1"/>
  <c r="AO326" i="4"/>
  <c r="AF47" i="8"/>
  <c r="V424" i="12"/>
  <c r="I16" i="14"/>
  <c r="C17" i="14"/>
  <c r="F16" i="14"/>
  <c r="G16" i="14"/>
  <c r="D16" i="14"/>
  <c r="H16" i="14"/>
  <c r="E16" i="14"/>
  <c r="J16" i="14"/>
  <c r="AD337" i="12"/>
  <c r="AD396" i="12" s="1"/>
  <c r="AD421" i="12" s="1"/>
  <c r="AI101" i="6"/>
  <c r="AI127" i="6" s="1"/>
  <c r="BM40" i="15"/>
  <c r="BM41" i="15" s="1"/>
  <c r="BM29" i="15"/>
  <c r="BM30" i="15" s="1"/>
  <c r="BM33" i="15" s="1"/>
  <c r="AH127" i="6"/>
  <c r="BN101" i="6"/>
  <c r="BL43" i="15"/>
  <c r="BL46" i="15"/>
  <c r="BL49" i="15"/>
  <c r="AP73" i="4"/>
  <c r="AQ73" i="4" s="1"/>
  <c r="AH20" i="6"/>
  <c r="AE455" i="12"/>
  <c r="AC326" i="12"/>
  <c r="AC410" i="12" s="1"/>
  <c r="AR94" i="6"/>
  <c r="AR91" i="6"/>
  <c r="AE392" i="12"/>
  <c r="AE417" i="12" s="1"/>
  <c r="AF359" i="12"/>
  <c r="AH246" i="12"/>
  <c r="AI268" i="12"/>
  <c r="AF302" i="12"/>
  <c r="AH374" i="12"/>
  <c r="AG449" i="12"/>
  <c r="AG182" i="6"/>
  <c r="AI381" i="12"/>
  <c r="AH188" i="6"/>
  <c r="AX88" i="6"/>
  <c r="N225" i="14"/>
  <c r="N230" i="14" s="1"/>
  <c r="H198" i="14" s="1"/>
  <c r="N224" i="14"/>
  <c r="N226" i="14"/>
  <c r="N231" i="14" s="1"/>
  <c r="Q49" i="5"/>
  <c r="N27" i="5"/>
  <c r="N28" i="5" s="1"/>
  <c r="U33" i="6"/>
  <c r="AG322" i="12"/>
  <c r="AG373" i="12" s="1"/>
  <c r="AG164" i="6"/>
  <c r="BM164" i="6" s="1"/>
  <c r="AC39" i="6"/>
  <c r="M361" i="12"/>
  <c r="M419" i="12"/>
  <c r="M425" i="12" s="1"/>
  <c r="O172" i="6"/>
  <c r="P172" i="6"/>
  <c r="AF448" i="12"/>
  <c r="AF181" i="6"/>
  <c r="AO30" i="4"/>
  <c r="AO2011" i="4" s="1"/>
  <c r="AP320" i="4"/>
  <c r="AE180" i="6"/>
  <c r="AE447" i="12"/>
  <c r="U34" i="7"/>
  <c r="U55" i="7"/>
  <c r="U58" i="7" s="1"/>
  <c r="V56" i="7" s="1"/>
  <c r="AL47" i="5"/>
  <c r="V34" i="7"/>
  <c r="U36" i="7"/>
  <c r="U37" i="7" s="1"/>
  <c r="AP287" i="4"/>
  <c r="BK181" i="6"/>
  <c r="AG162" i="6"/>
  <c r="BM162" i="6" s="1"/>
  <c r="AG321" i="12"/>
  <c r="N361" i="12"/>
  <c r="N419" i="12"/>
  <c r="N425" i="12" s="1"/>
  <c r="AM2023" i="4"/>
  <c r="AO42" i="4"/>
  <c r="AO2022" i="4" s="1"/>
  <c r="AP364" i="4"/>
  <c r="O446" i="12"/>
  <c r="P446" i="12"/>
  <c r="O179" i="6"/>
  <c r="O401" i="12"/>
  <c r="O394" i="12" s="1"/>
  <c r="O400" i="12" s="1"/>
  <c r="AE416" i="12"/>
  <c r="N33" i="5"/>
  <c r="O33" i="5"/>
  <c r="AO289" i="4"/>
  <c r="AO293" i="4" s="1"/>
  <c r="AL17" i="4"/>
  <c r="AL1999" i="4" s="1"/>
  <c r="AL213" i="4"/>
  <c r="AB159" i="6"/>
  <c r="AB318" i="12"/>
  <c r="AB369" i="12" s="1"/>
  <c r="AP283" i="4"/>
  <c r="AQ283" i="4" s="1"/>
  <c r="AR283" i="4" s="1"/>
  <c r="AS283" i="4" s="1"/>
  <c r="AO365" i="4"/>
  <c r="AN43" i="4"/>
  <c r="AN2023" i="4" s="1"/>
  <c r="V33" i="6"/>
  <c r="AR33" i="6" s="1"/>
  <c r="AG282" i="12"/>
  <c r="AG31" i="12" s="1"/>
  <c r="AG38" i="6" s="1"/>
  <c r="AG11" i="6"/>
  <c r="AN2017" i="4"/>
  <c r="AE302" i="12"/>
  <c r="AE38" i="6"/>
  <c r="AF61" i="6" s="1"/>
  <c r="AM212" i="4"/>
  <c r="AN209" i="4"/>
  <c r="AN1941" i="4" s="1"/>
  <c r="T87" i="8"/>
  <c r="T383" i="12"/>
  <c r="T192" i="6"/>
  <c r="T80" i="6"/>
  <c r="T190" i="6"/>
  <c r="T403" i="12"/>
  <c r="T65" i="7"/>
  <c r="T66" i="7" s="1"/>
  <c r="T90" i="8"/>
  <c r="T92" i="8" s="1"/>
  <c r="M34" i="5"/>
  <c r="M35" i="5" s="1"/>
  <c r="T130" i="6"/>
  <c r="T147" i="6"/>
  <c r="AF163" i="6"/>
  <c r="BL163" i="6" s="1"/>
  <c r="AF372" i="12"/>
  <c r="AP37" i="4"/>
  <c r="U65" i="7"/>
  <c r="U66" i="7" s="1"/>
  <c r="U90" i="8"/>
  <c r="U92" i="8" s="1"/>
  <c r="U190" i="6"/>
  <c r="U383" i="12"/>
  <c r="V190" i="6"/>
  <c r="AR190" i="6" s="1"/>
  <c r="U87" i="8"/>
  <c r="U403" i="12"/>
  <c r="U130" i="6"/>
  <c r="U80" i="6"/>
  <c r="N34" i="5"/>
  <c r="U147" i="6"/>
  <c r="U192" i="6"/>
  <c r="AA444" i="12"/>
  <c r="AA177" i="6"/>
  <c r="T390" i="12"/>
  <c r="AF165" i="6"/>
  <c r="BL165" i="6" s="1"/>
  <c r="Q436" i="12"/>
  <c r="R436" i="12"/>
  <c r="AA60" i="6"/>
  <c r="U11" i="15"/>
  <c r="AI331" i="12"/>
  <c r="AO51" i="4"/>
  <c r="AO2030" i="4" s="1"/>
  <c r="AP404" i="4"/>
  <c r="AM50" i="4"/>
  <c r="AM2029" i="4" s="1"/>
  <c r="AM400" i="4"/>
  <c r="AN399" i="4"/>
  <c r="AO397" i="4"/>
  <c r="V16" i="5"/>
  <c r="AM390" i="4"/>
  <c r="AM49" i="4"/>
  <c r="AL52" i="4"/>
  <c r="AL2028" i="4"/>
  <c r="AO387" i="4"/>
  <c r="AN389" i="4"/>
  <c r="AS136" i="4" l="1"/>
  <c r="W17" i="15"/>
  <c r="AL297" i="4"/>
  <c r="AM297" i="4" s="1"/>
  <c r="AN297" i="4" s="1"/>
  <c r="AK298" i="4"/>
  <c r="AL298" i="4"/>
  <c r="AJ298" i="4"/>
  <c r="AJ29" i="4" s="1"/>
  <c r="AJ2010" i="4" s="1"/>
  <c r="AJ41" i="8"/>
  <c r="AK35" i="8"/>
  <c r="AJ56" i="8"/>
  <c r="AJ55" i="8"/>
  <c r="AL44" i="7"/>
  <c r="AL34" i="8"/>
  <c r="AK13" i="8"/>
  <c r="AK18" i="8"/>
  <c r="AL20" i="8"/>
  <c r="AJ19" i="8"/>
  <c r="AL43" i="8"/>
  <c r="AK12" i="8"/>
  <c r="V103" i="6"/>
  <c r="AR103" i="6" s="1"/>
  <c r="V97" i="6"/>
  <c r="AR258" i="4"/>
  <c r="AS256" i="4"/>
  <c r="AS258" i="4" s="1"/>
  <c r="AR161" i="4"/>
  <c r="AS159" i="4"/>
  <c r="AS161" i="4" s="1"/>
  <c r="AW29" i="5"/>
  <c r="AS131" i="4"/>
  <c r="AS133" i="4" s="1"/>
  <c r="AK71" i="6"/>
  <c r="AL71" i="6"/>
  <c r="AR345" i="4"/>
  <c r="AR348" i="4" s="1"/>
  <c r="AR354" i="4" s="1"/>
  <c r="AS343" i="4"/>
  <c r="AS345" i="4" s="1"/>
  <c r="AS348" i="4" s="1"/>
  <c r="AR386" i="4"/>
  <c r="AS384" i="4"/>
  <c r="AS386" i="4" s="1"/>
  <c r="AP349" i="4"/>
  <c r="V78" i="8"/>
  <c r="AO349" i="4"/>
  <c r="AP355" i="4"/>
  <c r="AO37" i="4"/>
  <c r="AH282" i="12" s="1"/>
  <c r="AH31" i="12" s="1"/>
  <c r="AH302" i="12" s="1"/>
  <c r="V102" i="6"/>
  <c r="AJ135" i="12"/>
  <c r="AJ143" i="12" s="1"/>
  <c r="AI135" i="12"/>
  <c r="AI143" i="12" s="1"/>
  <c r="BD86" i="6"/>
  <c r="Z153" i="12"/>
  <c r="J48" i="5"/>
  <c r="J49" i="5"/>
  <c r="J50" i="5" s="1"/>
  <c r="Q91" i="6"/>
  <c r="Q94" i="6"/>
  <c r="R95" i="6" s="1"/>
  <c r="BA86" i="6"/>
  <c r="Y153" i="12"/>
  <c r="W33" i="6"/>
  <c r="AU33" i="6" s="1"/>
  <c r="R138" i="12"/>
  <c r="M121" i="6"/>
  <c r="M124" i="6"/>
  <c r="N114" i="6"/>
  <c r="M115" i="6"/>
  <c r="P27" i="5"/>
  <c r="P28" i="5" s="1"/>
  <c r="AU32" i="6"/>
  <c r="P25" i="5"/>
  <c r="P58" i="5"/>
  <c r="BL182" i="6"/>
  <c r="X172" i="6"/>
  <c r="AX172" i="6" s="1"/>
  <c r="W172" i="6"/>
  <c r="AU172" i="6" s="1"/>
  <c r="W343" i="12"/>
  <c r="AK272" i="4"/>
  <c r="AK2031" i="4"/>
  <c r="AD14" i="6"/>
  <c r="W16" i="5" s="1"/>
  <c r="W17" i="5" s="1"/>
  <c r="M105" i="6"/>
  <c r="Y88" i="6"/>
  <c r="AQ173" i="4"/>
  <c r="AQ175" i="4" s="1"/>
  <c r="Y145" i="6"/>
  <c r="N105" i="6"/>
  <c r="M117" i="6"/>
  <c r="AD285" i="12"/>
  <c r="R42" i="5"/>
  <c r="R44" i="5" s="1"/>
  <c r="R47" i="5" s="1"/>
  <c r="R48" i="5" s="1"/>
  <c r="AK474" i="4"/>
  <c r="AD41" i="12" s="1"/>
  <c r="AD47" i="6" s="1"/>
  <c r="N115" i="6"/>
  <c r="M122" i="6"/>
  <c r="U13" i="15"/>
  <c r="G54" i="5"/>
  <c r="X91" i="6"/>
  <c r="AT91" i="6"/>
  <c r="AT94" i="6"/>
  <c r="Y89" i="6"/>
  <c r="AX89" i="6"/>
  <c r="AW89" i="6" s="1"/>
  <c r="AQ102" i="6"/>
  <c r="AQ97" i="6"/>
  <c r="AQ103" i="6"/>
  <c r="AF139" i="6"/>
  <c r="AR243" i="4"/>
  <c r="AO217" i="4"/>
  <c r="AO18" i="4" s="1"/>
  <c r="AO2000" i="4" s="1"/>
  <c r="AH199" i="12"/>
  <c r="AH202" i="12" s="1"/>
  <c r="AG200" i="12"/>
  <c r="T5" i="4"/>
  <c r="AQ133" i="4"/>
  <c r="Z88" i="6"/>
  <c r="BD88" i="6" s="1"/>
  <c r="S42" i="5"/>
  <c r="S44" i="5" s="1"/>
  <c r="S47" i="5" s="1"/>
  <c r="S49" i="5" s="1"/>
  <c r="Z145" i="6"/>
  <c r="AP205" i="4"/>
  <c r="AP207" i="4" s="1"/>
  <c r="AL45" i="4"/>
  <c r="AL46" i="4" s="1"/>
  <c r="AA202" i="6"/>
  <c r="AA64" i="6"/>
  <c r="BG41" i="6"/>
  <c r="BF41" i="6" s="1"/>
  <c r="AE12" i="6"/>
  <c r="AE13" i="6" s="1"/>
  <c r="X14" i="5" s="1"/>
  <c r="X15" i="5" s="1"/>
  <c r="AL474" i="4"/>
  <c r="AE41" i="12" s="1"/>
  <c r="AL1988" i="4"/>
  <c r="AN469" i="4"/>
  <c r="AM470" i="4"/>
  <c r="AD19" i="6"/>
  <c r="AD293" i="12"/>
  <c r="AK2036" i="4"/>
  <c r="T12" i="5"/>
  <c r="BG10" i="6"/>
  <c r="BF10" i="6" s="1"/>
  <c r="AV12" i="15"/>
  <c r="BU12" i="15" s="1"/>
  <c r="AL29" i="4"/>
  <c r="AO177" i="4"/>
  <c r="AO1939" i="4" s="1"/>
  <c r="AN180" i="4"/>
  <c r="AN16" i="4" s="1"/>
  <c r="AN1998" i="4" s="1"/>
  <c r="AI288" i="12"/>
  <c r="AP2035" i="4"/>
  <c r="L5" i="6"/>
  <c r="L5" i="8"/>
  <c r="L65" i="8" s="1"/>
  <c r="L5" i="7"/>
  <c r="AA47" i="6"/>
  <c r="AL2024" i="4"/>
  <c r="AI72" i="6"/>
  <c r="AP30" i="4"/>
  <c r="AP2011" i="4" s="1"/>
  <c r="AQ320" i="4"/>
  <c r="AQ258" i="4"/>
  <c r="AK14" i="8"/>
  <c r="AJ20" i="6"/>
  <c r="AR73" i="4"/>
  <c r="AS73" i="4" s="1"/>
  <c r="AJ291" i="12"/>
  <c r="AQ349" i="4"/>
  <c r="AQ354" i="4"/>
  <c r="AP41" i="4"/>
  <c r="AP2021" i="4" s="1"/>
  <c r="AQ363" i="4"/>
  <c r="AP396" i="4"/>
  <c r="AQ394" i="4"/>
  <c r="AJ72" i="6"/>
  <c r="AK19" i="12"/>
  <c r="AJ27" i="6"/>
  <c r="AQ39" i="4"/>
  <c r="AQ2019" i="4" s="1"/>
  <c r="AR361" i="4"/>
  <c r="AP51" i="4"/>
  <c r="AP2030" i="4" s="1"/>
  <c r="AQ404" i="4"/>
  <c r="AP42" i="4"/>
  <c r="AP2022" i="4" s="1"/>
  <c r="AQ364" i="4"/>
  <c r="AP289" i="4"/>
  <c r="AP293" i="4" s="1"/>
  <c r="AQ287" i="4"/>
  <c r="AI188" i="6"/>
  <c r="AJ381" i="12"/>
  <c r="AI246" i="12"/>
  <c r="AJ268" i="12"/>
  <c r="AQ1953" i="4"/>
  <c r="AQ1958" i="4" s="1"/>
  <c r="AR1951" i="4"/>
  <c r="AS1951" i="4" s="1"/>
  <c r="AQ1970" i="4"/>
  <c r="AQ1972" i="4" s="1"/>
  <c r="AK312" i="12"/>
  <c r="AK50" i="6"/>
  <c r="AR133" i="4"/>
  <c r="AR461" i="4"/>
  <c r="AS461" i="4" s="1"/>
  <c r="AK100" i="6"/>
  <c r="AK48" i="7"/>
  <c r="AQ40" i="4"/>
  <c r="AQ2020" i="4" s="1"/>
  <c r="AR362" i="4"/>
  <c r="AK29" i="4"/>
  <c r="AK101" i="6"/>
  <c r="AK127" i="6" s="1"/>
  <c r="AK2025" i="4"/>
  <c r="BG19" i="6"/>
  <c r="BF19" i="6" s="1"/>
  <c r="U16" i="5"/>
  <c r="V17" i="5" s="1"/>
  <c r="AM181" i="4"/>
  <c r="BD10" i="6"/>
  <c r="BC10" i="6" s="1"/>
  <c r="BC21" i="6" s="1"/>
  <c r="Z21" i="6"/>
  <c r="Z200" i="6"/>
  <c r="S12" i="5"/>
  <c r="Z292" i="12"/>
  <c r="Z49" i="12"/>
  <c r="Z234" i="12"/>
  <c r="Z265" i="12"/>
  <c r="Z266" i="12" s="1"/>
  <c r="AG77" i="4"/>
  <c r="Z230" i="12"/>
  <c r="Z231" i="12" s="1"/>
  <c r="AG2038" i="4"/>
  <c r="AD284" i="12"/>
  <c r="AL181" i="4"/>
  <c r="AL16" i="4"/>
  <c r="AL1998" i="4" s="1"/>
  <c r="BH159" i="6"/>
  <c r="BD159" i="6"/>
  <c r="BC159" i="6" s="1"/>
  <c r="BD215" i="6"/>
  <c r="BC215" i="6" s="1"/>
  <c r="AL267" i="4"/>
  <c r="AL272" i="4" s="1"/>
  <c r="AL266" i="4"/>
  <c r="AM265" i="4"/>
  <c r="AM280" i="4"/>
  <c r="AM285" i="4" s="1"/>
  <c r="AM295" i="4" s="1"/>
  <c r="AM298" i="4" s="1"/>
  <c r="AN278" i="4"/>
  <c r="AN280" i="4" s="1"/>
  <c r="AN285" i="4" s="1"/>
  <c r="AN295" i="4" s="1"/>
  <c r="AM44" i="4"/>
  <c r="AF283" i="12" s="1"/>
  <c r="AN38" i="4"/>
  <c r="AN2018" i="4" s="1"/>
  <c r="AO360" i="4"/>
  <c r="AI9" i="5"/>
  <c r="R15" i="8"/>
  <c r="R70" i="8"/>
  <c r="AH12" i="5"/>
  <c r="Q29" i="8"/>
  <c r="Q91" i="8"/>
  <c r="Q92" i="8" s="1"/>
  <c r="Q71" i="8"/>
  <c r="Q128" i="6"/>
  <c r="Q129" i="6" s="1"/>
  <c r="AH56" i="5"/>
  <c r="AH58" i="5" s="1"/>
  <c r="Q87" i="8"/>
  <c r="P78" i="8"/>
  <c r="P72" i="8"/>
  <c r="AG59" i="5" s="1"/>
  <c r="AG60" i="5" s="1"/>
  <c r="P51" i="8"/>
  <c r="AU86" i="6"/>
  <c r="P42" i="5"/>
  <c r="P44" i="5" s="1"/>
  <c r="P47" i="5" s="1"/>
  <c r="W145" i="6"/>
  <c r="W88" i="6"/>
  <c r="AG18" i="5"/>
  <c r="AG11" i="5"/>
  <c r="S9" i="8"/>
  <c r="S136" i="12" s="1"/>
  <c r="S137" i="12" s="1"/>
  <c r="T56" i="7"/>
  <c r="T58" i="7" s="1"/>
  <c r="P132" i="6"/>
  <c r="P131" i="6"/>
  <c r="P130" i="6"/>
  <c r="AM378" i="4"/>
  <c r="AN21" i="4"/>
  <c r="AN2003" i="4" s="1"/>
  <c r="AO238" i="4"/>
  <c r="AS51" i="5"/>
  <c r="AS50" i="5" s="1"/>
  <c r="AH21" i="8"/>
  <c r="AN1936" i="4"/>
  <c r="AN140" i="4"/>
  <c r="AO135" i="4"/>
  <c r="AM13" i="4"/>
  <c r="AM1995" i="4" s="1"/>
  <c r="AM141" i="4"/>
  <c r="AV11" i="15"/>
  <c r="BU11" i="15" s="1"/>
  <c r="R97" i="6"/>
  <c r="S95" i="6"/>
  <c r="R150" i="6"/>
  <c r="R103" i="6"/>
  <c r="R102" i="6"/>
  <c r="L50" i="5"/>
  <c r="AF52" i="7"/>
  <c r="C67" i="14"/>
  <c r="J66" i="14"/>
  <c r="E66" i="14"/>
  <c r="H66" i="14"/>
  <c r="C65" i="14"/>
  <c r="F66" i="14"/>
  <c r="G66" i="14"/>
  <c r="I66" i="14"/>
  <c r="D66" i="14"/>
  <c r="AE284" i="12"/>
  <c r="AG84" i="6"/>
  <c r="AP1953" i="4"/>
  <c r="AP1958" i="4" s="1"/>
  <c r="AP1970" i="4"/>
  <c r="AP1972" i="4" s="1"/>
  <c r="AO1960" i="4"/>
  <c r="AH216" i="6"/>
  <c r="BN216" i="6" s="1"/>
  <c r="AH178" i="6"/>
  <c r="AH445" i="12"/>
  <c r="BM178" i="6"/>
  <c r="AM169" i="4"/>
  <c r="AM15" i="4"/>
  <c r="AM1997" i="4" s="1"/>
  <c r="AN1938" i="4"/>
  <c r="AO163" i="4"/>
  <c r="AN168" i="4"/>
  <c r="AI20" i="6"/>
  <c r="AI291" i="12"/>
  <c r="AF89" i="6"/>
  <c r="BK89" i="6"/>
  <c r="AH451" i="12"/>
  <c r="AH183" i="6"/>
  <c r="BN183" i="6" s="1"/>
  <c r="AI377" i="12"/>
  <c r="AJ377" i="12" s="1"/>
  <c r="AE303" i="12"/>
  <c r="AE33" i="12"/>
  <c r="AC347" i="12"/>
  <c r="AI44" i="8"/>
  <c r="W424" i="12"/>
  <c r="H13" i="14"/>
  <c r="G13" i="14"/>
  <c r="F13" i="14"/>
  <c r="D13" i="14"/>
  <c r="E13" i="14"/>
  <c r="I13" i="14"/>
  <c r="J13" i="14"/>
  <c r="AP1947" i="4"/>
  <c r="AQ1947" i="4" s="1"/>
  <c r="AO1948" i="4"/>
  <c r="AO1949" i="4" s="1"/>
  <c r="AO1955" i="4" s="1"/>
  <c r="AO1954" i="4"/>
  <c r="P205" i="14"/>
  <c r="E17" i="14"/>
  <c r="D17" i="14"/>
  <c r="I17" i="14"/>
  <c r="J17" i="14"/>
  <c r="F17" i="14"/>
  <c r="H17" i="14"/>
  <c r="G17" i="14"/>
  <c r="AA450" i="12"/>
  <c r="AA215" i="6"/>
  <c r="BG215" i="6" s="1"/>
  <c r="BF215" i="6" s="1"/>
  <c r="AA185" i="6"/>
  <c r="AG47" i="8"/>
  <c r="D27" i="14"/>
  <c r="C26" i="14"/>
  <c r="C28" i="14"/>
  <c r="F27" i="14"/>
  <c r="J27" i="14"/>
  <c r="H27" i="14"/>
  <c r="E27" i="14"/>
  <c r="I27" i="14"/>
  <c r="G27" i="14"/>
  <c r="AM1957" i="4"/>
  <c r="AM1956" i="4"/>
  <c r="AM1959" i="4"/>
  <c r="AM1961" i="4" s="1"/>
  <c r="AM1962" i="4" s="1"/>
  <c r="AM1963" i="4" s="1"/>
  <c r="AB215" i="6"/>
  <c r="BH215" i="6" s="1"/>
  <c r="AC450" i="12"/>
  <c r="AB185" i="6"/>
  <c r="BD185" i="6" s="1"/>
  <c r="BC185" i="6" s="1"/>
  <c r="AB450" i="12"/>
  <c r="AA293" i="12"/>
  <c r="AA60" i="12" s="1"/>
  <c r="AH2036" i="4"/>
  <c r="AP326" i="4"/>
  <c r="AO31" i="4"/>
  <c r="AO2012" i="4" s="1"/>
  <c r="O207" i="14"/>
  <c r="O220" i="14" s="1"/>
  <c r="AE337" i="12"/>
  <c r="AE396" i="12" s="1"/>
  <c r="AE421" i="12" s="1"/>
  <c r="BM46" i="15"/>
  <c r="BM43" i="15"/>
  <c r="BM49" i="15"/>
  <c r="AF455" i="12"/>
  <c r="AD326" i="12"/>
  <c r="AD410" i="12" s="1"/>
  <c r="BM182" i="6"/>
  <c r="AF392" i="12"/>
  <c r="AF417" i="12" s="1"/>
  <c r="AG359" i="12"/>
  <c r="V112" i="6"/>
  <c r="O51" i="5"/>
  <c r="AR102" i="6"/>
  <c r="AH182" i="6"/>
  <c r="AH449" i="12"/>
  <c r="AI374" i="12"/>
  <c r="AJ374" i="12" s="1"/>
  <c r="V138" i="6"/>
  <c r="V79" i="8"/>
  <c r="V104" i="6"/>
  <c r="AR97" i="6"/>
  <c r="N241" i="14"/>
  <c r="F199" i="14" s="1"/>
  <c r="H199" i="14"/>
  <c r="X102" i="6"/>
  <c r="AX94" i="6"/>
  <c r="X97" i="6"/>
  <c r="X103" i="6"/>
  <c r="X78" i="8"/>
  <c r="X150" i="6"/>
  <c r="V193" i="6"/>
  <c r="AR193" i="6" s="1"/>
  <c r="U148" i="6"/>
  <c r="AO209" i="4"/>
  <c r="AO1941" i="4" s="1"/>
  <c r="AN212" i="4"/>
  <c r="AI282" i="12"/>
  <c r="AI31" i="12" s="1"/>
  <c r="AI38" i="6" s="1"/>
  <c r="AI11" i="6"/>
  <c r="AM17" i="4"/>
  <c r="AM1999" i="4" s="1"/>
  <c r="AM213" i="4"/>
  <c r="AC159" i="6"/>
  <c r="BI159" i="6" s="1"/>
  <c r="AC318" i="12"/>
  <c r="AC369" i="12" s="1"/>
  <c r="AO43" i="4"/>
  <c r="AP365" i="4"/>
  <c r="AQ365" i="4" s="1"/>
  <c r="O28" i="5"/>
  <c r="BG177" i="6"/>
  <c r="BF177" i="6" s="1"/>
  <c r="N35" i="5"/>
  <c r="O35" i="5"/>
  <c r="T86" i="6"/>
  <c r="T153" i="12" s="1"/>
  <c r="T144" i="6"/>
  <c r="BN45" i="15"/>
  <c r="BN46" i="15" s="1"/>
  <c r="T131" i="6"/>
  <c r="T81" i="6"/>
  <c r="T149" i="6"/>
  <c r="AB444" i="12"/>
  <c r="AB177" i="6"/>
  <c r="BD177" i="6" s="1"/>
  <c r="BC177" i="6" s="1"/>
  <c r="AG372" i="12"/>
  <c r="AG416" i="12" s="1"/>
  <c r="BK180" i="6"/>
  <c r="AG448" i="12"/>
  <c r="AG181" i="6"/>
  <c r="U131" i="6"/>
  <c r="U149" i="6"/>
  <c r="BO45" i="15"/>
  <c r="BO46" i="15" s="1"/>
  <c r="U81" i="6"/>
  <c r="V81" i="6"/>
  <c r="AR81" i="6" s="1"/>
  <c r="U144" i="6"/>
  <c r="U86" i="6"/>
  <c r="U153" i="12" s="1"/>
  <c r="N39" i="5"/>
  <c r="U193" i="6"/>
  <c r="T193" i="6"/>
  <c r="T148" i="6"/>
  <c r="AH162" i="6"/>
  <c r="BN162" i="6" s="1"/>
  <c r="AH321" i="12"/>
  <c r="AC40" i="6"/>
  <c r="AG302" i="12"/>
  <c r="AE61" i="6"/>
  <c r="AI162" i="6"/>
  <c r="AI321" i="12"/>
  <c r="AI372" i="12" s="1"/>
  <c r="AJ447" i="12" s="1"/>
  <c r="BL181" i="6"/>
  <c r="AF180" i="6"/>
  <c r="AF447" i="12"/>
  <c r="AG163" i="6"/>
  <c r="BM163" i="6" s="1"/>
  <c r="AF416" i="12"/>
  <c r="AN377" i="4"/>
  <c r="AN378" i="4" s="1"/>
  <c r="AN375" i="4"/>
  <c r="O419" i="12"/>
  <c r="O425" i="12" s="1"/>
  <c r="O361" i="12"/>
  <c r="AL52" i="5"/>
  <c r="AL46" i="5"/>
  <c r="AH164" i="6"/>
  <c r="BN164" i="6" s="1"/>
  <c r="AH322" i="12"/>
  <c r="AH373" i="12" s="1"/>
  <c r="AD39" i="6"/>
  <c r="AE62" i="6" s="1"/>
  <c r="AD33" i="12"/>
  <c r="AD303" i="12"/>
  <c r="AG61" i="6"/>
  <c r="AE40" i="6"/>
  <c r="AG165" i="6"/>
  <c r="BM165" i="6" s="1"/>
  <c r="T415" i="12"/>
  <c r="T425" i="12" s="1"/>
  <c r="T432" i="12" s="1"/>
  <c r="T400" i="12"/>
  <c r="U390" i="12"/>
  <c r="AI163" i="6"/>
  <c r="AO297" i="4"/>
  <c r="W327" i="12"/>
  <c r="W411" i="12" s="1"/>
  <c r="AP397" i="4"/>
  <c r="AO399" i="4"/>
  <c r="AN400" i="4"/>
  <c r="AN50" i="4"/>
  <c r="AN2029" i="4" s="1"/>
  <c r="AN390" i="4"/>
  <c r="AN49" i="4"/>
  <c r="AO389" i="4"/>
  <c r="AP387" i="4"/>
  <c r="AL2031" i="4"/>
  <c r="AL53" i="4"/>
  <c r="AE14" i="6"/>
  <c r="X16" i="5" s="1"/>
  <c r="AE285" i="12"/>
  <c r="AM2028" i="4"/>
  <c r="AM52" i="4"/>
  <c r="K50" i="5" l="1"/>
  <c r="V113" i="6"/>
  <c r="V106" i="6"/>
  <c r="O52" i="5"/>
  <c r="V119" i="6"/>
  <c r="AK55" i="8"/>
  <c r="AH11" i="6"/>
  <c r="AO2017" i="4"/>
  <c r="AR349" i="4"/>
  <c r="AP2017" i="4"/>
  <c r="AK56" i="8"/>
  <c r="AX91" i="6"/>
  <c r="AK19" i="8"/>
  <c r="AL18" i="8"/>
  <c r="AK41" i="8"/>
  <c r="AL12" i="8"/>
  <c r="AL13" i="8"/>
  <c r="AL35" i="8"/>
  <c r="AJ44" i="8"/>
  <c r="AL55" i="8"/>
  <c r="AK134" i="12"/>
  <c r="AV13" i="15"/>
  <c r="BU13" i="15" s="1"/>
  <c r="AK72" i="6"/>
  <c r="AL72" i="6"/>
  <c r="AL20" i="6"/>
  <c r="AL291" i="12"/>
  <c r="AL14" i="8"/>
  <c r="AS354" i="4"/>
  <c r="AS349" i="4"/>
  <c r="AR40" i="4"/>
  <c r="AR2020" i="4" s="1"/>
  <c r="AS362" i="4"/>
  <c r="AS40" i="4" s="1"/>
  <c r="AK27" i="6"/>
  <c r="AL19" i="12"/>
  <c r="AL27" i="6" s="1"/>
  <c r="AW28" i="5"/>
  <c r="AS1970" i="4"/>
  <c r="AS1972" i="4" s="1"/>
  <c r="AS1953" i="4"/>
  <c r="AS1958" i="4" s="1"/>
  <c r="AR39" i="4"/>
  <c r="AS361" i="4"/>
  <c r="AS39" i="4" s="1"/>
  <c r="AR22" i="4"/>
  <c r="AR2004" i="4" s="1"/>
  <c r="AS243" i="4"/>
  <c r="AS22" i="4" s="1"/>
  <c r="X17" i="5"/>
  <c r="Z173" i="12"/>
  <c r="Z172" i="12"/>
  <c r="Z174" i="12"/>
  <c r="Z85" i="12"/>
  <c r="Z80" i="12"/>
  <c r="Z112" i="12"/>
  <c r="Z122" i="12"/>
  <c r="Z117" i="12"/>
  <c r="Z77" i="12"/>
  <c r="S147" i="12"/>
  <c r="S139" i="12"/>
  <c r="Q102" i="6"/>
  <c r="Q103" i="6"/>
  <c r="Q95" i="6"/>
  <c r="Q150" i="6"/>
  <c r="Q97" i="6"/>
  <c r="R98" i="6" s="1"/>
  <c r="T137" i="12"/>
  <c r="S138" i="12"/>
  <c r="AG139" i="6"/>
  <c r="R49" i="5"/>
  <c r="S50" i="5" s="1"/>
  <c r="Q28" i="5"/>
  <c r="Y91" i="6"/>
  <c r="Y94" i="6" s="1"/>
  <c r="Y95" i="6" s="1"/>
  <c r="BA95" i="6" s="1"/>
  <c r="BA88" i="6"/>
  <c r="AD60" i="12"/>
  <c r="AR173" i="4"/>
  <c r="AD310" i="12"/>
  <c r="Y12" i="15"/>
  <c r="CA42" i="6"/>
  <c r="AC201" i="6"/>
  <c r="BY42" i="6"/>
  <c r="AH200" i="12"/>
  <c r="AO180" i="4"/>
  <c r="AO16" i="4" s="1"/>
  <c r="AO1998" i="4" s="1"/>
  <c r="AW94" i="6"/>
  <c r="AW91" i="6"/>
  <c r="Z89" i="6"/>
  <c r="Z91" i="6" s="1"/>
  <c r="BA89" i="6"/>
  <c r="AZ89" i="6" s="1"/>
  <c r="AP217" i="4"/>
  <c r="AP18" i="4" s="1"/>
  <c r="AP2000" i="4" s="1"/>
  <c r="AT102" i="6"/>
  <c r="AT97" i="6"/>
  <c r="AT103" i="6"/>
  <c r="AQ106" i="6"/>
  <c r="AQ104" i="6"/>
  <c r="AI199" i="12"/>
  <c r="AI202" i="12" s="1"/>
  <c r="S48" i="5"/>
  <c r="M5" i="12"/>
  <c r="M5" i="7"/>
  <c r="U5" i="4"/>
  <c r="M5" i="6"/>
  <c r="M5" i="8"/>
  <c r="M65" i="8" s="1"/>
  <c r="AL2010" i="4"/>
  <c r="AQ205" i="4"/>
  <c r="AQ207" i="4" s="1"/>
  <c r="AI370" i="12"/>
  <c r="AI216" i="6" s="1"/>
  <c r="AL2025" i="4"/>
  <c r="AE201" i="6"/>
  <c r="AN181" i="4"/>
  <c r="AN470" i="4"/>
  <c r="AO469" i="4"/>
  <c r="AE293" i="12"/>
  <c r="AE60" i="12" s="1"/>
  <c r="AE19" i="6"/>
  <c r="AL2036" i="4"/>
  <c r="AE310" i="12"/>
  <c r="AE47" i="6"/>
  <c r="Y17" i="15" s="1"/>
  <c r="X17" i="15"/>
  <c r="AD69" i="6"/>
  <c r="AM1988" i="4"/>
  <c r="AM474" i="4"/>
  <c r="AF41" i="12" s="1"/>
  <c r="AP177" i="4"/>
  <c r="AQ177" i="4" s="1"/>
  <c r="AQ180" i="4" s="1"/>
  <c r="AN298" i="4"/>
  <c r="AN29" i="4" s="1"/>
  <c r="AA310" i="12"/>
  <c r="U17" i="5"/>
  <c r="AP389" i="4"/>
  <c r="AP49" i="4" s="1"/>
  <c r="AQ387" i="4"/>
  <c r="AP31" i="4"/>
  <c r="AP2012" i="4" s="1"/>
  <c r="AQ326" i="4"/>
  <c r="AR1947" i="4"/>
  <c r="AQ1954" i="4"/>
  <c r="AQ1948" i="4"/>
  <c r="AQ1949" i="4" s="1"/>
  <c r="AQ1955" i="4" s="1"/>
  <c r="AK268" i="12"/>
  <c r="AJ246" i="12"/>
  <c r="AQ289" i="4"/>
  <c r="AQ293" i="4" s="1"/>
  <c r="AR287" i="4"/>
  <c r="AJ370" i="12"/>
  <c r="AJ47" i="8"/>
  <c r="AR2035" i="4"/>
  <c r="AK18" i="6"/>
  <c r="AK288" i="12"/>
  <c r="AQ1960" i="4"/>
  <c r="AQ355" i="4"/>
  <c r="AQ37" i="4"/>
  <c r="AR37" i="4"/>
  <c r="AR355" i="4"/>
  <c r="AP399" i="4"/>
  <c r="AP400" i="4" s="1"/>
  <c r="AQ397" i="4"/>
  <c r="AR397" i="4" s="1"/>
  <c r="AS397" i="4" s="1"/>
  <c r="AQ2035" i="4"/>
  <c r="AJ18" i="6"/>
  <c r="AJ288" i="12"/>
  <c r="AR1970" i="4"/>
  <c r="AR1972" i="4" s="1"/>
  <c r="AR1953" i="4"/>
  <c r="AR1958" i="4" s="1"/>
  <c r="AK381" i="12"/>
  <c r="AJ188" i="6"/>
  <c r="AQ42" i="4"/>
  <c r="AQ2022" i="4" s="1"/>
  <c r="AR364" i="4"/>
  <c r="AQ51" i="4"/>
  <c r="AQ2030" i="4" s="1"/>
  <c r="AR404" i="4"/>
  <c r="AQ41" i="4"/>
  <c r="AQ2021" i="4" s="1"/>
  <c r="AR363" i="4"/>
  <c r="AK20" i="6"/>
  <c r="AK291" i="12"/>
  <c r="AQ30" i="4"/>
  <c r="AQ2011" i="4" s="1"/>
  <c r="AR320" i="4"/>
  <c r="AQ43" i="4"/>
  <c r="AR365" i="4"/>
  <c r="AK374" i="12"/>
  <c r="AL374" i="12" s="1"/>
  <c r="AJ182" i="6"/>
  <c r="AJ449" i="12"/>
  <c r="AJ183" i="6"/>
  <c r="AK377" i="12"/>
  <c r="AL377" i="12" s="1"/>
  <c r="AJ451" i="12"/>
  <c r="AK2010" i="4"/>
  <c r="AR2019" i="4"/>
  <c r="AQ396" i="4"/>
  <c r="AR394" i="4"/>
  <c r="BG47" i="6"/>
  <c r="BF47" i="6" s="1"/>
  <c r="Z295" i="12"/>
  <c r="Z63" i="12" s="1"/>
  <c r="Z59" i="12"/>
  <c r="S13" i="5"/>
  <c r="T13" i="5"/>
  <c r="BD21" i="6"/>
  <c r="Z149" i="6"/>
  <c r="Z82" i="8"/>
  <c r="Z339" i="12"/>
  <c r="Z434" i="12" s="1"/>
  <c r="Z171" i="6"/>
  <c r="S24" i="5"/>
  <c r="Z53" i="6"/>
  <c r="Z148" i="6"/>
  <c r="BT48" i="15"/>
  <c r="BT49" i="15" s="1"/>
  <c r="Z81" i="8"/>
  <c r="Z147" i="6"/>
  <c r="Z32" i="6"/>
  <c r="Z83" i="8"/>
  <c r="Z22" i="6"/>
  <c r="Z132" i="6"/>
  <c r="Z80" i="8"/>
  <c r="BC32" i="6"/>
  <c r="BC33" i="6" s="1"/>
  <c r="BC22" i="6"/>
  <c r="AM1998" i="4"/>
  <c r="AF12" i="6"/>
  <c r="AF13" i="6" s="1"/>
  <c r="Y14" i="5" s="1"/>
  <c r="Y15" i="5" s="1"/>
  <c r="AM45" i="4"/>
  <c r="AM46" i="4" s="1"/>
  <c r="AM2024" i="4"/>
  <c r="AN44" i="4"/>
  <c r="AG283" i="12" s="1"/>
  <c r="AM29" i="4"/>
  <c r="AM266" i="4"/>
  <c r="AM267" i="4"/>
  <c r="AM272" i="4" s="1"/>
  <c r="AO278" i="4"/>
  <c r="AN265" i="4"/>
  <c r="AN267" i="4" s="1"/>
  <c r="AN272" i="4" s="1"/>
  <c r="Q51" i="8"/>
  <c r="Q72" i="8"/>
  <c r="AH59" i="5" s="1"/>
  <c r="AH60" i="5" s="1"/>
  <c r="AI12" i="5"/>
  <c r="R29" i="8"/>
  <c r="R78" i="8" s="1"/>
  <c r="AO38" i="4"/>
  <c r="AO2018" i="4" s="1"/>
  <c r="AP360" i="4"/>
  <c r="P48" i="5"/>
  <c r="P49" i="5"/>
  <c r="Q48" i="5"/>
  <c r="Q78" i="8"/>
  <c r="AO366" i="4"/>
  <c r="AO375" i="4" s="1"/>
  <c r="P62" i="8"/>
  <c r="AG32" i="5"/>
  <c r="P76" i="8"/>
  <c r="P77" i="8"/>
  <c r="P73" i="8"/>
  <c r="P75" i="8" s="1"/>
  <c r="AH11" i="5"/>
  <c r="AH18" i="5"/>
  <c r="AJ9" i="5"/>
  <c r="S15" i="8"/>
  <c r="S70" i="8"/>
  <c r="M226" i="14"/>
  <c r="M231" i="14" s="1"/>
  <c r="M225" i="14"/>
  <c r="M230" i="14" s="1"/>
  <c r="H175" i="14" s="1"/>
  <c r="J175" i="14" s="1"/>
  <c r="M224" i="14"/>
  <c r="Q130" i="6"/>
  <c r="Q131" i="6"/>
  <c r="Q132" i="6"/>
  <c r="R87" i="8"/>
  <c r="AI56" i="5"/>
  <c r="R91" i="8"/>
  <c r="R92" i="8" s="1"/>
  <c r="R128" i="6"/>
  <c r="R129" i="6" s="1"/>
  <c r="R71" i="8"/>
  <c r="W94" i="6"/>
  <c r="W91" i="6"/>
  <c r="AU88" i="6"/>
  <c r="AO21" i="4"/>
  <c r="AO2003" i="4" s="1"/>
  <c r="AP238" i="4"/>
  <c r="AI21" i="8"/>
  <c r="AO1936" i="4"/>
  <c r="AO140" i="4"/>
  <c r="AP135" i="4"/>
  <c r="AN141" i="4"/>
  <c r="AN13" i="4"/>
  <c r="AN1995" i="4" s="1"/>
  <c r="BM84" i="6"/>
  <c r="R112" i="6"/>
  <c r="K51" i="5"/>
  <c r="AE52" i="12"/>
  <c r="K52" i="5"/>
  <c r="R138" i="6"/>
  <c r="R113" i="6"/>
  <c r="R79" i="8"/>
  <c r="R106" i="6"/>
  <c r="R118" i="6" s="1"/>
  <c r="R104" i="6"/>
  <c r="S98" i="6"/>
  <c r="J65" i="14"/>
  <c r="G65" i="14"/>
  <c r="D65" i="14"/>
  <c r="H65" i="14"/>
  <c r="C64" i="14"/>
  <c r="F65" i="14"/>
  <c r="E65" i="14"/>
  <c r="I65" i="14"/>
  <c r="H67" i="14"/>
  <c r="I67" i="14"/>
  <c r="G67" i="14"/>
  <c r="D67" i="14"/>
  <c r="E67" i="14"/>
  <c r="J67" i="14"/>
  <c r="F67" i="14"/>
  <c r="C68" i="14"/>
  <c r="AG52" i="7"/>
  <c r="AH84" i="6"/>
  <c r="AP1960" i="4"/>
  <c r="AO1938" i="4"/>
  <c r="AO168" i="4"/>
  <c r="AP163" i="4"/>
  <c r="AQ163" i="4" s="1"/>
  <c r="BN178" i="6"/>
  <c r="AN15" i="4"/>
  <c r="AN1997" i="4" s="1"/>
  <c r="AN169" i="4"/>
  <c r="AG89" i="6"/>
  <c r="BL89" i="6"/>
  <c r="AI451" i="12"/>
  <c r="AI183" i="6"/>
  <c r="AE304" i="12"/>
  <c r="AD347" i="12"/>
  <c r="AG447" i="12"/>
  <c r="AA69" i="6"/>
  <c r="U17" i="15"/>
  <c r="F28" i="14"/>
  <c r="H28" i="14"/>
  <c r="E28" i="14"/>
  <c r="J28" i="14"/>
  <c r="G28" i="14"/>
  <c r="I28" i="14"/>
  <c r="C29" i="14"/>
  <c r="D28" i="14"/>
  <c r="AH47" i="8"/>
  <c r="AI47" i="8"/>
  <c r="O219" i="14"/>
  <c r="O221" i="14" s="1"/>
  <c r="O209" i="14"/>
  <c r="G26" i="14"/>
  <c r="D26" i="14"/>
  <c r="C25" i="14"/>
  <c r="E26" i="14"/>
  <c r="J26" i="14"/>
  <c r="I26" i="14"/>
  <c r="F26" i="14"/>
  <c r="H26" i="14"/>
  <c r="AB293" i="12"/>
  <c r="AB60" i="12" s="1"/>
  <c r="AI2036" i="4"/>
  <c r="AJ2036" i="4"/>
  <c r="AB19" i="6"/>
  <c r="AC310" i="12"/>
  <c r="AB310" i="12"/>
  <c r="AB47" i="6"/>
  <c r="AC69" i="6" s="1"/>
  <c r="AN1956" i="4"/>
  <c r="AN1957" i="4"/>
  <c r="AN1959" i="4"/>
  <c r="AN1961" i="4" s="1"/>
  <c r="AN1962" i="4" s="1"/>
  <c r="AN1963" i="4" s="1"/>
  <c r="AP1948" i="4"/>
  <c r="AP1949" i="4" s="1"/>
  <c r="AP1955" i="4" s="1"/>
  <c r="AP1954" i="4"/>
  <c r="Q205" i="14"/>
  <c r="BG185" i="6"/>
  <c r="BF185" i="6" s="1"/>
  <c r="J199" i="14"/>
  <c r="O210" i="14"/>
  <c r="O215" i="14" s="1"/>
  <c r="O225" i="14" s="1"/>
  <c r="O230" i="14" s="1"/>
  <c r="BH185" i="6"/>
  <c r="R205" i="14"/>
  <c r="P207" i="14"/>
  <c r="P220" i="14" s="1"/>
  <c r="AF337" i="12"/>
  <c r="AF396" i="12" s="1"/>
  <c r="AF421" i="12" s="1"/>
  <c r="AI302" i="12"/>
  <c r="AH139" i="6"/>
  <c r="AE326" i="12"/>
  <c r="AE410" i="12" s="1"/>
  <c r="AG455" i="12"/>
  <c r="AI449" i="12"/>
  <c r="AI182" i="6"/>
  <c r="AR104" i="6"/>
  <c r="V117" i="6"/>
  <c r="O53" i="5"/>
  <c r="BN182" i="6"/>
  <c r="V121" i="6"/>
  <c r="V124" i="6"/>
  <c r="V122" i="6"/>
  <c r="V125" i="6"/>
  <c r="AH359" i="12"/>
  <c r="AG392" i="12"/>
  <c r="AG417" i="12" s="1"/>
  <c r="V118" i="6"/>
  <c r="C128" i="14"/>
  <c r="AR106" i="6"/>
  <c r="AX102" i="6"/>
  <c r="X112" i="6"/>
  <c r="Q51" i="5"/>
  <c r="AX103" i="6"/>
  <c r="X113" i="6"/>
  <c r="X138" i="6"/>
  <c r="Q52" i="5"/>
  <c r="X104" i="6"/>
  <c r="X79" i="8"/>
  <c r="AX97" i="6"/>
  <c r="X119" i="6"/>
  <c r="X106" i="6"/>
  <c r="N227" i="14"/>
  <c r="T145" i="6"/>
  <c r="M42" i="5"/>
  <c r="M44" i="5" s="1"/>
  <c r="M47" i="5" s="1"/>
  <c r="T88" i="6"/>
  <c r="AD304" i="12"/>
  <c r="AD52" i="12"/>
  <c r="AI164" i="6"/>
  <c r="AI322" i="12"/>
  <c r="AI373" i="12" s="1"/>
  <c r="AJ448" i="12" s="1"/>
  <c r="AH372" i="12"/>
  <c r="AH416" i="12" s="1"/>
  <c r="N42" i="5"/>
  <c r="N44" i="5" s="1"/>
  <c r="N47" i="5" s="1"/>
  <c r="U145" i="6"/>
  <c r="U88" i="6"/>
  <c r="BH177" i="6"/>
  <c r="AC177" i="6"/>
  <c r="AC444" i="12"/>
  <c r="AN17" i="4"/>
  <c r="AN213" i="4"/>
  <c r="AH181" i="6"/>
  <c r="AH448" i="12"/>
  <c r="AF32" i="12"/>
  <c r="AF284" i="12"/>
  <c r="O40" i="5"/>
  <c r="N40" i="5"/>
  <c r="AH163" i="6"/>
  <c r="BN163" i="6" s="1"/>
  <c r="AG180" i="6"/>
  <c r="AP209" i="4"/>
  <c r="AQ209" i="4" s="1"/>
  <c r="AO212" i="4"/>
  <c r="BM181" i="6"/>
  <c r="AD40" i="6"/>
  <c r="AD62" i="6"/>
  <c r="W12" i="15"/>
  <c r="AH38" i="6"/>
  <c r="AI61" i="6" s="1"/>
  <c r="AP43" i="4"/>
  <c r="BL180" i="6"/>
  <c r="AI416" i="12"/>
  <c r="AI180" i="6"/>
  <c r="AD318" i="12"/>
  <c r="AD369" i="12" s="1"/>
  <c r="AD159" i="6"/>
  <c r="BJ159" i="6" s="1"/>
  <c r="AO2023" i="4"/>
  <c r="Y327" i="12"/>
  <c r="Y411" i="12" s="1"/>
  <c r="AP297" i="4"/>
  <c r="AQ297" i="4" s="1"/>
  <c r="AR297" i="4" s="1"/>
  <c r="AS297" i="4" s="1"/>
  <c r="AI165" i="6"/>
  <c r="X327" i="12"/>
  <c r="X411" i="12" s="1"/>
  <c r="U415" i="12"/>
  <c r="U425" i="12" s="1"/>
  <c r="U432" i="12" s="1"/>
  <c r="U400" i="12"/>
  <c r="T402" i="12"/>
  <c r="T405" i="12"/>
  <c r="T435" i="12"/>
  <c r="T401" i="12"/>
  <c r="X320" i="12"/>
  <c r="X161" i="6"/>
  <c r="AX161" i="6" s="1"/>
  <c r="AW161" i="6" s="1"/>
  <c r="AW168" i="6" s="1"/>
  <c r="AW171" i="6" s="1"/>
  <c r="AH165" i="6"/>
  <c r="BN165" i="6" s="1"/>
  <c r="AO400" i="4"/>
  <c r="AO50" i="4"/>
  <c r="AO2029" i="4" s="1"/>
  <c r="AF14" i="6"/>
  <c r="Y16" i="5" s="1"/>
  <c r="Y17" i="5" s="1"/>
  <c r="AM53" i="4"/>
  <c r="AM2031" i="4"/>
  <c r="AF285" i="12"/>
  <c r="AO49" i="4"/>
  <c r="AO390" i="4"/>
  <c r="AN52" i="4"/>
  <c r="AN2028" i="4"/>
  <c r="AS2019" i="4" l="1"/>
  <c r="AK44" i="8"/>
  <c r="AL134" i="12"/>
  <c r="AL135" i="12" s="1"/>
  <c r="AL143" i="12" s="1"/>
  <c r="AL41" i="8"/>
  <c r="AL56" i="8"/>
  <c r="AJ21" i="8"/>
  <c r="R50" i="5"/>
  <c r="AK135" i="12"/>
  <c r="AL19" i="8"/>
  <c r="AR396" i="4"/>
  <c r="AS394" i="4"/>
  <c r="AS396" i="4" s="1"/>
  <c r="AS399" i="4" s="1"/>
  <c r="AR30" i="4"/>
  <c r="AR2011" i="4" s="1"/>
  <c r="AS320" i="4"/>
  <c r="AS30" i="4" s="1"/>
  <c r="AR41" i="4"/>
  <c r="AR2021" i="4" s="1"/>
  <c r="AS363" i="4"/>
  <c r="AS41" i="4" s="1"/>
  <c r="AR42" i="4"/>
  <c r="AR2022" i="4" s="1"/>
  <c r="AS364" i="4"/>
  <c r="AS42" i="4" s="1"/>
  <c r="AR289" i="4"/>
  <c r="AR293" i="4" s="1"/>
  <c r="AS287" i="4"/>
  <c r="AS289" i="4" s="1"/>
  <c r="AS293" i="4" s="1"/>
  <c r="AR175" i="4"/>
  <c r="AS173" i="4"/>
  <c r="AS175" i="4" s="1"/>
  <c r="AS2004" i="4"/>
  <c r="AS37" i="4"/>
  <c r="AS355" i="4"/>
  <c r="AL451" i="12"/>
  <c r="AL183" i="6"/>
  <c r="AL449" i="12"/>
  <c r="AL182" i="6"/>
  <c r="AL44" i="8"/>
  <c r="AS1960" i="4"/>
  <c r="AR43" i="4"/>
  <c r="AR2023" i="4" s="1"/>
  <c r="AS365" i="4"/>
  <c r="AS43" i="4" s="1"/>
  <c r="AR51" i="4"/>
  <c r="AS404" i="4"/>
  <c r="AS51" i="4" s="1"/>
  <c r="AR1948" i="4"/>
  <c r="AR1949" i="4" s="1"/>
  <c r="AR1955" i="4" s="1"/>
  <c r="AS1947" i="4"/>
  <c r="AK188" i="6"/>
  <c r="AL381" i="12"/>
  <c r="AL188" i="6" s="1"/>
  <c r="AK246" i="12"/>
  <c r="AL268" i="12"/>
  <c r="AL246" i="12" s="1"/>
  <c r="AS2020" i="4"/>
  <c r="AO181" i="4"/>
  <c r="AZ12" i="15"/>
  <c r="BY12" i="15" s="1"/>
  <c r="Y103" i="6"/>
  <c r="Y113" i="6" s="1"/>
  <c r="Y115" i="6" s="1"/>
  <c r="Y150" i="6"/>
  <c r="Q106" i="6"/>
  <c r="Q118" i="6" s="1"/>
  <c r="Q104" i="6"/>
  <c r="R105" i="6" s="1"/>
  <c r="Q79" i="8"/>
  <c r="Q98" i="6"/>
  <c r="T147" i="12"/>
  <c r="T139" i="12"/>
  <c r="Q113" i="6"/>
  <c r="R115" i="6" s="1"/>
  <c r="J52" i="5"/>
  <c r="J54" i="5" s="1"/>
  <c r="Q138" i="6"/>
  <c r="BA94" i="6"/>
  <c r="Q112" i="6"/>
  <c r="R114" i="6" s="1"/>
  <c r="J51" i="5"/>
  <c r="Y78" i="8"/>
  <c r="BA91" i="6"/>
  <c r="Y97" i="6"/>
  <c r="Y98" i="6" s="1"/>
  <c r="BA98" i="6" s="1"/>
  <c r="Y102" i="6"/>
  <c r="R51" i="5" s="1"/>
  <c r="V5" i="4"/>
  <c r="O5" i="8" s="1"/>
  <c r="O65" i="8" s="1"/>
  <c r="X12" i="15"/>
  <c r="BZ42" i="6"/>
  <c r="AJ199" i="12"/>
  <c r="AK199" i="12" s="1"/>
  <c r="AI200" i="12"/>
  <c r="AT106" i="6"/>
  <c r="AT104" i="6"/>
  <c r="AZ94" i="6"/>
  <c r="AZ91" i="6"/>
  <c r="AQ217" i="4"/>
  <c r="AQ18" i="4" s="1"/>
  <c r="AQ2000" i="4" s="1"/>
  <c r="BD89" i="6"/>
  <c r="BC89" i="6" s="1"/>
  <c r="AA89" i="6"/>
  <c r="AW97" i="6"/>
  <c r="AW102" i="6"/>
  <c r="AW103" i="6"/>
  <c r="AW95" i="6"/>
  <c r="BD91" i="6"/>
  <c r="Z94" i="6"/>
  <c r="BD94" i="6" s="1"/>
  <c r="N5" i="8"/>
  <c r="N65" i="8" s="1"/>
  <c r="N5" i="6"/>
  <c r="N5" i="12"/>
  <c r="N5" i="7"/>
  <c r="AR205" i="4"/>
  <c r="AM2025" i="4"/>
  <c r="AI178" i="6"/>
  <c r="AI445" i="12"/>
  <c r="AP1939" i="4"/>
  <c r="AP180" i="4"/>
  <c r="AP16" i="4" s="1"/>
  <c r="AP1998" i="4" s="1"/>
  <c r="AR177" i="4"/>
  <c r="AQ1939" i="4"/>
  <c r="AQ135" i="4"/>
  <c r="AR135" i="4" s="1"/>
  <c r="AS135" i="4" s="1"/>
  <c r="AF293" i="12"/>
  <c r="AF60" i="12" s="1"/>
  <c r="AM2036" i="4"/>
  <c r="AF19" i="6"/>
  <c r="AE69" i="6"/>
  <c r="AP469" i="4"/>
  <c r="AO470" i="4"/>
  <c r="AN1988" i="4"/>
  <c r="AN474" i="4"/>
  <c r="AG41" i="12" s="1"/>
  <c r="AF47" i="6"/>
  <c r="Z17" i="15" s="1"/>
  <c r="AF310" i="12"/>
  <c r="AR399" i="4"/>
  <c r="AR50" i="4" s="1"/>
  <c r="AP390" i="4"/>
  <c r="AP50" i="4"/>
  <c r="AP52" i="4" s="1"/>
  <c r="AM2010" i="4"/>
  <c r="AQ399" i="4"/>
  <c r="AQ50" i="4" s="1"/>
  <c r="AR1954" i="4"/>
  <c r="AN2024" i="4"/>
  <c r="AI139" i="6"/>
  <c r="AP38" i="4"/>
  <c r="AP44" i="4" s="1"/>
  <c r="AQ360" i="4"/>
  <c r="AQ2023" i="4"/>
  <c r="AR1960" i="4"/>
  <c r="AJ282" i="12"/>
  <c r="AJ11" i="6"/>
  <c r="AQ2017" i="4"/>
  <c r="AQ168" i="4"/>
  <c r="AR163" i="4"/>
  <c r="AS163" i="4" s="1"/>
  <c r="AQ1938" i="4"/>
  <c r="AQ31" i="4"/>
  <c r="AQ2012" i="4" s="1"/>
  <c r="AR326" i="4"/>
  <c r="AK449" i="12"/>
  <c r="AK182" i="6"/>
  <c r="AR387" i="4"/>
  <c r="AQ389" i="4"/>
  <c r="AJ84" i="6"/>
  <c r="AQ212" i="4"/>
  <c r="AR209" i="4"/>
  <c r="AS209" i="4" s="1"/>
  <c r="AQ1941" i="4"/>
  <c r="AP21" i="4"/>
  <c r="AP2003" i="4" s="1"/>
  <c r="AQ238" i="4"/>
  <c r="AK183" i="6"/>
  <c r="AK451" i="12"/>
  <c r="AR2030" i="4"/>
  <c r="AQ16" i="4"/>
  <c r="AK11" i="6"/>
  <c r="AK282" i="12"/>
  <c r="AK31" i="12" s="1"/>
  <c r="AR2017" i="4"/>
  <c r="AK370" i="12"/>
  <c r="AL445" i="12" s="1"/>
  <c r="AJ216" i="6"/>
  <c r="AJ178" i="6"/>
  <c r="AJ445" i="12"/>
  <c r="BD32" i="6"/>
  <c r="Z33" i="6"/>
  <c r="BD33" i="6" s="1"/>
  <c r="S27" i="5"/>
  <c r="S28" i="5" s="1"/>
  <c r="AN45" i="4"/>
  <c r="AN2025" i="4" s="1"/>
  <c r="S25" i="5"/>
  <c r="S58" i="5"/>
  <c r="AG12" i="6"/>
  <c r="AG13" i="6" s="1"/>
  <c r="Z343" i="12"/>
  <c r="Z172" i="6"/>
  <c r="AO44" i="4"/>
  <c r="AH12" i="6" s="1"/>
  <c r="AH13" i="6" s="1"/>
  <c r="AP278" i="4"/>
  <c r="AO265" i="4"/>
  <c r="AO280" i="4"/>
  <c r="AO285" i="4" s="1"/>
  <c r="AO295" i="4" s="1"/>
  <c r="AO298" i="4" s="1"/>
  <c r="AN266" i="4"/>
  <c r="AP366" i="4"/>
  <c r="AP375" i="4" s="1"/>
  <c r="AI84" i="6"/>
  <c r="AO377" i="4"/>
  <c r="AO378" i="4" s="1"/>
  <c r="R131" i="6"/>
  <c r="R132" i="6"/>
  <c r="R130" i="6"/>
  <c r="S29" i="8"/>
  <c r="S78" i="8" s="1"/>
  <c r="AJ12" i="5"/>
  <c r="AU91" i="6"/>
  <c r="AJ56" i="5"/>
  <c r="S91" i="8"/>
  <c r="S92" i="8" s="1"/>
  <c r="S71" i="8"/>
  <c r="S128" i="6"/>
  <c r="S129" i="6" s="1"/>
  <c r="S87" i="8"/>
  <c r="H176" i="14"/>
  <c r="M241" i="14"/>
  <c r="F176" i="14" s="1"/>
  <c r="W97" i="6"/>
  <c r="W103" i="6"/>
  <c r="W95" i="6"/>
  <c r="AU95" i="6" s="1"/>
  <c r="AU94" i="6"/>
  <c r="W150" i="6"/>
  <c r="W102" i="6"/>
  <c r="W78" i="8"/>
  <c r="X95" i="6"/>
  <c r="AX95" i="6" s="1"/>
  <c r="AI18" i="5"/>
  <c r="AI11" i="5"/>
  <c r="P50" i="5"/>
  <c r="Q50" i="5"/>
  <c r="R72" i="8"/>
  <c r="AI59" i="5" s="1"/>
  <c r="AI60" i="5" s="1"/>
  <c r="R51" i="8"/>
  <c r="Q76" i="8"/>
  <c r="Q77" i="8"/>
  <c r="AH32" i="5"/>
  <c r="Q62" i="8"/>
  <c r="Q73" i="8"/>
  <c r="Q75" i="8" s="1"/>
  <c r="AO13" i="4"/>
  <c r="AO1995" i="4" s="1"/>
  <c r="AO141" i="4"/>
  <c r="AX12" i="15"/>
  <c r="BW12" i="15" s="1"/>
  <c r="AP140" i="4"/>
  <c r="AP1936" i="4"/>
  <c r="L54" i="5"/>
  <c r="S105" i="6"/>
  <c r="C52" i="14"/>
  <c r="K53" i="5"/>
  <c r="R117" i="6"/>
  <c r="S115" i="6"/>
  <c r="R125" i="6"/>
  <c r="R122" i="6"/>
  <c r="R124" i="6"/>
  <c r="R121" i="6"/>
  <c r="S114" i="6"/>
  <c r="BN84" i="6"/>
  <c r="AH52" i="7"/>
  <c r="G68" i="14"/>
  <c r="H68" i="14"/>
  <c r="J68" i="14"/>
  <c r="F68" i="14"/>
  <c r="D68" i="14"/>
  <c r="I68" i="14"/>
  <c r="E68" i="14"/>
  <c r="C69" i="14"/>
  <c r="D64" i="14"/>
  <c r="H64" i="14"/>
  <c r="C63" i="14"/>
  <c r="F64" i="14"/>
  <c r="J64" i="14"/>
  <c r="E64" i="14"/>
  <c r="I64" i="14"/>
  <c r="G64" i="14"/>
  <c r="AE63" i="6"/>
  <c r="AD201" i="6"/>
  <c r="AP212" i="4"/>
  <c r="AP17" i="4" s="1"/>
  <c r="AP1941" i="4"/>
  <c r="AP168" i="4"/>
  <c r="AP1938" i="4"/>
  <c r="AO15" i="4"/>
  <c r="AO1997" i="4" s="1"/>
  <c r="AO169" i="4"/>
  <c r="BM89" i="6"/>
  <c r="AH89" i="6"/>
  <c r="AH61" i="6"/>
  <c r="AE347" i="12"/>
  <c r="AI447" i="12"/>
  <c r="X440" i="12"/>
  <c r="X424" i="12"/>
  <c r="H29" i="14"/>
  <c r="F29" i="14"/>
  <c r="I29" i="14"/>
  <c r="D29" i="14"/>
  <c r="G29" i="14"/>
  <c r="E29" i="14"/>
  <c r="J29" i="14"/>
  <c r="AO1959" i="4"/>
  <c r="AO1961" i="4" s="1"/>
  <c r="AO1962" i="4" s="1"/>
  <c r="AO1963" i="4" s="1"/>
  <c r="AO1957" i="4"/>
  <c r="AO1956" i="4"/>
  <c r="G25" i="14"/>
  <c r="D25" i="14"/>
  <c r="E25" i="14"/>
  <c r="J25" i="14"/>
  <c r="I25" i="14"/>
  <c r="H25" i="14"/>
  <c r="F25" i="14"/>
  <c r="AB69" i="6"/>
  <c r="V17" i="15"/>
  <c r="P210" i="14"/>
  <c r="P215" i="14" s="1"/>
  <c r="P225" i="14" s="1"/>
  <c r="P230" i="14" s="1"/>
  <c r="P219" i="14"/>
  <c r="P221" i="14" s="1"/>
  <c r="P209" i="14"/>
  <c r="O214" i="14"/>
  <c r="O211" i="14"/>
  <c r="O216" i="14" s="1"/>
  <c r="O226" i="14" s="1"/>
  <c r="O231" i="14" s="1"/>
  <c r="O241" i="14" s="1"/>
  <c r="AG337" i="12"/>
  <c r="AF326" i="12"/>
  <c r="AF410" i="12" s="1"/>
  <c r="AH455" i="12"/>
  <c r="AI455" i="12"/>
  <c r="AH392" i="12"/>
  <c r="AH417" i="12" s="1"/>
  <c r="AI359" i="12"/>
  <c r="Y106" i="6"/>
  <c r="H128" i="14"/>
  <c r="I128" i="14"/>
  <c r="C129" i="14"/>
  <c r="G128" i="14"/>
  <c r="F128" i="14"/>
  <c r="G136" i="14"/>
  <c r="J128" i="14"/>
  <c r="D128" i="14"/>
  <c r="C127" i="14"/>
  <c r="E128" i="14"/>
  <c r="X125" i="6"/>
  <c r="X122" i="6"/>
  <c r="X121" i="6"/>
  <c r="X124" i="6"/>
  <c r="X118" i="6"/>
  <c r="AX106" i="6"/>
  <c r="AW106" i="6" s="1"/>
  <c r="Q53" i="5"/>
  <c r="AX104" i="6"/>
  <c r="N232" i="14"/>
  <c r="N229" i="14" s="1"/>
  <c r="H201" i="14"/>
  <c r="X117" i="6"/>
  <c r="T91" i="6"/>
  <c r="T94" i="6"/>
  <c r="AE318" i="12"/>
  <c r="AE369" i="12" s="1"/>
  <c r="AE159" i="6"/>
  <c r="BK159" i="6" s="1"/>
  <c r="M49" i="5"/>
  <c r="M50" i="5" s="1"/>
  <c r="M48" i="5"/>
  <c r="BN181" i="6"/>
  <c r="O48" i="5"/>
  <c r="N49" i="5"/>
  <c r="N48" i="5"/>
  <c r="AI448" i="12"/>
  <c r="AI181" i="6"/>
  <c r="BI177" i="6"/>
  <c r="AN1999" i="4"/>
  <c r="AG32" i="12"/>
  <c r="AG284" i="12"/>
  <c r="AH180" i="6"/>
  <c r="AH447" i="12"/>
  <c r="AF39" i="6"/>
  <c r="AF303" i="12"/>
  <c r="AF33" i="12"/>
  <c r="AD177" i="6"/>
  <c r="AD444" i="12"/>
  <c r="AP2023" i="4"/>
  <c r="AD63" i="6"/>
  <c r="AO17" i="4"/>
  <c r="AO1999" i="4" s="1"/>
  <c r="AO213" i="4"/>
  <c r="BM180" i="6"/>
  <c r="U94" i="6"/>
  <c r="U91" i="6"/>
  <c r="Z327" i="12"/>
  <c r="Z411" i="12" s="1"/>
  <c r="X414" i="12"/>
  <c r="X338" i="12"/>
  <c r="X342" i="12" s="1"/>
  <c r="X350" i="12"/>
  <c r="V390" i="12"/>
  <c r="AN2010" i="4"/>
  <c r="U402" i="12"/>
  <c r="U435" i="12"/>
  <c r="U436" i="12" s="1"/>
  <c r="U405" i="12"/>
  <c r="U401" i="12"/>
  <c r="Y161" i="6"/>
  <c r="BA161" i="6" s="1"/>
  <c r="AZ161" i="6" s="1"/>
  <c r="AZ168" i="6" s="1"/>
  <c r="AZ171" i="6" s="1"/>
  <c r="Y320" i="12"/>
  <c r="V333" i="12"/>
  <c r="V394" i="12" s="1"/>
  <c r="V328" i="12"/>
  <c r="AP2028" i="4"/>
  <c r="AX13" i="15"/>
  <c r="AN2031" i="4"/>
  <c r="AN53" i="4"/>
  <c r="AG14" i="6"/>
  <c r="AG285" i="12"/>
  <c r="AO52" i="4"/>
  <c r="AO2028" i="4"/>
  <c r="O5" i="12" l="1"/>
  <c r="AK47" i="8"/>
  <c r="AL84" i="6"/>
  <c r="AJ52" i="7"/>
  <c r="AK143" i="12"/>
  <c r="AK84" i="6" s="1"/>
  <c r="AS2021" i="4"/>
  <c r="AK21" i="8"/>
  <c r="AL47" i="8"/>
  <c r="AS2023" i="4"/>
  <c r="AS168" i="4"/>
  <c r="AS1938" i="4"/>
  <c r="AR1939" i="4"/>
  <c r="AS177" i="4"/>
  <c r="AS2030" i="4"/>
  <c r="AL85" i="6"/>
  <c r="AS2022" i="4"/>
  <c r="AS2011" i="4"/>
  <c r="AR31" i="4"/>
  <c r="AR2012" i="4" s="1"/>
  <c r="AS326" i="4"/>
  <c r="AS31" i="4" s="1"/>
  <c r="AL11" i="6"/>
  <c r="AL282" i="12"/>
  <c r="AS2017" i="4"/>
  <c r="AS1941" i="4"/>
  <c r="AR389" i="4"/>
  <c r="AR390" i="4" s="1"/>
  <c r="AS387" i="4"/>
  <c r="AS389" i="4" s="1"/>
  <c r="AS1936" i="4"/>
  <c r="AS140" i="4"/>
  <c r="AR207" i="4"/>
  <c r="AR212" i="4" s="1"/>
  <c r="AS205" i="4"/>
  <c r="AS207" i="4" s="1"/>
  <c r="AS212" i="4" s="1"/>
  <c r="AK200" i="12"/>
  <c r="AL199" i="12"/>
  <c r="AL200" i="12" s="1"/>
  <c r="AS1954" i="4"/>
  <c r="AS1948" i="4"/>
  <c r="AS400" i="4"/>
  <c r="AS50" i="4"/>
  <c r="AS2029" i="4" s="1"/>
  <c r="Y112" i="6"/>
  <c r="Y114" i="6" s="1"/>
  <c r="O5" i="7"/>
  <c r="W5" i="4"/>
  <c r="X5" i="4" s="1"/>
  <c r="AY12" i="15"/>
  <c r="BX12" i="15" s="1"/>
  <c r="Y119" i="6"/>
  <c r="Y138" i="6"/>
  <c r="Y79" i="8"/>
  <c r="R52" i="5"/>
  <c r="R54" i="5" s="1"/>
  <c r="Y104" i="6"/>
  <c r="Y117" i="6" s="1"/>
  <c r="O227" i="14"/>
  <c r="BA97" i="6"/>
  <c r="O5" i="6"/>
  <c r="BA103" i="6"/>
  <c r="Q122" i="6"/>
  <c r="Q115" i="6"/>
  <c r="Q125" i="6"/>
  <c r="K54" i="5"/>
  <c r="Q124" i="6"/>
  <c r="Q121" i="6"/>
  <c r="Q114" i="6"/>
  <c r="Q105" i="6"/>
  <c r="Q117" i="6"/>
  <c r="C39" i="14"/>
  <c r="J53" i="5"/>
  <c r="BA102" i="6"/>
  <c r="AJ202" i="12"/>
  <c r="AJ200" i="12"/>
  <c r="Z95" i="6"/>
  <c r="BD95" i="6" s="1"/>
  <c r="Z102" i="6"/>
  <c r="BD102" i="6" s="1"/>
  <c r="AR217" i="4"/>
  <c r="Z78" i="8"/>
  <c r="BG89" i="6"/>
  <c r="BF89" i="6" s="1"/>
  <c r="BC94" i="6"/>
  <c r="BC91" i="6"/>
  <c r="AZ103" i="6"/>
  <c r="AZ102" i="6"/>
  <c r="AZ95" i="6"/>
  <c r="AZ97" i="6"/>
  <c r="Z97" i="6"/>
  <c r="BD97" i="6" s="1"/>
  <c r="AW104" i="6"/>
  <c r="AW98" i="6"/>
  <c r="Z103" i="6"/>
  <c r="BD103" i="6" s="1"/>
  <c r="Z150" i="6"/>
  <c r="AQ17" i="15"/>
  <c r="BP17" i="15" s="1"/>
  <c r="BP18" i="15" s="1"/>
  <c r="AQ2029" i="4"/>
  <c r="AP181" i="4"/>
  <c r="AQ181" i="4"/>
  <c r="AR180" i="4"/>
  <c r="AR181" i="4" s="1"/>
  <c r="AQ140" i="4"/>
  <c r="AQ141" i="4" s="1"/>
  <c r="AQ1998" i="4"/>
  <c r="AQ1936" i="4"/>
  <c r="AP470" i="4"/>
  <c r="AQ469" i="4"/>
  <c r="AF69" i="6"/>
  <c r="AG47" i="6"/>
  <c r="AG310" i="12"/>
  <c r="AG19" i="6"/>
  <c r="AN2036" i="4"/>
  <c r="AG293" i="12"/>
  <c r="AG60" i="12" s="1"/>
  <c r="AO1988" i="4"/>
  <c r="AO474" i="4"/>
  <c r="AH41" i="12" s="1"/>
  <c r="AR400" i="4"/>
  <c r="AQ400" i="4"/>
  <c r="AP2029" i="4"/>
  <c r="AR2029" i="4"/>
  <c r="AP2018" i="4"/>
  <c r="AI392" i="12"/>
  <c r="AI417" i="12" s="1"/>
  <c r="AJ359" i="12"/>
  <c r="AQ213" i="4"/>
  <c r="AQ17" i="4"/>
  <c r="AQ1999" i="4" s="1"/>
  <c r="AJ31" i="12"/>
  <c r="AP265" i="4"/>
  <c r="AP267" i="4" s="1"/>
  <c r="AP272" i="4" s="1"/>
  <c r="AQ278" i="4"/>
  <c r="AQ1957" i="4"/>
  <c r="AQ1959" i="4"/>
  <c r="AQ1961" i="4" s="1"/>
  <c r="AQ1956" i="4"/>
  <c r="AQ366" i="4"/>
  <c r="AQ38" i="4"/>
  <c r="AR360" i="4"/>
  <c r="AS360" i="4" s="1"/>
  <c r="AQ21" i="4"/>
  <c r="AQ2003" i="4" s="1"/>
  <c r="AR238" i="4"/>
  <c r="AK202" i="12"/>
  <c r="AR1936" i="4"/>
  <c r="AR140" i="4"/>
  <c r="AR1938" i="4"/>
  <c r="AR168" i="4"/>
  <c r="AR1956" i="4"/>
  <c r="AR1959" i="4"/>
  <c r="AR1961" i="4" s="1"/>
  <c r="AR1957" i="4"/>
  <c r="AK216" i="6"/>
  <c r="AK178" i="6"/>
  <c r="AK445" i="12"/>
  <c r="AK38" i="6"/>
  <c r="AR1941" i="4"/>
  <c r="AQ49" i="4"/>
  <c r="AQ390" i="4"/>
  <c r="AQ15" i="4"/>
  <c r="AQ169" i="4"/>
  <c r="AK139" i="6"/>
  <c r="AJ139" i="6"/>
  <c r="AN46" i="4"/>
  <c r="AP377" i="4"/>
  <c r="AP378" i="4" s="1"/>
  <c r="AO45" i="4"/>
  <c r="AO46" i="4" s="1"/>
  <c r="AP280" i="4"/>
  <c r="AP285" i="4" s="1"/>
  <c r="AP295" i="4" s="1"/>
  <c r="AP298" i="4" s="1"/>
  <c r="AO2024" i="4"/>
  <c r="AH283" i="12"/>
  <c r="AH32" i="12" s="1"/>
  <c r="AO29" i="4"/>
  <c r="AO266" i="4"/>
  <c r="AO267" i="4"/>
  <c r="AO272" i="4" s="1"/>
  <c r="AI52" i="7"/>
  <c r="J176" i="14"/>
  <c r="AJ11" i="5"/>
  <c r="AJ18" i="5"/>
  <c r="AU103" i="6"/>
  <c r="P52" i="5"/>
  <c r="W138" i="6"/>
  <c r="W113" i="6"/>
  <c r="S51" i="8"/>
  <c r="S72" i="8"/>
  <c r="AJ59" i="5" s="1"/>
  <c r="AJ60" i="5" s="1"/>
  <c r="W119" i="6"/>
  <c r="M227" i="14"/>
  <c r="W106" i="6"/>
  <c r="AU97" i="6"/>
  <c r="W98" i="6"/>
  <c r="AU98" i="6" s="1"/>
  <c r="W79" i="8"/>
  <c r="W104" i="6"/>
  <c r="X98" i="6"/>
  <c r="AX98" i="6" s="1"/>
  <c r="S131" i="6"/>
  <c r="S130" i="6"/>
  <c r="S132" i="6"/>
  <c r="R62" i="8"/>
  <c r="R77" i="8"/>
  <c r="R73" i="8"/>
  <c r="R75" i="8" s="1"/>
  <c r="R76" i="8"/>
  <c r="AI32" i="5"/>
  <c r="AI33" i="5" s="1"/>
  <c r="AI58" i="5" s="1"/>
  <c r="AU102" i="6"/>
  <c r="W112" i="6"/>
  <c r="P51" i="5"/>
  <c r="AD49" i="7"/>
  <c r="AP141" i="4"/>
  <c r="AP13" i="4"/>
  <c r="AP1995" i="4" s="1"/>
  <c r="AP213" i="4"/>
  <c r="H52" i="14"/>
  <c r="E52" i="14"/>
  <c r="C51" i="14"/>
  <c r="C53" i="14"/>
  <c r="J52" i="14"/>
  <c r="I52" i="14"/>
  <c r="G52" i="14"/>
  <c r="F52" i="14"/>
  <c r="D52" i="14"/>
  <c r="H69" i="14"/>
  <c r="G69" i="14"/>
  <c r="E69" i="14"/>
  <c r="F69" i="14"/>
  <c r="D69" i="14"/>
  <c r="I69" i="14"/>
  <c r="J69" i="14"/>
  <c r="D63" i="14"/>
  <c r="E63" i="14"/>
  <c r="F63" i="14"/>
  <c r="I63" i="14"/>
  <c r="J63" i="14"/>
  <c r="H63" i="14"/>
  <c r="G63" i="14"/>
  <c r="AP15" i="4"/>
  <c r="AP1997" i="4" s="1"/>
  <c r="AP169" i="4"/>
  <c r="AI89" i="6"/>
  <c r="BN89" i="6"/>
  <c r="AF347" i="12"/>
  <c r="P214" i="14"/>
  <c r="P211" i="14"/>
  <c r="P216" i="14" s="1"/>
  <c r="P226" i="14" s="1"/>
  <c r="P231" i="14" s="1"/>
  <c r="Y440" i="12"/>
  <c r="Y424" i="12"/>
  <c r="O217" i="14"/>
  <c r="O224" i="14"/>
  <c r="AP1956" i="4"/>
  <c r="AP1957" i="4"/>
  <c r="AP1959" i="4"/>
  <c r="AP1961" i="4" s="1"/>
  <c r="AP1962" i="4" s="1"/>
  <c r="AP1963" i="4" s="1"/>
  <c r="P5" i="12"/>
  <c r="P5" i="6"/>
  <c r="P5" i="8"/>
  <c r="P65" i="8" s="1"/>
  <c r="P5" i="7"/>
  <c r="Z424" i="12"/>
  <c r="AG396" i="12"/>
  <c r="AG421" i="12" s="1"/>
  <c r="AH337" i="12"/>
  <c r="AH396" i="12" s="1"/>
  <c r="AH421" i="12" s="1"/>
  <c r="AR45" i="5"/>
  <c r="AA77" i="6"/>
  <c r="AA67" i="8"/>
  <c r="AR10" i="5"/>
  <c r="AR20" i="5"/>
  <c r="AG326" i="12"/>
  <c r="AG410" i="12" s="1"/>
  <c r="H127" i="14"/>
  <c r="G127" i="14"/>
  <c r="I127" i="14"/>
  <c r="C126" i="14"/>
  <c r="D127" i="14"/>
  <c r="F127" i="14"/>
  <c r="E127" i="14"/>
  <c r="J127" i="14"/>
  <c r="C130" i="14"/>
  <c r="D129" i="14"/>
  <c r="H129" i="14"/>
  <c r="E129" i="14"/>
  <c r="F129" i="14"/>
  <c r="I129" i="14"/>
  <c r="G129" i="14"/>
  <c r="J129" i="14"/>
  <c r="Y118" i="6"/>
  <c r="BA106" i="6"/>
  <c r="AZ106" i="6" s="1"/>
  <c r="Y125" i="6"/>
  <c r="Y122" i="6"/>
  <c r="C190" i="14"/>
  <c r="N239" i="14"/>
  <c r="AF52" i="12"/>
  <c r="AF304" i="12"/>
  <c r="AE177" i="6"/>
  <c r="AE444" i="12"/>
  <c r="BN180" i="6"/>
  <c r="AP1999" i="4"/>
  <c r="BJ177" i="6"/>
  <c r="AF62" i="6"/>
  <c r="AF40" i="6"/>
  <c r="Z12" i="15" s="1"/>
  <c r="BA12" i="15" s="1"/>
  <c r="BZ12" i="15" s="1"/>
  <c r="AF159" i="6"/>
  <c r="BL159" i="6" s="1"/>
  <c r="AF318" i="12"/>
  <c r="AF369" i="12" s="1"/>
  <c r="U95" i="6"/>
  <c r="T95" i="6"/>
  <c r="T102" i="6"/>
  <c r="T103" i="6"/>
  <c r="T150" i="6"/>
  <c r="T78" i="8"/>
  <c r="T97" i="6"/>
  <c r="O50" i="5"/>
  <c r="N50" i="5"/>
  <c r="U78" i="8"/>
  <c r="U103" i="6"/>
  <c r="U97" i="6"/>
  <c r="U150" i="6"/>
  <c r="U102" i="6"/>
  <c r="V95" i="6"/>
  <c r="AR95" i="6" s="1"/>
  <c r="AI283" i="12"/>
  <c r="AI12" i="6"/>
  <c r="AI13" i="6" s="1"/>
  <c r="AP2024" i="4"/>
  <c r="AP45" i="4"/>
  <c r="AG303" i="12"/>
  <c r="AG39" i="6"/>
  <c r="AG33" i="12"/>
  <c r="W390" i="12"/>
  <c r="Z161" i="6"/>
  <c r="Z320" i="12"/>
  <c r="V356" i="12"/>
  <c r="V338" i="12"/>
  <c r="V342" i="12" s="1"/>
  <c r="Y371" i="12"/>
  <c r="Y414" i="12" s="1"/>
  <c r="W333" i="12"/>
  <c r="W394" i="12" s="1"/>
  <c r="W328" i="12"/>
  <c r="V415" i="12"/>
  <c r="V425" i="12" s="1"/>
  <c r="V432" i="12" s="1"/>
  <c r="V400" i="12"/>
  <c r="AI14" i="6"/>
  <c r="AP53" i="4"/>
  <c r="AI285" i="12"/>
  <c r="AP2031" i="4"/>
  <c r="BW13" i="15"/>
  <c r="AH285" i="12"/>
  <c r="AO2031" i="4"/>
  <c r="AH14" i="6"/>
  <c r="AO53" i="4"/>
  <c r="Y121" i="6" l="1"/>
  <c r="AL52" i="7"/>
  <c r="AL50" i="7" s="1"/>
  <c r="AK52" i="7"/>
  <c r="AR49" i="4"/>
  <c r="AR52" i="4" s="1"/>
  <c r="AL21" i="8"/>
  <c r="AJ89" i="6"/>
  <c r="Y124" i="6"/>
  <c r="AS2012" i="4"/>
  <c r="AS213" i="4"/>
  <c r="AS17" i="4"/>
  <c r="AS38" i="4"/>
  <c r="AS366" i="4"/>
  <c r="AS1949" i="4"/>
  <c r="AS1955" i="4" s="1"/>
  <c r="AS1939" i="4"/>
  <c r="AS180" i="4"/>
  <c r="AS390" i="4"/>
  <c r="AS49" i="4"/>
  <c r="AR21" i="4"/>
  <c r="AR2003" i="4" s="1"/>
  <c r="AS238" i="4"/>
  <c r="AS21" i="4" s="1"/>
  <c r="AR18" i="4"/>
  <c r="AR2000" i="4" s="1"/>
  <c r="AS217" i="4"/>
  <c r="AS18" i="4" s="1"/>
  <c r="AL202" i="12"/>
  <c r="AS13" i="4"/>
  <c r="AS141" i="4"/>
  <c r="AL31" i="12"/>
  <c r="AS169" i="4"/>
  <c r="AS15" i="4"/>
  <c r="R53" i="5"/>
  <c r="O232" i="14"/>
  <c r="O229" i="14" s="1"/>
  <c r="BA104" i="6"/>
  <c r="Y105" i="6"/>
  <c r="BA105" i="6" s="1"/>
  <c r="D39" i="14"/>
  <c r="I39" i="14"/>
  <c r="J39" i="14"/>
  <c r="C40" i="14"/>
  <c r="C38" i="14"/>
  <c r="E39" i="14"/>
  <c r="G39" i="14"/>
  <c r="F39" i="14"/>
  <c r="H39" i="14"/>
  <c r="Z112" i="6"/>
  <c r="Z121" i="6" s="1"/>
  <c r="S51" i="5"/>
  <c r="Z119" i="6"/>
  <c r="Z106" i="6"/>
  <c r="Z118" i="6" s="1"/>
  <c r="Z104" i="6"/>
  <c r="BD104" i="6" s="1"/>
  <c r="Z79" i="8"/>
  <c r="P227" i="14"/>
  <c r="Z113" i="6"/>
  <c r="Z122" i="6" s="1"/>
  <c r="S52" i="5"/>
  <c r="S54" i="5" s="1"/>
  <c r="Z98" i="6"/>
  <c r="BD98" i="6" s="1"/>
  <c r="AZ104" i="6"/>
  <c r="AZ98" i="6"/>
  <c r="BC103" i="6"/>
  <c r="BC97" i="6"/>
  <c r="BC95" i="6"/>
  <c r="BC102" i="6"/>
  <c r="Z138" i="6"/>
  <c r="AR16" i="4"/>
  <c r="AR1998" i="4" s="1"/>
  <c r="AQ13" i="4"/>
  <c r="AQ1995" i="4" s="1"/>
  <c r="AO2010" i="4"/>
  <c r="AH47" i="6"/>
  <c r="AW17" i="15" s="1"/>
  <c r="AB17" i="15" s="1"/>
  <c r="AH310" i="12"/>
  <c r="AR17" i="15"/>
  <c r="AG69" i="6"/>
  <c r="AH19" i="6"/>
  <c r="AO2036" i="4"/>
  <c r="AH293" i="12"/>
  <c r="AH60" i="12" s="1"/>
  <c r="AR469" i="4"/>
  <c r="AQ470" i="4"/>
  <c r="AP1988" i="4"/>
  <c r="AP474" i="4"/>
  <c r="AI41" i="12" s="1"/>
  <c r="AP266" i="4"/>
  <c r="AO2025" i="4"/>
  <c r="AQ1997" i="4"/>
  <c r="AR1962" i="4"/>
  <c r="AR1963" i="4" s="1"/>
  <c r="AR141" i="4"/>
  <c r="AR13" i="4"/>
  <c r="AQ2018" i="4"/>
  <c r="AQ44" i="4"/>
  <c r="AJ392" i="12"/>
  <c r="AJ417" i="12" s="1"/>
  <c r="AK359" i="12"/>
  <c r="AR213" i="4"/>
  <c r="AR17" i="4"/>
  <c r="AR1999" i="4" s="1"/>
  <c r="AQ375" i="4"/>
  <c r="AQ377" i="4"/>
  <c r="AQ378" i="4" s="1"/>
  <c r="AR169" i="4"/>
  <c r="AR15" i="4"/>
  <c r="AR1997" i="4" s="1"/>
  <c r="AQ1962" i="4"/>
  <c r="AQ1963" i="4" s="1"/>
  <c r="AQ265" i="4"/>
  <c r="AQ267" i="4" s="1"/>
  <c r="AQ272" i="4" s="1"/>
  <c r="AR278" i="4"/>
  <c r="AJ38" i="6"/>
  <c r="AK61" i="6" s="1"/>
  <c r="AJ302" i="12"/>
  <c r="AQ2028" i="4"/>
  <c r="AQ52" i="4"/>
  <c r="AK302" i="12"/>
  <c r="AR366" i="4"/>
  <c r="AR38" i="4"/>
  <c r="AQ280" i="4"/>
  <c r="AQ285" i="4" s="1"/>
  <c r="AQ295" i="4" s="1"/>
  <c r="AQ298" i="4" s="1"/>
  <c r="AH284" i="12"/>
  <c r="AP29" i="4"/>
  <c r="AP2010" i="4" s="1"/>
  <c r="W125" i="6"/>
  <c r="W115" i="6"/>
  <c r="W122" i="6"/>
  <c r="X115" i="6"/>
  <c r="P54" i="5"/>
  <c r="Q54" i="5"/>
  <c r="W124" i="6"/>
  <c r="W114" i="6"/>
  <c r="W121" i="6"/>
  <c r="X114" i="6"/>
  <c r="AJ32" i="5"/>
  <c r="AJ33" i="5" s="1"/>
  <c r="AJ58" i="5" s="1"/>
  <c r="S76" i="8"/>
  <c r="S62" i="8"/>
  <c r="S77" i="8"/>
  <c r="S73" i="8"/>
  <c r="S75" i="8" s="1"/>
  <c r="AU104" i="6"/>
  <c r="H177" i="14"/>
  <c r="W117" i="6"/>
  <c r="M232" i="14"/>
  <c r="M229" i="14" s="1"/>
  <c r="W105" i="6"/>
  <c r="AU105" i="6" s="1"/>
  <c r="P53" i="5"/>
  <c r="X105" i="6"/>
  <c r="AX105" i="6" s="1"/>
  <c r="AU106" i="6"/>
  <c r="C147" i="14"/>
  <c r="W118" i="6"/>
  <c r="C54" i="14"/>
  <c r="E53" i="14"/>
  <c r="D53" i="14"/>
  <c r="G53" i="14"/>
  <c r="I53" i="14"/>
  <c r="J53" i="14"/>
  <c r="H53" i="14"/>
  <c r="F53" i="14"/>
  <c r="C50" i="14"/>
  <c r="J51" i="14"/>
  <c r="G51" i="14"/>
  <c r="I51" i="14"/>
  <c r="H51" i="14"/>
  <c r="E51" i="14"/>
  <c r="F51" i="14"/>
  <c r="D51" i="14"/>
  <c r="AF63" i="6"/>
  <c r="AF201" i="6"/>
  <c r="AG347" i="12"/>
  <c r="P241" i="14"/>
  <c r="P224" i="14"/>
  <c r="P217" i="14"/>
  <c r="Q5" i="8"/>
  <c r="Q65" i="8" s="1"/>
  <c r="Q5" i="7"/>
  <c r="Y5" i="4"/>
  <c r="Q5" i="12"/>
  <c r="Q5" i="6"/>
  <c r="AA424" i="12"/>
  <c r="AI337" i="12"/>
  <c r="AI396" i="12" s="1"/>
  <c r="AI421" i="12" s="1"/>
  <c r="AR25" i="5"/>
  <c r="BG76" i="6"/>
  <c r="BF76" i="6" s="1"/>
  <c r="AA78" i="6"/>
  <c r="AR44" i="5"/>
  <c r="BG77" i="6"/>
  <c r="BF77" i="6" s="1"/>
  <c r="AA68" i="8"/>
  <c r="AA69" i="8"/>
  <c r="AI326" i="12"/>
  <c r="AI410" i="12" s="1"/>
  <c r="AH326" i="12"/>
  <c r="AH410" i="12" s="1"/>
  <c r="J126" i="14"/>
  <c r="E126" i="14"/>
  <c r="D126" i="14"/>
  <c r="F126" i="14"/>
  <c r="C125" i="14"/>
  <c r="I126" i="14"/>
  <c r="G126" i="14"/>
  <c r="H126" i="14"/>
  <c r="E130" i="14"/>
  <c r="H130" i="14"/>
  <c r="I130" i="14"/>
  <c r="J130" i="14"/>
  <c r="C131" i="14"/>
  <c r="G130" i="14"/>
  <c r="D130" i="14"/>
  <c r="F130" i="14"/>
  <c r="I190" i="14"/>
  <c r="C191" i="14"/>
  <c r="H197" i="14"/>
  <c r="D190" i="14"/>
  <c r="J190" i="14"/>
  <c r="G190" i="14"/>
  <c r="F197" i="14" s="1"/>
  <c r="F190" i="14"/>
  <c r="C189" i="14"/>
  <c r="E190" i="14"/>
  <c r="H190" i="14"/>
  <c r="M52" i="5"/>
  <c r="M54" i="5" s="1"/>
  <c r="T138" i="6"/>
  <c r="T113" i="6"/>
  <c r="U112" i="6"/>
  <c r="N51" i="5"/>
  <c r="BK177" i="6"/>
  <c r="AG159" i="6"/>
  <c r="BM159" i="6" s="1"/>
  <c r="AG318" i="12"/>
  <c r="AG369" i="12" s="1"/>
  <c r="M51" i="5"/>
  <c r="T112" i="6"/>
  <c r="AF177" i="6"/>
  <c r="AF444" i="12"/>
  <c r="AI159" i="6"/>
  <c r="AG52" i="12"/>
  <c r="AG304" i="12"/>
  <c r="AI284" i="12"/>
  <c r="AI32" i="12"/>
  <c r="U98" i="6"/>
  <c r="T106" i="6"/>
  <c r="T118" i="6" s="1"/>
  <c r="T79" i="8"/>
  <c r="T98" i="6"/>
  <c r="T104" i="6"/>
  <c r="AH303" i="12"/>
  <c r="AH39" i="6"/>
  <c r="AH33" i="12"/>
  <c r="AP46" i="4"/>
  <c r="AP2025" i="4"/>
  <c r="AG40" i="6"/>
  <c r="AG62" i="6"/>
  <c r="V98" i="6"/>
  <c r="AR98" i="6" s="1"/>
  <c r="U106" i="6"/>
  <c r="U104" i="6"/>
  <c r="U79" i="8"/>
  <c r="U119" i="6"/>
  <c r="U138" i="6"/>
  <c r="N52" i="5"/>
  <c r="U113" i="6"/>
  <c r="AA161" i="6"/>
  <c r="BG161" i="6" s="1"/>
  <c r="BF161" i="6" s="1"/>
  <c r="AA320" i="12"/>
  <c r="Y179" i="6"/>
  <c r="Y446" i="12"/>
  <c r="Y375" i="12"/>
  <c r="Y378" i="12" s="1"/>
  <c r="X333" i="12"/>
  <c r="X394" i="12" s="1"/>
  <c r="X328" i="12"/>
  <c r="Z371" i="12"/>
  <c r="V435" i="12"/>
  <c r="V436" i="12" s="1"/>
  <c r="V402" i="12"/>
  <c r="V401" i="12"/>
  <c r="AA327" i="12"/>
  <c r="AA411" i="12" s="1"/>
  <c r="X390" i="12"/>
  <c r="W415" i="12"/>
  <c r="W425" i="12" s="1"/>
  <c r="W432" i="12" s="1"/>
  <c r="AR2028" i="4" l="1"/>
  <c r="O239" i="14"/>
  <c r="O242" i="14" s="1"/>
  <c r="O237" i="14" s="1"/>
  <c r="AS2000" i="4"/>
  <c r="BA17" i="15"/>
  <c r="BZ17" i="15" s="1"/>
  <c r="AK89" i="6"/>
  <c r="AL53" i="7"/>
  <c r="AL38" i="6"/>
  <c r="AL302" i="12"/>
  <c r="AS375" i="4"/>
  <c r="AS377" i="4"/>
  <c r="AK392" i="12"/>
  <c r="AK417" i="12" s="1"/>
  <c r="AL359" i="12"/>
  <c r="AL392" i="12" s="1"/>
  <c r="AL417" i="12" s="1"/>
  <c r="AS1997" i="4"/>
  <c r="AS52" i="4"/>
  <c r="AS2028" i="4"/>
  <c r="AS2018" i="4"/>
  <c r="AS44" i="4"/>
  <c r="AR265" i="4"/>
  <c r="AR266" i="4" s="1"/>
  <c r="AS278" i="4"/>
  <c r="AS265" i="4" s="1"/>
  <c r="AR470" i="4"/>
  <c r="AR474" i="4" s="1"/>
  <c r="AK41" i="12" s="1"/>
  <c r="AS469" i="4"/>
  <c r="AS470" i="4" s="1"/>
  <c r="AS1995" i="4"/>
  <c r="AS1959" i="4"/>
  <c r="AS1961" i="4" s="1"/>
  <c r="AS1962" i="4" s="1"/>
  <c r="AS1963" i="4" s="1"/>
  <c r="AS1956" i="4"/>
  <c r="AS1957" i="4"/>
  <c r="AS1999" i="4"/>
  <c r="AS2003" i="4"/>
  <c r="AS181" i="4"/>
  <c r="AS16" i="4"/>
  <c r="AS1998" i="4" s="1"/>
  <c r="E38" i="14"/>
  <c r="J38" i="14"/>
  <c r="C37" i="14"/>
  <c r="H38" i="14"/>
  <c r="F38" i="14"/>
  <c r="G38" i="14"/>
  <c r="I38" i="14"/>
  <c r="D38" i="14"/>
  <c r="D40" i="14"/>
  <c r="E40" i="14"/>
  <c r="J40" i="14"/>
  <c r="F40" i="14"/>
  <c r="C41" i="14"/>
  <c r="I40" i="14"/>
  <c r="G40" i="14"/>
  <c r="H40" i="14"/>
  <c r="Z114" i="6"/>
  <c r="Z124" i="6"/>
  <c r="Z117" i="6"/>
  <c r="BD106" i="6"/>
  <c r="BC106" i="6" s="1"/>
  <c r="S53" i="5"/>
  <c r="P232" i="14"/>
  <c r="P229" i="14" s="1"/>
  <c r="Z105" i="6"/>
  <c r="BD105" i="6" s="1"/>
  <c r="Z115" i="6"/>
  <c r="Z125" i="6"/>
  <c r="BC104" i="6"/>
  <c r="BC98" i="6"/>
  <c r="AZ17" i="15"/>
  <c r="BY17" i="15" s="1"/>
  <c r="AI47" i="6"/>
  <c r="AI310" i="12"/>
  <c r="AI293" i="12"/>
  <c r="AI60" i="12" s="1"/>
  <c r="AI19" i="6"/>
  <c r="AP2036" i="4"/>
  <c r="AQ474" i="4"/>
  <c r="AJ41" i="12" s="1"/>
  <c r="AQ1988" i="4"/>
  <c r="AR18" i="15"/>
  <c r="BQ17" i="15"/>
  <c r="AT17" i="15"/>
  <c r="AU17" i="15"/>
  <c r="AH69" i="6"/>
  <c r="AV17" i="15"/>
  <c r="BU17" i="15" s="1"/>
  <c r="AY17" i="15"/>
  <c r="BX17" i="15" s="1"/>
  <c r="AS17" i="15"/>
  <c r="AX17" i="15"/>
  <c r="BW17" i="15" s="1"/>
  <c r="AR280" i="4"/>
  <c r="AR285" i="4" s="1"/>
  <c r="AR295" i="4" s="1"/>
  <c r="AR298" i="4" s="1"/>
  <c r="AR29" i="4" s="1"/>
  <c r="AR44" i="4"/>
  <c r="AR2018" i="4"/>
  <c r="AJ14" i="6"/>
  <c r="AJ285" i="12"/>
  <c r="AQ53" i="4"/>
  <c r="AQ2031" i="4"/>
  <c r="AQ29" i="4"/>
  <c r="AR375" i="4"/>
  <c r="AR377" i="4"/>
  <c r="AR378" i="4" s="1"/>
  <c r="AQ266" i="4"/>
  <c r="AR1995" i="4"/>
  <c r="AK14" i="6"/>
  <c r="AK285" i="12"/>
  <c r="AR53" i="4"/>
  <c r="AR2031" i="4"/>
  <c r="AQ2024" i="4"/>
  <c r="AJ12" i="6"/>
  <c r="AJ13" i="6" s="1"/>
  <c r="AJ283" i="12"/>
  <c r="AQ45" i="4"/>
  <c r="AJ61" i="6"/>
  <c r="AD23" i="8"/>
  <c r="BF78" i="6"/>
  <c r="C148" i="14"/>
  <c r="G147" i="14"/>
  <c r="C146" i="14"/>
  <c r="D147" i="14"/>
  <c r="J147" i="14"/>
  <c r="E147" i="14"/>
  <c r="I147" i="14"/>
  <c r="H147" i="14"/>
  <c r="F147" i="14"/>
  <c r="C167" i="14"/>
  <c r="M239" i="14"/>
  <c r="D54" i="14"/>
  <c r="E54" i="14"/>
  <c r="G54" i="14"/>
  <c r="I54" i="14"/>
  <c r="F54" i="14"/>
  <c r="H54" i="14"/>
  <c r="J54" i="14"/>
  <c r="E50" i="14"/>
  <c r="J50" i="14"/>
  <c r="I50" i="14"/>
  <c r="F50" i="14"/>
  <c r="G50" i="14"/>
  <c r="H50" i="14"/>
  <c r="D50" i="14"/>
  <c r="AG63" i="6"/>
  <c r="AG201" i="6"/>
  <c r="AH347" i="12"/>
  <c r="R5" i="6"/>
  <c r="R5" i="8"/>
  <c r="R65" i="8" s="1"/>
  <c r="R5" i="12"/>
  <c r="Z5" i="4"/>
  <c r="R5" i="7"/>
  <c r="AB424" i="12"/>
  <c r="AR24" i="5"/>
  <c r="AR30" i="5"/>
  <c r="AR38" i="5"/>
  <c r="Q212" i="14"/>
  <c r="BG78" i="6"/>
  <c r="T37" i="5"/>
  <c r="F125" i="14"/>
  <c r="G125" i="14"/>
  <c r="D125" i="14"/>
  <c r="J125" i="14"/>
  <c r="H125" i="14"/>
  <c r="E125" i="14"/>
  <c r="I125" i="14"/>
  <c r="G131" i="14"/>
  <c r="D131" i="14"/>
  <c r="I131" i="14"/>
  <c r="E131" i="14"/>
  <c r="F131" i="14"/>
  <c r="H131" i="14"/>
  <c r="J131" i="14"/>
  <c r="I189" i="14"/>
  <c r="J189" i="14"/>
  <c r="H189" i="14"/>
  <c r="C188" i="14"/>
  <c r="D189" i="14"/>
  <c r="E189" i="14"/>
  <c r="G189" i="14"/>
  <c r="F189" i="14"/>
  <c r="E191" i="14"/>
  <c r="G191" i="14"/>
  <c r="H191" i="14"/>
  <c r="C192" i="14"/>
  <c r="I191" i="14"/>
  <c r="F191" i="14"/>
  <c r="J191" i="14"/>
  <c r="D191" i="14"/>
  <c r="J197" i="14"/>
  <c r="O54" i="5"/>
  <c r="N54" i="5"/>
  <c r="AH62" i="6"/>
  <c r="AH40" i="6"/>
  <c r="AI33" i="12"/>
  <c r="AI39" i="6"/>
  <c r="AI303" i="12"/>
  <c r="BL177" i="6"/>
  <c r="AG177" i="6"/>
  <c r="AG444" i="12"/>
  <c r="T115" i="6"/>
  <c r="T122" i="6"/>
  <c r="T125" i="6"/>
  <c r="U117" i="6"/>
  <c r="U105" i="6"/>
  <c r="N53" i="5"/>
  <c r="C95" i="14"/>
  <c r="V105" i="6"/>
  <c r="AR105" i="6" s="1"/>
  <c r="T121" i="6"/>
  <c r="T124" i="6"/>
  <c r="T114" i="6"/>
  <c r="U124" i="6"/>
  <c r="V114" i="6"/>
  <c r="U121" i="6"/>
  <c r="U114" i="6"/>
  <c r="AI318" i="12"/>
  <c r="AI369" i="12" s="1"/>
  <c r="U118" i="6"/>
  <c r="C109" i="14"/>
  <c r="U125" i="6"/>
  <c r="V115" i="6"/>
  <c r="U122" i="6"/>
  <c r="U115" i="6"/>
  <c r="AH318" i="12"/>
  <c r="AH369" i="12" s="1"/>
  <c r="AH159" i="6"/>
  <c r="BN159" i="6" s="1"/>
  <c r="AH304" i="12"/>
  <c r="AH52" i="12"/>
  <c r="T105" i="6"/>
  <c r="M53" i="5"/>
  <c r="C81" i="14"/>
  <c r="T117" i="6"/>
  <c r="Z179" i="6"/>
  <c r="Z446" i="12"/>
  <c r="Z375" i="12"/>
  <c r="Z378" i="12" s="1"/>
  <c r="BA179" i="6"/>
  <c r="AZ179" i="6" s="1"/>
  <c r="AZ184" i="6" s="1"/>
  <c r="AZ186" i="6" s="1"/>
  <c r="AZ189" i="6" s="1"/>
  <c r="AZ190" i="6" s="1"/>
  <c r="Y184" i="6"/>
  <c r="X415" i="12"/>
  <c r="X425" i="12" s="1"/>
  <c r="X432" i="12" s="1"/>
  <c r="Y333" i="12"/>
  <c r="Y394" i="12" s="1"/>
  <c r="Y328" i="12"/>
  <c r="AA371" i="12"/>
  <c r="AA414" i="12" s="1"/>
  <c r="AB327" i="12"/>
  <c r="AB411" i="12" s="1"/>
  <c r="Y382" i="12"/>
  <c r="Y452" i="12"/>
  <c r="Y390" i="12"/>
  <c r="Z414" i="12"/>
  <c r="AB320" i="12"/>
  <c r="AB161" i="6"/>
  <c r="AR1988" i="4" l="1"/>
  <c r="AL89" i="6"/>
  <c r="AR267" i="4"/>
  <c r="AR272" i="4" s="1"/>
  <c r="AS266" i="4"/>
  <c r="AS280" i="4"/>
  <c r="AS285" i="4" s="1"/>
  <c r="AS295" i="4" s="1"/>
  <c r="AS298" i="4" s="1"/>
  <c r="AS474" i="4"/>
  <c r="AL41" i="12" s="1"/>
  <c r="AS1988" i="4"/>
  <c r="AS267" i="4"/>
  <c r="AS272" i="4" s="1"/>
  <c r="AL285" i="12"/>
  <c r="AL14" i="6"/>
  <c r="AS53" i="4"/>
  <c r="AS2031" i="4"/>
  <c r="AS378" i="4"/>
  <c r="AL12" i="6"/>
  <c r="AL13" i="6" s="1"/>
  <c r="AL283" i="12"/>
  <c r="AS2024" i="4"/>
  <c r="AS45" i="4"/>
  <c r="AL61" i="6"/>
  <c r="H41" i="14"/>
  <c r="G41" i="14"/>
  <c r="F41" i="14"/>
  <c r="D41" i="14"/>
  <c r="I41" i="14"/>
  <c r="J41" i="14"/>
  <c r="E41" i="14"/>
  <c r="E37" i="14"/>
  <c r="D37" i="14"/>
  <c r="F37" i="14"/>
  <c r="I37" i="14"/>
  <c r="G37" i="14"/>
  <c r="H37" i="14"/>
  <c r="J37" i="14"/>
  <c r="P239" i="14"/>
  <c r="P242" i="14" s="1"/>
  <c r="P237" i="14" s="1"/>
  <c r="BV17" i="15"/>
  <c r="AK310" i="12"/>
  <c r="AK47" i="6"/>
  <c r="AK19" i="6"/>
  <c r="AK293" i="12"/>
  <c r="AK60" i="12" s="1"/>
  <c r="AR2036" i="4"/>
  <c r="M240" i="14"/>
  <c r="M235" i="14" s="1"/>
  <c r="BQ18" i="15"/>
  <c r="AS18" i="15"/>
  <c r="BR17" i="15"/>
  <c r="AU18" i="15"/>
  <c r="BT17" i="15"/>
  <c r="BT18" i="15" s="1"/>
  <c r="AJ19" i="6"/>
  <c r="AQ2036" i="4"/>
  <c r="AJ293" i="12"/>
  <c r="AJ60" i="12" s="1"/>
  <c r="BS17" i="15"/>
  <c r="BS18" i="15" s="1"/>
  <c r="BS27" i="15" s="1"/>
  <c r="BS30" i="15" s="1"/>
  <c r="BS33" i="15" s="1"/>
  <c r="AT18" i="15"/>
  <c r="AJ47" i="6"/>
  <c r="AJ310" i="12"/>
  <c r="AI69" i="6"/>
  <c r="AI177" i="6"/>
  <c r="AJ444" i="12"/>
  <c r="AQ2025" i="4"/>
  <c r="AQ46" i="4"/>
  <c r="AJ32" i="12"/>
  <c r="AJ284" i="12"/>
  <c r="AQ2010" i="4"/>
  <c r="AR2010" i="4"/>
  <c r="AR2024" i="4"/>
  <c r="AK12" i="6"/>
  <c r="AK13" i="6" s="1"/>
  <c r="AK283" i="12"/>
  <c r="AR45" i="4"/>
  <c r="BH161" i="6"/>
  <c r="BD161" i="6"/>
  <c r="BC161" i="6" s="1"/>
  <c r="I167" i="14"/>
  <c r="J167" i="14"/>
  <c r="E167" i="14"/>
  <c r="D167" i="14"/>
  <c r="F167" i="14"/>
  <c r="H167" i="14"/>
  <c r="G167" i="14"/>
  <c r="F174" i="14" s="1"/>
  <c r="C168" i="14"/>
  <c r="C166" i="14"/>
  <c r="H174" i="14"/>
  <c r="D146" i="14"/>
  <c r="C145" i="14"/>
  <c r="G146" i="14"/>
  <c r="E146" i="14"/>
  <c r="I146" i="14"/>
  <c r="F146" i="14"/>
  <c r="J146" i="14"/>
  <c r="H146" i="14"/>
  <c r="F148" i="14"/>
  <c r="I148" i="14"/>
  <c r="C149" i="14"/>
  <c r="G148" i="14"/>
  <c r="H148" i="14"/>
  <c r="D148" i="14"/>
  <c r="J148" i="14"/>
  <c r="E148" i="14"/>
  <c r="AE49" i="7"/>
  <c r="AH63" i="6"/>
  <c r="AH201" i="6"/>
  <c r="AI444" i="12"/>
  <c r="AI347" i="12"/>
  <c r="S5" i="12"/>
  <c r="AA5" i="4"/>
  <c r="S5" i="7"/>
  <c r="S61" i="7" s="1"/>
  <c r="S5" i="8"/>
  <c r="S65" i="8" s="1"/>
  <c r="S5" i="6"/>
  <c r="T38" i="5"/>
  <c r="AR14" i="5"/>
  <c r="C187" i="14"/>
  <c r="I188" i="14"/>
  <c r="H188" i="14"/>
  <c r="E188" i="14"/>
  <c r="F188" i="14"/>
  <c r="D188" i="14"/>
  <c r="G188" i="14"/>
  <c r="J188" i="14"/>
  <c r="G192" i="14"/>
  <c r="F192" i="14"/>
  <c r="E192" i="14"/>
  <c r="I192" i="14"/>
  <c r="C193" i="14"/>
  <c r="H192" i="14"/>
  <c r="J192" i="14"/>
  <c r="D192" i="14"/>
  <c r="AA390" i="12"/>
  <c r="D81" i="14"/>
  <c r="J81" i="14"/>
  <c r="G81" i="14"/>
  <c r="E81" i="14"/>
  <c r="C82" i="14"/>
  <c r="F81" i="14"/>
  <c r="I81" i="14"/>
  <c r="C80" i="14"/>
  <c r="H81" i="14"/>
  <c r="AH444" i="12"/>
  <c r="AH177" i="6"/>
  <c r="BM177" i="6"/>
  <c r="J109" i="14"/>
  <c r="C110" i="14"/>
  <c r="H109" i="14"/>
  <c r="I109" i="14"/>
  <c r="D109" i="14"/>
  <c r="C108" i="14"/>
  <c r="E109" i="14"/>
  <c r="F109" i="14"/>
  <c r="G109" i="14"/>
  <c r="AI62" i="6"/>
  <c r="AI40" i="6"/>
  <c r="AI52" i="12"/>
  <c r="AI304" i="12"/>
  <c r="H95" i="14"/>
  <c r="E95" i="14"/>
  <c r="D95" i="14"/>
  <c r="F95" i="14"/>
  <c r="J95" i="14"/>
  <c r="G95" i="14"/>
  <c r="I95" i="14"/>
  <c r="C94" i="14"/>
  <c r="C96" i="14"/>
  <c r="AC327" i="12"/>
  <c r="AC411" i="12" s="1"/>
  <c r="Y415" i="12"/>
  <c r="Y425" i="12" s="1"/>
  <c r="Y432" i="12" s="1"/>
  <c r="Z184" i="6"/>
  <c r="Z390" i="12"/>
  <c r="Z333" i="12"/>
  <c r="Z394" i="12" s="1"/>
  <c r="Z328" i="12"/>
  <c r="Z452" i="12"/>
  <c r="Z382" i="12"/>
  <c r="AB371" i="12"/>
  <c r="AB414" i="12" s="1"/>
  <c r="AC161" i="6"/>
  <c r="BI161" i="6" s="1"/>
  <c r="AC320" i="12"/>
  <c r="AA179" i="6"/>
  <c r="AA446" i="12"/>
  <c r="BA184" i="6"/>
  <c r="Y186" i="6"/>
  <c r="U5" i="7"/>
  <c r="U61" i="7" s="1"/>
  <c r="U5" i="6"/>
  <c r="U5" i="8"/>
  <c r="U5" i="12"/>
  <c r="AJ347" i="12" l="1"/>
  <c r="AL47" i="6"/>
  <c r="AL310" i="12"/>
  <c r="AS46" i="4"/>
  <c r="AS2025" i="4"/>
  <c r="AL32" i="12"/>
  <c r="AL284" i="12"/>
  <c r="AL293" i="12"/>
  <c r="AL60" i="12" s="1"/>
  <c r="AL19" i="6"/>
  <c r="AS2036" i="4"/>
  <c r="AS29" i="4"/>
  <c r="M242" i="14"/>
  <c r="M237" i="14" s="1"/>
  <c r="N240" i="14"/>
  <c r="F198" i="14"/>
  <c r="BR18" i="15"/>
  <c r="AS19" i="15"/>
  <c r="AS27" i="15"/>
  <c r="AS30" i="15" s="1"/>
  <c r="AK69" i="6"/>
  <c r="AJ69" i="6"/>
  <c r="BT27" i="15"/>
  <c r="BT30" i="15" s="1"/>
  <c r="BT33" i="15" s="1"/>
  <c r="BT19" i="15"/>
  <c r="AT27" i="15"/>
  <c r="AT30" i="15" s="1"/>
  <c r="AT19" i="15"/>
  <c r="AU27" i="15"/>
  <c r="AU30" i="15" s="1"/>
  <c r="AU19" i="15"/>
  <c r="AR2025" i="4"/>
  <c r="AR46" i="4"/>
  <c r="AK284" i="12"/>
  <c r="AK32" i="12"/>
  <c r="AK347" i="12"/>
  <c r="AJ303" i="12"/>
  <c r="AJ39" i="6"/>
  <c r="AJ33" i="12"/>
  <c r="E145" i="14"/>
  <c r="F145" i="14"/>
  <c r="H145" i="14"/>
  <c r="G145" i="14"/>
  <c r="C144" i="14"/>
  <c r="D145" i="14"/>
  <c r="J145" i="14"/>
  <c r="I145" i="14"/>
  <c r="H149" i="14"/>
  <c r="F149" i="14"/>
  <c r="J149" i="14"/>
  <c r="D149" i="14"/>
  <c r="G149" i="14"/>
  <c r="E149" i="14"/>
  <c r="I149" i="14"/>
  <c r="C150" i="14"/>
  <c r="C165" i="14"/>
  <c r="J166" i="14"/>
  <c r="F166" i="14"/>
  <c r="G166" i="14"/>
  <c r="D166" i="14"/>
  <c r="E166" i="14"/>
  <c r="I166" i="14"/>
  <c r="H166" i="14"/>
  <c r="C169" i="14"/>
  <c r="J168" i="14"/>
  <c r="E168" i="14"/>
  <c r="I168" i="14"/>
  <c r="G168" i="14"/>
  <c r="H168" i="14"/>
  <c r="D168" i="14"/>
  <c r="F168" i="14"/>
  <c r="F177" i="14"/>
  <c r="J177" i="14" s="1"/>
  <c r="J174" i="14"/>
  <c r="AI63" i="6"/>
  <c r="AI201" i="6"/>
  <c r="T5" i="7"/>
  <c r="T61" i="7" s="1"/>
  <c r="T5" i="8"/>
  <c r="T5" i="6"/>
  <c r="T5" i="12"/>
  <c r="AR17" i="5"/>
  <c r="AR37" i="5"/>
  <c r="AD327" i="12"/>
  <c r="AD411" i="12" s="1"/>
  <c r="I193" i="14"/>
  <c r="G193" i="14"/>
  <c r="D193" i="14"/>
  <c r="E193" i="14"/>
  <c r="H193" i="14"/>
  <c r="F193" i="14"/>
  <c r="J193" i="14"/>
  <c r="D187" i="14"/>
  <c r="I187" i="14"/>
  <c r="J187" i="14"/>
  <c r="G187" i="14"/>
  <c r="E187" i="14"/>
  <c r="H187" i="14"/>
  <c r="F187" i="14"/>
  <c r="J110" i="14"/>
  <c r="C111" i="14"/>
  <c r="H110" i="14"/>
  <c r="D110" i="14"/>
  <c r="G110" i="14"/>
  <c r="I110" i="14"/>
  <c r="E110" i="14"/>
  <c r="F110" i="14"/>
  <c r="G82" i="14"/>
  <c r="E82" i="14"/>
  <c r="F82" i="14"/>
  <c r="D82" i="14"/>
  <c r="H82" i="14"/>
  <c r="J82" i="14"/>
  <c r="I82" i="14"/>
  <c r="C83" i="14"/>
  <c r="J108" i="14"/>
  <c r="I108" i="14"/>
  <c r="D108" i="14"/>
  <c r="H108" i="14"/>
  <c r="E108" i="14"/>
  <c r="C107" i="14"/>
  <c r="F108" i="14"/>
  <c r="G108" i="14"/>
  <c r="J94" i="14"/>
  <c r="H94" i="14"/>
  <c r="D94" i="14"/>
  <c r="G94" i="14"/>
  <c r="I94" i="14"/>
  <c r="F94" i="14"/>
  <c r="E94" i="14"/>
  <c r="C93" i="14"/>
  <c r="I80" i="14"/>
  <c r="E80" i="14"/>
  <c r="J80" i="14"/>
  <c r="H80" i="14"/>
  <c r="G80" i="14"/>
  <c r="F80" i="14"/>
  <c r="D80" i="14"/>
  <c r="C79" i="14"/>
  <c r="C97" i="14"/>
  <c r="G96" i="14"/>
  <c r="I96" i="14"/>
  <c r="D96" i="14"/>
  <c r="J96" i="14"/>
  <c r="H96" i="14"/>
  <c r="E96" i="14"/>
  <c r="F96" i="14"/>
  <c r="BN177" i="6"/>
  <c r="U65" i="8"/>
  <c r="Z415" i="12"/>
  <c r="Z425" i="12" s="1"/>
  <c r="Z432" i="12" s="1"/>
  <c r="Z186" i="6"/>
  <c r="BA186" i="6"/>
  <c r="Y379" i="12"/>
  <c r="Y189" i="6"/>
  <c r="Y143" i="6" s="1"/>
  <c r="AD320" i="12"/>
  <c r="AD161" i="6"/>
  <c r="BJ161" i="6" s="1"/>
  <c r="AC371" i="12"/>
  <c r="AB390" i="12"/>
  <c r="AA333" i="12"/>
  <c r="AA394" i="12" s="1"/>
  <c r="AA328" i="12"/>
  <c r="V5" i="6"/>
  <c r="AD5" i="4"/>
  <c r="V5" i="12"/>
  <c r="V5" i="7"/>
  <c r="V61" i="7" s="1"/>
  <c r="V5" i="8"/>
  <c r="BG179" i="6"/>
  <c r="BF179" i="6" s="1"/>
  <c r="AB446" i="12"/>
  <c r="AB179" i="6"/>
  <c r="BD179" i="6" s="1"/>
  <c r="BC179" i="6" s="1"/>
  <c r="AA358" i="12"/>
  <c r="AA415" i="12"/>
  <c r="AL347" i="12" l="1"/>
  <c r="AL69" i="6"/>
  <c r="AL303" i="12"/>
  <c r="AL39" i="6"/>
  <c r="AL33" i="12"/>
  <c r="AS2010" i="4"/>
  <c r="BS19" i="15"/>
  <c r="BR27" i="15"/>
  <c r="BR30" i="15" s="1"/>
  <c r="BR33" i="15" s="1"/>
  <c r="BR19" i="15"/>
  <c r="J198" i="14"/>
  <c r="F201" i="14"/>
  <c r="J201" i="14" s="1"/>
  <c r="N235" i="14"/>
  <c r="N242" i="14"/>
  <c r="N237" i="14" s="1"/>
  <c r="AJ52" i="12"/>
  <c r="AJ304" i="12"/>
  <c r="AJ62" i="6"/>
  <c r="AJ40" i="6"/>
  <c r="AK39" i="6"/>
  <c r="AK303" i="12"/>
  <c r="AK33" i="12"/>
  <c r="AE23" i="8"/>
  <c r="I165" i="14"/>
  <c r="G165" i="14"/>
  <c r="C164" i="14"/>
  <c r="F165" i="14"/>
  <c r="H165" i="14"/>
  <c r="D165" i="14"/>
  <c r="J165" i="14"/>
  <c r="E165" i="14"/>
  <c r="E144" i="14"/>
  <c r="H144" i="14"/>
  <c r="I144" i="14"/>
  <c r="J144" i="14"/>
  <c r="G144" i="14"/>
  <c r="D144" i="14"/>
  <c r="F144" i="14"/>
  <c r="D150" i="14"/>
  <c r="F150" i="14"/>
  <c r="E150" i="14"/>
  <c r="I150" i="14"/>
  <c r="J150" i="14"/>
  <c r="H150" i="14"/>
  <c r="G150" i="14"/>
  <c r="H169" i="14"/>
  <c r="F169" i="14"/>
  <c r="J169" i="14"/>
  <c r="I169" i="14"/>
  <c r="E169" i="14"/>
  <c r="G169" i="14"/>
  <c r="D169" i="14"/>
  <c r="C170" i="14"/>
  <c r="T65" i="8"/>
  <c r="H93" i="14"/>
  <c r="F93" i="14"/>
  <c r="I93" i="14"/>
  <c r="G93" i="14"/>
  <c r="E93" i="14"/>
  <c r="J93" i="14"/>
  <c r="C92" i="14"/>
  <c r="D93" i="14"/>
  <c r="I111" i="14"/>
  <c r="J111" i="14"/>
  <c r="D111" i="14"/>
  <c r="C112" i="14"/>
  <c r="E111" i="14"/>
  <c r="F111" i="14"/>
  <c r="H111" i="14"/>
  <c r="G111" i="14"/>
  <c r="D83" i="14"/>
  <c r="C84" i="14"/>
  <c r="F83" i="14"/>
  <c r="E83" i="14"/>
  <c r="H83" i="14"/>
  <c r="G83" i="14"/>
  <c r="J83" i="14"/>
  <c r="I83" i="14"/>
  <c r="D107" i="14"/>
  <c r="H107" i="14"/>
  <c r="E107" i="14"/>
  <c r="I107" i="14"/>
  <c r="F107" i="14"/>
  <c r="G107" i="14"/>
  <c r="J107" i="14"/>
  <c r="C106" i="14"/>
  <c r="C78" i="14"/>
  <c r="D79" i="14"/>
  <c r="I79" i="14"/>
  <c r="E79" i="14"/>
  <c r="H79" i="14"/>
  <c r="G79" i="14"/>
  <c r="F79" i="14"/>
  <c r="J79" i="14"/>
  <c r="F97" i="14"/>
  <c r="C98" i="14"/>
  <c r="I97" i="14"/>
  <c r="D97" i="14"/>
  <c r="H97" i="14"/>
  <c r="E97" i="14"/>
  <c r="G97" i="14"/>
  <c r="J97" i="14"/>
  <c r="AE327" i="12"/>
  <c r="AE411" i="12" s="1"/>
  <c r="AC179" i="6"/>
  <c r="AC446" i="12"/>
  <c r="AB333" i="12"/>
  <c r="AB394" i="12" s="1"/>
  <c r="AB328" i="12"/>
  <c r="AB358" i="12"/>
  <c r="AB415" i="12"/>
  <c r="AD371" i="12"/>
  <c r="AD414" i="12" s="1"/>
  <c r="W5" i="8"/>
  <c r="W5" i="7"/>
  <c r="W61" i="7" s="1"/>
  <c r="AE5" i="4"/>
  <c r="W5" i="12"/>
  <c r="W5" i="6"/>
  <c r="AC414" i="12"/>
  <c r="AE161" i="6"/>
  <c r="BK161" i="6" s="1"/>
  <c r="AE320" i="12"/>
  <c r="V65" i="8"/>
  <c r="Y403" i="12"/>
  <c r="Y192" i="6"/>
  <c r="Y383" i="12"/>
  <c r="Y190" i="6"/>
  <c r="BA190" i="6" s="1"/>
  <c r="BA189" i="6"/>
  <c r="BH179" i="6"/>
  <c r="Z379" i="12"/>
  <c r="Z189" i="6"/>
  <c r="Z143" i="6" s="1"/>
  <c r="AL52" i="12" l="1"/>
  <c r="AL304" i="12"/>
  <c r="AL62" i="6"/>
  <c r="AL40" i="6"/>
  <c r="AK304" i="12"/>
  <c r="AK52" i="12"/>
  <c r="AK40" i="6"/>
  <c r="AK62" i="6"/>
  <c r="AJ63" i="6"/>
  <c r="AJ201" i="6"/>
  <c r="I164" i="14"/>
  <c r="J164" i="14"/>
  <c r="H164" i="14"/>
  <c r="G164" i="14"/>
  <c r="F164" i="14"/>
  <c r="E164" i="14"/>
  <c r="D164" i="14"/>
  <c r="J170" i="14"/>
  <c r="E170" i="14"/>
  <c r="F170" i="14"/>
  <c r="G170" i="14"/>
  <c r="D170" i="14"/>
  <c r="H170" i="14"/>
  <c r="I170" i="14"/>
  <c r="AF49" i="7"/>
  <c r="F78" i="14"/>
  <c r="D78" i="14"/>
  <c r="I78" i="14"/>
  <c r="G78" i="14"/>
  <c r="J78" i="14"/>
  <c r="H78" i="14"/>
  <c r="E78" i="14"/>
  <c r="E106" i="14"/>
  <c r="D106" i="14"/>
  <c r="J106" i="14"/>
  <c r="F106" i="14"/>
  <c r="I106" i="14"/>
  <c r="G106" i="14"/>
  <c r="H106" i="14"/>
  <c r="I98" i="14"/>
  <c r="F98" i="14"/>
  <c r="G98" i="14"/>
  <c r="J98" i="14"/>
  <c r="D98" i="14"/>
  <c r="H98" i="14"/>
  <c r="E98" i="14"/>
  <c r="H84" i="14"/>
  <c r="F84" i="14"/>
  <c r="I84" i="14"/>
  <c r="J84" i="14"/>
  <c r="D84" i="14"/>
  <c r="E84" i="14"/>
  <c r="G84" i="14"/>
  <c r="E112" i="14"/>
  <c r="G112" i="14"/>
  <c r="F112" i="14"/>
  <c r="H112" i="14"/>
  <c r="J112" i="14"/>
  <c r="I112" i="14"/>
  <c r="D112" i="14"/>
  <c r="E92" i="14"/>
  <c r="F92" i="14"/>
  <c r="I92" i="14"/>
  <c r="G92" i="14"/>
  <c r="D92" i="14"/>
  <c r="H92" i="14"/>
  <c r="J92" i="14"/>
  <c r="AG327" i="12"/>
  <c r="AG411" i="12" s="1"/>
  <c r="M203" i="14"/>
  <c r="AC390" i="12"/>
  <c r="AF327" i="12"/>
  <c r="AF411" i="12" s="1"/>
  <c r="Z192" i="6"/>
  <c r="Z403" i="12"/>
  <c r="Z190" i="6"/>
  <c r="Z383" i="12"/>
  <c r="BA192" i="6"/>
  <c r="AZ192" i="6" s="1"/>
  <c r="AZ193" i="6" s="1"/>
  <c r="Y193" i="6"/>
  <c r="BA193" i="6" s="1"/>
  <c r="W65" i="8"/>
  <c r="AD179" i="6"/>
  <c r="AD446" i="12"/>
  <c r="AF320" i="12"/>
  <c r="AF161" i="6"/>
  <c r="BL161" i="6" s="1"/>
  <c r="AE371" i="12"/>
  <c r="AF5" i="4"/>
  <c r="X5" i="12"/>
  <c r="X5" i="7"/>
  <c r="X61" i="7" s="1"/>
  <c r="X5" i="6"/>
  <c r="X5" i="8"/>
  <c r="AC333" i="12"/>
  <c r="AC394" i="12" s="1"/>
  <c r="AC328" i="12"/>
  <c r="BI179" i="6"/>
  <c r="AL63" i="6" l="1"/>
  <c r="AL201" i="6"/>
  <c r="AK63" i="6"/>
  <c r="AK201" i="6"/>
  <c r="AN55" i="5"/>
  <c r="AN8" i="5"/>
  <c r="AN36" i="5"/>
  <c r="AE179" i="6"/>
  <c r="AE446" i="12"/>
  <c r="BJ179" i="6"/>
  <c r="Z193" i="6"/>
  <c r="AC358" i="12"/>
  <c r="AC415" i="12"/>
  <c r="AD390" i="12"/>
  <c r="AF371" i="12"/>
  <c r="AF414" i="12" s="1"/>
  <c r="AH327" i="12"/>
  <c r="AH411" i="12" s="1"/>
  <c r="AG5" i="4"/>
  <c r="Y5" i="6"/>
  <c r="Y5" i="7"/>
  <c r="Y61" i="7" s="1"/>
  <c r="Y5" i="8"/>
  <c r="Y5" i="12"/>
  <c r="AD333" i="12"/>
  <c r="AD394" i="12" s="1"/>
  <c r="AD328" i="12"/>
  <c r="AG320" i="12"/>
  <c r="AG161" i="6"/>
  <c r="BM161" i="6" s="1"/>
  <c r="X65" i="8"/>
  <c r="N203" i="14"/>
  <c r="AE414" i="12"/>
  <c r="AF23" i="8" l="1"/>
  <c r="AR40" i="5"/>
  <c r="O203" i="14"/>
  <c r="Y65" i="8"/>
  <c r="Z5" i="6"/>
  <c r="Z5" i="7"/>
  <c r="Z61" i="7" s="1"/>
  <c r="Z5" i="12"/>
  <c r="Z5" i="8"/>
  <c r="AH5" i="4"/>
  <c r="AD358" i="12"/>
  <c r="AD415" i="12"/>
  <c r="AE333" i="12"/>
  <c r="AE394" i="12" s="1"/>
  <c r="AE328" i="12"/>
  <c r="AO36" i="5"/>
  <c r="AO55" i="5"/>
  <c r="AO8" i="5"/>
  <c r="AG371" i="12"/>
  <c r="AG414" i="12" s="1"/>
  <c r="AF446" i="12"/>
  <c r="AF179" i="6"/>
  <c r="BK179" i="6"/>
  <c r="AE390" i="12"/>
  <c r="AH320" i="12"/>
  <c r="AH161" i="6"/>
  <c r="BN161" i="6" s="1"/>
  <c r="AG49" i="7" l="1"/>
  <c r="AR42" i="5"/>
  <c r="AR43" i="5" s="1"/>
  <c r="AA62" i="7"/>
  <c r="AA63" i="7" s="1"/>
  <c r="AE358" i="12"/>
  <c r="AE415" i="12"/>
  <c r="AI327" i="12"/>
  <c r="AI411" i="12" s="1"/>
  <c r="AA5" i="8"/>
  <c r="AA5" i="7"/>
  <c r="AA61" i="7" s="1"/>
  <c r="AA5" i="6"/>
  <c r="AI5" i="4"/>
  <c r="AA5" i="12"/>
  <c r="Z65" i="8"/>
  <c r="AF390" i="12"/>
  <c r="BL179" i="6"/>
  <c r="AI320" i="12"/>
  <c r="AF333" i="12"/>
  <c r="AF394" i="12" s="1"/>
  <c r="AF328" i="12"/>
  <c r="AH371" i="12"/>
  <c r="AH414" i="12" s="1"/>
  <c r="AG179" i="6"/>
  <c r="AG446" i="12"/>
  <c r="P203" i="14"/>
  <c r="AA64" i="7" l="1"/>
  <c r="AB64" i="7"/>
  <c r="AI161" i="6"/>
  <c r="AG390" i="12"/>
  <c r="AA65" i="8"/>
  <c r="BM179" i="6"/>
  <c r="AH179" i="6"/>
  <c r="AH446" i="12"/>
  <c r="AG333" i="12"/>
  <c r="AG394" i="12" s="1"/>
  <c r="AG328" i="12"/>
  <c r="AB5" i="12"/>
  <c r="AB5" i="6"/>
  <c r="AB5" i="8"/>
  <c r="AB5" i="7"/>
  <c r="AB61" i="7" s="1"/>
  <c r="AJ5" i="4"/>
  <c r="AF358" i="12"/>
  <c r="AF415" i="12"/>
  <c r="AI371" i="12"/>
  <c r="Q203" i="14"/>
  <c r="BG5" i="6"/>
  <c r="AI414" i="12" l="1"/>
  <c r="AJ446" i="12"/>
  <c r="AG23" i="8"/>
  <c r="AC5" i="8"/>
  <c r="AC5" i="6"/>
  <c r="AC5" i="7"/>
  <c r="AC61" i="7" s="1"/>
  <c r="AC5" i="12"/>
  <c r="AK5" i="4"/>
  <c r="AG358" i="12"/>
  <c r="AG415" i="12"/>
  <c r="AH333" i="12"/>
  <c r="AH394" i="12" s="1"/>
  <c r="AH328" i="12"/>
  <c r="AB65" i="8"/>
  <c r="AH390" i="12"/>
  <c r="AI446" i="12"/>
  <c r="AI179" i="6"/>
  <c r="BN179" i="6"/>
  <c r="AI333" i="12"/>
  <c r="AI394" i="12" s="1"/>
  <c r="AI328" i="12"/>
  <c r="BH5" i="6"/>
  <c r="R203" i="14"/>
  <c r="AH49" i="7" l="1"/>
  <c r="S203" i="14"/>
  <c r="BI5" i="6"/>
  <c r="AC65" i="8"/>
  <c r="AH358" i="12"/>
  <c r="AH415" i="12"/>
  <c r="AD5" i="12"/>
  <c r="AL5" i="4"/>
  <c r="AD5" i="8"/>
  <c r="AD5" i="7"/>
  <c r="AD61" i="7" s="1"/>
  <c r="AD5" i="6"/>
  <c r="T203" i="14" s="1"/>
  <c r="AI390" i="12"/>
  <c r="AE5" i="12" l="1"/>
  <c r="AE5" i="8"/>
  <c r="AE5" i="6"/>
  <c r="U203" i="14" s="1"/>
  <c r="AM5" i="4"/>
  <c r="AE5" i="7"/>
  <c r="AE61" i="7" s="1"/>
  <c r="BJ5" i="6"/>
  <c r="AI358" i="12"/>
  <c r="AI415" i="12"/>
  <c r="AD65" i="8"/>
  <c r="AH23" i="8" l="1"/>
  <c r="AE65" i="8"/>
  <c r="AF5" i="7"/>
  <c r="AF61" i="7" s="1"/>
  <c r="AF5" i="12"/>
  <c r="AN5" i="4"/>
  <c r="AF5" i="8"/>
  <c r="AF5" i="6"/>
  <c r="V203" i="14" s="1"/>
  <c r="BK5" i="6"/>
  <c r="AI49" i="7" l="1"/>
  <c r="AG5" i="8"/>
  <c r="AG5" i="12"/>
  <c r="AG5" i="6"/>
  <c r="AO5" i="4"/>
  <c r="AG5" i="7"/>
  <c r="AG61" i="7" s="1"/>
  <c r="BL5" i="6"/>
  <c r="AF65" i="8"/>
  <c r="AG65" i="8" l="1"/>
  <c r="BM5" i="6"/>
  <c r="AH5" i="6"/>
  <c r="AH5" i="8"/>
  <c r="AP5" i="4"/>
  <c r="AQ5" i="4" s="1"/>
  <c r="AH5" i="7"/>
  <c r="AH61" i="7" s="1"/>
  <c r="AH5" i="12"/>
  <c r="AJ5" i="7" l="1"/>
  <c r="AJ61" i="7" s="1"/>
  <c r="AJ5" i="8"/>
  <c r="AJ5" i="6"/>
  <c r="AJ5" i="12"/>
  <c r="AR5" i="4"/>
  <c r="AS5" i="4" s="1"/>
  <c r="AI23" i="8"/>
  <c r="AI5" i="8"/>
  <c r="AI5" i="12"/>
  <c r="AI5" i="6"/>
  <c r="AI5" i="7"/>
  <c r="AI61" i="7" s="1"/>
  <c r="BN5" i="6"/>
  <c r="AH65" i="8"/>
  <c r="AL5" i="7" l="1"/>
  <c r="AL61" i="7" s="1"/>
  <c r="AL5" i="12"/>
  <c r="AL5" i="8"/>
  <c r="AL5" i="6"/>
  <c r="AK5" i="7"/>
  <c r="AK61" i="7" s="1"/>
  <c r="AK5" i="6"/>
  <c r="AK5" i="12"/>
  <c r="AK5" i="8"/>
  <c r="AJ65" i="8"/>
  <c r="AI65" i="8"/>
  <c r="AL65" i="8" l="1"/>
  <c r="AK65" i="8"/>
  <c r="AJ49" i="7" l="1"/>
  <c r="AJ23" i="8" l="1"/>
  <c r="AK23" i="8" l="1"/>
  <c r="AK49" i="7"/>
  <c r="W334" i="12" l="1"/>
  <c r="W338" i="12" s="1"/>
  <c r="W342" i="12" s="1"/>
  <c r="W393" i="12" l="1"/>
  <c r="W400" i="12" s="1"/>
  <c r="W401" i="12" s="1"/>
  <c r="W402" i="12" l="1"/>
  <c r="W435" i="12"/>
  <c r="W436" i="12" s="1"/>
  <c r="Z334" i="12"/>
  <c r="Z393" i="12" s="1"/>
  <c r="Z400" i="12" s="1"/>
  <c r="AH334" i="12"/>
  <c r="X334" i="12"/>
  <c r="X393" i="12" s="1"/>
  <c r="X400" i="12" s="1"/>
  <c r="AA334" i="12"/>
  <c r="AA393" i="12" s="1"/>
  <c r="AB334" i="12"/>
  <c r="AD334" i="12"/>
  <c r="AG334" i="12"/>
  <c r="Y334" i="12"/>
  <c r="Y338" i="12" s="1"/>
  <c r="Y342" i="12" s="1"/>
  <c r="AC334" i="12"/>
  <c r="AE334" i="12"/>
  <c r="AI334" i="12"/>
  <c r="AI393" i="12" s="1"/>
  <c r="AF334" i="12"/>
  <c r="AE393" i="12" l="1"/>
  <c r="AG393" i="12"/>
  <c r="Z338" i="12"/>
  <c r="Z342" i="12" s="1"/>
  <c r="AF393" i="12"/>
  <c r="AC393" i="12"/>
  <c r="AD393" i="12"/>
  <c r="Y393" i="12"/>
  <c r="Y400" i="12" s="1"/>
  <c r="AB393" i="12"/>
  <c r="X401" i="12"/>
  <c r="X435" i="12"/>
  <c r="X436" i="12" s="1"/>
  <c r="X402" i="12"/>
  <c r="Z401" i="12"/>
  <c r="Z435" i="12"/>
  <c r="Z402" i="12"/>
  <c r="AH393" i="12"/>
  <c r="Y402" i="12" l="1"/>
  <c r="Y435" i="12"/>
  <c r="Y436" i="12" s="1"/>
  <c r="Y401" i="12"/>
  <c r="Z436" i="12" l="1"/>
  <c r="AR9" i="5" l="1"/>
  <c r="AV29" i="15"/>
  <c r="AA70" i="8"/>
  <c r="AD59" i="8"/>
  <c r="BU40" i="15" l="1"/>
  <c r="BU41" i="15" s="1"/>
  <c r="AA38" i="7" s="1"/>
  <c r="AA39" i="7" s="1"/>
  <c r="AE59" i="8"/>
  <c r="BU29" i="15"/>
  <c r="AA91" i="8"/>
  <c r="AR56" i="5"/>
  <c r="AA71" i="8"/>
  <c r="AA128" i="6"/>
  <c r="AA129" i="6" s="1"/>
  <c r="AR12" i="5"/>
  <c r="AA72" i="8" l="1"/>
  <c r="AR59" i="5" s="1"/>
  <c r="AR60" i="5" s="1"/>
  <c r="AR18" i="5"/>
  <c r="AR11" i="5"/>
  <c r="AF59" i="8"/>
  <c r="AR32" i="5" l="1"/>
  <c r="AR33" i="5" s="1"/>
  <c r="AR58" i="5" s="1"/>
  <c r="AA76" i="8"/>
  <c r="AA73" i="8"/>
  <c r="AA75" i="8" s="1"/>
  <c r="AA62" i="8"/>
  <c r="AA77" i="8"/>
  <c r="AG59" i="8"/>
  <c r="AH59" i="8" l="1"/>
  <c r="AI59" i="8" l="1"/>
  <c r="AJ59" i="8" l="1"/>
  <c r="AK59" i="8" l="1"/>
  <c r="AL59" i="8" l="1"/>
  <c r="X209" i="12" l="1"/>
  <c r="X210" i="12" s="1"/>
  <c r="X204" i="12"/>
  <c r="X205" i="12" s="1"/>
  <c r="Z209" i="12"/>
  <c r="AA210" i="12" s="1"/>
  <c r="Y204" i="12"/>
  <c r="Y209" i="12"/>
  <c r="Z204" i="12"/>
  <c r="AA205" i="12" s="1"/>
  <c r="Y210" i="12" l="1"/>
  <c r="Y205" i="12"/>
  <c r="Z210" i="12"/>
  <c r="Z205" i="12"/>
  <c r="AC204" i="12" l="1"/>
  <c r="AC208" i="12" s="1"/>
  <c r="AC209" i="12" s="1"/>
  <c r="AB191" i="12"/>
  <c r="AA191" i="12"/>
  <c r="AA25" i="6"/>
  <c r="AB25" i="6" l="1"/>
  <c r="BH25" i="6" s="1"/>
  <c r="AD204" i="12"/>
  <c r="AD208" i="12" s="1"/>
  <c r="AD209" i="12" s="1"/>
  <c r="AC210" i="12"/>
  <c r="BG25" i="6"/>
  <c r="BF25" i="6" s="1"/>
  <c r="AE204" i="12" l="1"/>
  <c r="AE208" i="12" s="1"/>
  <c r="AE209" i="12" s="1"/>
  <c r="AC191" i="12"/>
  <c r="AC25" i="6"/>
  <c r="AD210" i="12"/>
  <c r="AF204" i="12" l="1"/>
  <c r="AF208" i="12" s="1"/>
  <c r="AF209" i="12" s="1"/>
  <c r="AE210" i="12"/>
  <c r="AD191" i="12"/>
  <c r="AD25" i="6"/>
  <c r="BI25" i="6"/>
  <c r="AG204" i="12" l="1"/>
  <c r="AG208" i="12" s="1"/>
  <c r="AG209" i="12" s="1"/>
  <c r="AF210" i="12"/>
  <c r="BJ25" i="6"/>
  <c r="AE25" i="6"/>
  <c r="AE191" i="12"/>
  <c r="AH204" i="12" l="1"/>
  <c r="AI204" i="12" s="1"/>
  <c r="AF191" i="12"/>
  <c r="AF25" i="6"/>
  <c r="BK25" i="6"/>
  <c r="AG210" i="12"/>
  <c r="AH208" i="12" l="1"/>
  <c r="AH209" i="12" s="1"/>
  <c r="AI208" i="12"/>
  <c r="AI209" i="12" s="1"/>
  <c r="AJ204" i="12"/>
  <c r="AG191" i="12"/>
  <c r="AG25" i="6"/>
  <c r="BL25" i="6"/>
  <c r="AI210" i="12" l="1"/>
  <c r="AH210" i="12"/>
  <c r="AK204" i="12"/>
  <c r="AJ208" i="12"/>
  <c r="AJ209" i="12" s="1"/>
  <c r="BM25" i="6"/>
  <c r="AI191" i="12"/>
  <c r="AI25" i="6"/>
  <c r="AH191" i="12"/>
  <c r="AH25" i="6"/>
  <c r="AK208" i="12" l="1"/>
  <c r="AK209" i="12" s="1"/>
  <c r="AK210" i="12" s="1"/>
  <c r="AL204" i="12"/>
  <c r="AL208" i="12" s="1"/>
  <c r="AL209" i="12" s="1"/>
  <c r="AJ210" i="12"/>
  <c r="BN25" i="6"/>
  <c r="Y262" i="12"/>
  <c r="X262" i="12"/>
  <c r="Z262" i="12"/>
  <c r="AL210" i="12" l="1"/>
  <c r="AK25" i="6"/>
  <c r="AK191" i="12"/>
  <c r="AJ25" i="6"/>
  <c r="AJ191" i="12"/>
  <c r="AC262" i="12" l="1"/>
  <c r="AD262" i="12" l="1"/>
  <c r="AE262" i="12" l="1"/>
  <c r="AF262" i="12" l="1"/>
  <c r="AG262" i="12" l="1"/>
  <c r="AH262" i="12" l="1"/>
  <c r="AI262" i="12" l="1"/>
  <c r="AJ262" i="12" l="1"/>
  <c r="AK262" i="12" l="1"/>
  <c r="AL262" i="12" s="1"/>
  <c r="Q257" i="12" l="1"/>
  <c r="Q247" i="12" s="1"/>
  <c r="Q246" i="12" s="1"/>
  <c r="Q268" i="12" s="1"/>
  <c r="R257" i="12" l="1"/>
  <c r="S257" i="12" s="1"/>
  <c r="T257" i="12" s="1"/>
  <c r="U257" i="12" s="1"/>
  <c r="V257" i="12" s="1"/>
  <c r="W257" i="12" s="1"/>
  <c r="X257" i="12" s="1"/>
  <c r="Y257" i="12" s="1"/>
  <c r="Z257" i="12" s="1"/>
  <c r="AA257" i="12" s="1"/>
  <c r="AB257" i="12" s="1"/>
  <c r="AC257" i="12" s="1"/>
  <c r="AD257" i="12" s="1"/>
  <c r="AE257" i="12" s="1"/>
  <c r="AF257" i="12" s="1"/>
  <c r="AG257" i="12" s="1"/>
  <c r="AH257" i="12" s="1"/>
  <c r="AI257" i="12" s="1"/>
  <c r="AJ257" i="12" s="1"/>
  <c r="AK257" i="12" s="1"/>
  <c r="AL257" i="12" s="1"/>
  <c r="S390" i="12" l="1"/>
  <c r="S415" i="12" s="1"/>
  <c r="S425" i="12" s="1"/>
  <c r="S432" i="12" s="1"/>
  <c r="S400" i="12" l="1"/>
  <c r="S405" i="12" s="1"/>
  <c r="S364" i="12" l="1"/>
  <c r="S402" i="12"/>
  <c r="S401" i="12"/>
  <c r="S435" i="12"/>
  <c r="T436" i="12" l="1"/>
  <c r="S436" i="12"/>
  <c r="AA22" i="8" l="1"/>
  <c r="AA26" i="8" s="1"/>
  <c r="AA23" i="7"/>
  <c r="AA85" i="8" l="1"/>
  <c r="AR13" i="5"/>
  <c r="AR16" i="5" s="1"/>
  <c r="AA84" i="8"/>
  <c r="AA74" i="8"/>
  <c r="AR47" i="5" l="1"/>
  <c r="AR46" i="5" l="1"/>
  <c r="AR52" i="5"/>
  <c r="H34" i="9" l="1"/>
  <c r="AH185" i="4"/>
  <c r="AH147" i="4"/>
  <c r="AH1937" i="4" s="1"/>
  <c r="AI186" i="4" l="1"/>
  <c r="AI187" i="4"/>
  <c r="AJ188" i="4" s="1"/>
  <c r="AH146" i="4"/>
  <c r="AH150" i="4"/>
  <c r="AH152" i="4"/>
  <c r="AH186" i="4"/>
  <c r="AH187" i="4"/>
  <c r="AH192" i="4"/>
  <c r="AI188" i="4" l="1"/>
  <c r="AI197" i="4"/>
  <c r="AI195" i="4"/>
  <c r="AI230" i="4" s="1"/>
  <c r="AJ231" i="4" s="1"/>
  <c r="AI1937" i="4"/>
  <c r="AH195" i="4"/>
  <c r="AH230" i="4" s="1"/>
  <c r="AH188" i="4"/>
  <c r="AH197" i="4"/>
  <c r="AI231" i="4" l="1"/>
  <c r="AI198" i="4"/>
  <c r="AH231" i="4"/>
  <c r="AK230" i="4"/>
  <c r="AL230" i="4" s="1"/>
  <c r="AM230" i="4" s="1"/>
  <c r="AN230" i="4" s="1"/>
  <c r="AO230" i="4" s="1"/>
  <c r="AP230" i="4" s="1"/>
  <c r="AQ230" i="4" s="1"/>
  <c r="AR230" i="4" s="1"/>
  <c r="AS230" i="4" s="1"/>
  <c r="AI14" i="4"/>
  <c r="AH198" i="4"/>
  <c r="AH1940" i="4"/>
  <c r="AK149" i="4"/>
  <c r="AJ1937" i="4"/>
  <c r="AH20" i="4" l="1"/>
  <c r="AL149" i="4"/>
  <c r="AK1937" i="4"/>
  <c r="AI222" i="4"/>
  <c r="AI223" i="4" s="1"/>
  <c r="AI19" i="4"/>
  <c r="AI1996" i="4"/>
  <c r="AI2001" i="4" l="1"/>
  <c r="AH2002" i="4"/>
  <c r="AH23" i="4"/>
  <c r="AM149" i="4"/>
  <c r="AL1937" i="4"/>
  <c r="AH228" i="4" l="1"/>
  <c r="AA233" i="12"/>
  <c r="AA226" i="12"/>
  <c r="AA280" i="12"/>
  <c r="AA48" i="12" s="1"/>
  <c r="T57" i="5" s="1"/>
  <c r="AA317" i="12"/>
  <c r="AA9" i="6"/>
  <c r="AA160" i="6"/>
  <c r="BG160" i="6" s="1"/>
  <c r="BF160" i="6" s="1"/>
  <c r="BF168" i="6" s="1"/>
  <c r="BF171" i="6" s="1"/>
  <c r="AH2005" i="4"/>
  <c r="AH24" i="4"/>
  <c r="AN149" i="4"/>
  <c r="AM1937" i="4"/>
  <c r="AA265" i="12" l="1"/>
  <c r="AA266" i="12" s="1"/>
  <c r="AA234" i="12"/>
  <c r="AO149" i="4"/>
  <c r="AN1937" i="4"/>
  <c r="T10" i="5"/>
  <c r="T11" i="5" s="1"/>
  <c r="BG9" i="6"/>
  <c r="BF9" i="6" s="1"/>
  <c r="AA368" i="12"/>
  <c r="AA413" i="12" s="1"/>
  <c r="AA425" i="12" s="1"/>
  <c r="AA338" i="12"/>
  <c r="AA342" i="12" s="1"/>
  <c r="AA254" i="12"/>
  <c r="AP149" i="4" l="1"/>
  <c r="AO1937" i="4"/>
  <c r="AA255" i="12"/>
  <c r="AA300" i="12"/>
  <c r="AA36" i="6"/>
  <c r="AA443" i="12"/>
  <c r="AA375" i="12"/>
  <c r="AA378" i="12" s="1"/>
  <c r="AA176" i="6"/>
  <c r="AQ149" i="4" l="1"/>
  <c r="AP1937" i="4"/>
  <c r="AA184" i="6"/>
  <c r="BG176" i="6"/>
  <c r="BF176" i="6" s="1"/>
  <c r="AA382" i="12"/>
  <c r="AA452" i="12"/>
  <c r="AA193" i="12"/>
  <c r="AA28" i="6"/>
  <c r="BG28" i="6" s="1"/>
  <c r="BF28" i="6" s="1"/>
  <c r="BG36" i="6"/>
  <c r="BF36" i="6" s="1"/>
  <c r="AA59" i="6"/>
  <c r="AA199" i="6"/>
  <c r="U10" i="15"/>
  <c r="AV10" i="15" l="1"/>
  <c r="BF184" i="6"/>
  <c r="BF186" i="6" s="1"/>
  <c r="BF189" i="6" s="1"/>
  <c r="AR149" i="4"/>
  <c r="AS149" i="4" s="1"/>
  <c r="AQ1937" i="4"/>
  <c r="BG184" i="6"/>
  <c r="AA186" i="6"/>
  <c r="AS1937" i="4" l="1"/>
  <c r="BU10" i="15"/>
  <c r="AA379" i="12"/>
  <c r="BG186" i="6"/>
  <c r="AA189" i="6"/>
  <c r="AA143" i="6" s="1"/>
  <c r="AR1937" i="4"/>
  <c r="AA383" i="12" l="1"/>
  <c r="AA400" i="12" s="1"/>
  <c r="AA403" i="12"/>
  <c r="AA190" i="6"/>
  <c r="BG190" i="6" s="1"/>
  <c r="BG189" i="6"/>
  <c r="AA192" i="6"/>
  <c r="BG192" i="6" l="1"/>
  <c r="BF192" i="6" s="1"/>
  <c r="AA193" i="6"/>
  <c r="BG193" i="6" s="1"/>
  <c r="AA402" i="12"/>
  <c r="AA435" i="12"/>
  <c r="AA436" i="12" s="1"/>
  <c r="AA401" i="12"/>
  <c r="AH56" i="4" l="1"/>
  <c r="AH76" i="4" l="1"/>
  <c r="AH2033" i="4"/>
  <c r="AA230" i="12"/>
  <c r="AA231" i="12" s="1"/>
  <c r="AA286" i="12"/>
  <c r="AA54" i="12" s="1"/>
  <c r="AA15" i="6"/>
  <c r="AH77" i="4" l="1"/>
  <c r="AH2038" i="4"/>
  <c r="AA192" i="12"/>
  <c r="AA26" i="6"/>
  <c r="T18" i="5"/>
  <c r="T19" i="5" s="1"/>
  <c r="AA21" i="6"/>
  <c r="BG15" i="6"/>
  <c r="BF15" i="6" s="1"/>
  <c r="BF21" i="6" s="1"/>
  <c r="AA292" i="12"/>
  <c r="AA172" i="12" l="1"/>
  <c r="AA174" i="12"/>
  <c r="AA173" i="12"/>
  <c r="AA80" i="12"/>
  <c r="AA122" i="12"/>
  <c r="AA77" i="12"/>
  <c r="AA117" i="12"/>
  <c r="AA112" i="12"/>
  <c r="AA85" i="12"/>
  <c r="AA295" i="12"/>
  <c r="AA63" i="12" s="1"/>
  <c r="AA59" i="12"/>
  <c r="AA81" i="8"/>
  <c r="AA82" i="8"/>
  <c r="AA83" i="8"/>
  <c r="AA80" i="8"/>
  <c r="AA339" i="12"/>
  <c r="BG21" i="6"/>
  <c r="AA22" i="6"/>
  <c r="BG22" i="6" s="1"/>
  <c r="T24" i="5"/>
  <c r="AA132" i="6"/>
  <c r="BU48" i="15"/>
  <c r="BU49" i="15" s="1"/>
  <c r="BG168" i="6"/>
  <c r="AA171" i="6"/>
  <c r="BG26" i="6"/>
  <c r="BF26" i="6" s="1"/>
  <c r="BF29" i="6" s="1"/>
  <c r="AA29" i="6"/>
  <c r="AA306" i="12"/>
  <c r="AA42" i="6"/>
  <c r="BF22" i="6"/>
  <c r="AA194" i="12"/>
  <c r="AA427" i="12"/>
  <c r="AA432" i="12" s="1"/>
  <c r="AA428" i="12" l="1"/>
  <c r="AA434" i="12" s="1"/>
  <c r="AA30" i="6"/>
  <c r="BG30" i="6" s="1"/>
  <c r="BG29" i="6"/>
  <c r="AA343" i="12"/>
  <c r="BG171" i="6"/>
  <c r="AA172" i="6"/>
  <c r="BG172" i="6" s="1"/>
  <c r="AA309" i="12"/>
  <c r="T25" i="5"/>
  <c r="BG42" i="6"/>
  <c r="BF42" i="6" s="1"/>
  <c r="BF46" i="6" s="1"/>
  <c r="BF48" i="6" s="1"/>
  <c r="AA46" i="6"/>
  <c r="AA65" i="6"/>
  <c r="U14" i="15"/>
  <c r="Q204" i="14"/>
  <c r="AA203" i="6"/>
  <c r="U18" i="15" l="1"/>
  <c r="AV14" i="15"/>
  <c r="AA275" i="12"/>
  <c r="BG46" i="6"/>
  <c r="AA48" i="6"/>
  <c r="AA68" i="6"/>
  <c r="T30" i="5"/>
  <c r="AA148" i="6"/>
  <c r="AA313" i="12"/>
  <c r="BF51" i="6"/>
  <c r="BF32" i="6"/>
  <c r="BF33" i="6" s="1"/>
  <c r="Q207" i="14"/>
  <c r="Q219" i="14" s="1"/>
  <c r="Q209" i="14" l="1"/>
  <c r="Q214" i="14" s="1"/>
  <c r="AV18" i="15"/>
  <c r="BU14" i="15"/>
  <c r="BU18" i="15" s="1"/>
  <c r="AR57" i="5"/>
  <c r="T31" i="5"/>
  <c r="T58" i="5"/>
  <c r="T39" i="5"/>
  <c r="T40" i="5" s="1"/>
  <c r="AA70" i="6"/>
  <c r="T32" i="5"/>
  <c r="BG48" i="6"/>
  <c r="AA51" i="6"/>
  <c r="AA56" i="6" s="1"/>
  <c r="U19" i="15"/>
  <c r="BU42" i="15"/>
  <c r="BU43" i="15" s="1"/>
  <c r="Q210" i="14"/>
  <c r="Q215" i="14" s="1"/>
  <c r="Q220" i="14"/>
  <c r="Q221" i="14" s="1"/>
  <c r="BF56" i="6"/>
  <c r="BF80" i="6" s="1"/>
  <c r="BF52" i="6"/>
  <c r="BU19" i="15" l="1"/>
  <c r="BU27" i="15"/>
  <c r="BU30" i="15" s="1"/>
  <c r="BU33" i="15" s="1"/>
  <c r="BF81" i="6"/>
  <c r="BF86" i="6"/>
  <c r="AV27" i="15"/>
  <c r="AV30" i="15" s="1"/>
  <c r="AV19" i="15"/>
  <c r="AA90" i="8"/>
  <c r="AA92" i="8" s="1"/>
  <c r="AA87" i="8"/>
  <c r="AA65" i="7"/>
  <c r="AA66" i="7" s="1"/>
  <c r="BG51" i="6"/>
  <c r="AA53" i="6"/>
  <c r="AA52" i="6"/>
  <c r="BG52" i="6" s="1"/>
  <c r="AA73" i="6"/>
  <c r="T34" i="5"/>
  <c r="AA130" i="6"/>
  <c r="AA147" i="6"/>
  <c r="AA32" i="6"/>
  <c r="Q211" i="14"/>
  <c r="Q216" i="14" s="1"/>
  <c r="T33" i="5"/>
  <c r="T27" i="5" l="1"/>
  <c r="BG32" i="6"/>
  <c r="AA33" i="6"/>
  <c r="BG33" i="6" s="1"/>
  <c r="AA80" i="6"/>
  <c r="AA86" i="6" s="1"/>
  <c r="AA153" i="12" s="1"/>
  <c r="BG56" i="6"/>
  <c r="Q217" i="14"/>
  <c r="T35" i="5"/>
  <c r="AA88" i="6" l="1"/>
  <c r="AA91" i="6" s="1"/>
  <c r="AA94" i="6" s="1"/>
  <c r="T28" i="5"/>
  <c r="BG80" i="6"/>
  <c r="AA81" i="6"/>
  <c r="BG81" i="6" s="1"/>
  <c r="AA131" i="6"/>
  <c r="AA144" i="6"/>
  <c r="AA149" i="6"/>
  <c r="BU45" i="15"/>
  <c r="BU46" i="15" s="1"/>
  <c r="AA93" i="6" l="1"/>
  <c r="AA97" i="6" s="1"/>
  <c r="Q224" i="14"/>
  <c r="Q225" i="14"/>
  <c r="Q230" i="14" s="1"/>
  <c r="Q226" i="14"/>
  <c r="Q231" i="14" s="1"/>
  <c r="Q241" i="14" s="1"/>
  <c r="BG86" i="6"/>
  <c r="T42" i="5"/>
  <c r="BG88" i="6" l="1"/>
  <c r="T43" i="5"/>
  <c r="T44" i="5" s="1"/>
  <c r="T47" i="5" s="1"/>
  <c r="BG87" i="6"/>
  <c r="BF87" i="6" s="1"/>
  <c r="BF88" i="6" s="1"/>
  <c r="AA145" i="6"/>
  <c r="BF91" i="6" l="1"/>
  <c r="T48" i="5"/>
  <c r="BG91" i="6"/>
  <c r="AB62" i="8" l="1"/>
  <c r="AB67" i="8"/>
  <c r="AB70" i="8"/>
  <c r="AS56" i="5" s="1"/>
  <c r="AB76" i="8"/>
  <c r="AB77" i="8"/>
  <c r="AB254" i="12"/>
  <c r="AB255" i="12" s="1"/>
  <c r="AS9" i="5"/>
  <c r="AS10" i="5"/>
  <c r="AS12" i="5"/>
  <c r="AS17" i="5"/>
  <c r="AS20" i="5"/>
  <c r="AS25" i="5"/>
  <c r="AS30" i="5" s="1"/>
  <c r="AS32" i="5"/>
  <c r="AS33" i="5" s="1"/>
  <c r="AW29" i="15"/>
  <c r="AB91" i="8" l="1"/>
  <c r="AS38" i="5"/>
  <c r="AB71" i="8"/>
  <c r="AB128" i="6"/>
  <c r="AB129" i="6" s="1"/>
  <c r="AS24" i="5"/>
  <c r="AS58" i="5"/>
  <c r="AS18" i="5"/>
  <c r="BV29" i="15"/>
  <c r="BV40" i="15"/>
  <c r="BV41" i="15" s="1"/>
  <c r="AB38" i="7" s="1"/>
  <c r="AS11" i="5"/>
  <c r="AB69" i="8"/>
  <c r="AB68" i="8"/>
  <c r="AB193" i="12" l="1"/>
  <c r="AB28" i="6"/>
  <c r="BH28" i="6" s="1"/>
  <c r="AB22" i="8"/>
  <c r="AB84" i="8" s="1"/>
  <c r="AB74" i="8" l="1"/>
  <c r="AS13" i="5"/>
  <c r="AS44" i="5"/>
  <c r="BH76" i="6"/>
  <c r="AD30" i="7" l="1"/>
  <c r="AB85" i="8"/>
  <c r="AE30" i="7"/>
  <c r="AB23" i="7" l="1"/>
  <c r="AF30" i="7"/>
  <c r="AG30" i="7" l="1"/>
  <c r="AH30" i="7" l="1"/>
  <c r="AI30" i="7" l="1"/>
  <c r="AK30" i="7" l="1"/>
  <c r="AJ30" i="7"/>
  <c r="AB24" i="8"/>
  <c r="AS45" i="5"/>
  <c r="AB77" i="6"/>
  <c r="AB78" i="6" s="1"/>
  <c r="AB26" i="8" l="1"/>
  <c r="AB73" i="8"/>
  <c r="AB75" i="8" s="1"/>
  <c r="AS14" i="5"/>
  <c r="AS16" i="5" s="1"/>
  <c r="AB72" i="8"/>
  <c r="AS59" i="5" s="1"/>
  <c r="AS60" i="5" s="1"/>
  <c r="R212" i="14"/>
  <c r="U37" i="5"/>
  <c r="BH78" i="6"/>
  <c r="BH77" i="6"/>
  <c r="U38" i="5" l="1"/>
  <c r="AD26" i="8" l="1"/>
  <c r="AE26" i="8" l="1"/>
  <c r="AS37" i="5"/>
  <c r="AS40" i="5"/>
  <c r="AS42" i="5"/>
  <c r="AS43" i="5" s="1"/>
  <c r="AB34" i="7"/>
  <c r="AS47" i="5"/>
  <c r="AS46" i="5" s="1"/>
  <c r="AF26" i="8" l="1"/>
  <c r="AS52" i="5"/>
  <c r="AG26" i="8" l="1"/>
  <c r="AB55" i="7"/>
  <c r="AB58" i="7" s="1"/>
  <c r="AC56" i="7" s="1"/>
  <c r="AC58" i="7" s="1"/>
  <c r="AB32" i="7"/>
  <c r="AH26" i="8" l="1"/>
  <c r="AB36" i="7"/>
  <c r="AB37" i="7" s="1"/>
  <c r="AB39" i="7" s="1"/>
  <c r="BH83" i="6"/>
  <c r="U41" i="5"/>
  <c r="U43" i="5"/>
  <c r="BH84" i="6"/>
  <c r="BH85" i="6"/>
  <c r="BH87" i="6"/>
  <c r="R222" i="14"/>
  <c r="AI26" i="8" l="1"/>
  <c r="AJ26" i="8" l="1"/>
  <c r="AK26" i="8" l="1"/>
  <c r="AD83" i="6"/>
  <c r="AD85" i="6" s="1"/>
  <c r="W41" i="5" s="1"/>
  <c r="AE83" i="6"/>
  <c r="AE85" i="6" s="1"/>
  <c r="X41" i="5" s="1"/>
  <c r="AF83" i="6"/>
  <c r="BL83" i="6" s="1"/>
  <c r="AG83" i="6"/>
  <c r="BM83" i="6" s="1"/>
  <c r="AH83" i="6"/>
  <c r="AH85" i="6" s="1"/>
  <c r="BN85" i="6" s="1"/>
  <c r="AI83" i="6"/>
  <c r="AJ83" i="6"/>
  <c r="AK83" i="6"/>
  <c r="AI51" i="7" l="1"/>
  <c r="AL26" i="8"/>
  <c r="BJ83" i="6"/>
  <c r="BK83" i="6"/>
  <c r="BN83" i="6"/>
  <c r="AF85" i="6"/>
  <c r="V222" i="14" s="1"/>
  <c r="U222" i="14"/>
  <c r="T222" i="14"/>
  <c r="BK85" i="6"/>
  <c r="BJ85" i="6"/>
  <c r="AK51" i="7"/>
  <c r="AK85" i="6"/>
  <c r="AJ51" i="7"/>
  <c r="AJ85" i="6"/>
  <c r="AH51" i="7"/>
  <c r="AG51" i="7"/>
  <c r="AI85" i="6"/>
  <c r="AF51" i="7"/>
  <c r="AE51" i="7"/>
  <c r="AG85" i="6"/>
  <c r="AD51" i="7"/>
  <c r="AJ50" i="7" l="1"/>
  <c r="AK50" i="7"/>
  <c r="AI50" i="7"/>
  <c r="BL85" i="6"/>
  <c r="Y41" i="5"/>
  <c r="AG50" i="7"/>
  <c r="BM85" i="6"/>
  <c r="AH50" i="7"/>
  <c r="AE50" i="7"/>
  <c r="AD50" i="7"/>
  <c r="AF50" i="7"/>
  <c r="AW39" i="5" s="1"/>
  <c r="AI53" i="7" l="1"/>
  <c r="AJ53" i="7"/>
  <c r="AK53" i="7"/>
  <c r="AD53" i="7"/>
  <c r="AU39" i="5"/>
  <c r="AH53" i="7"/>
  <c r="AF53" i="7"/>
  <c r="AE53" i="7"/>
  <c r="AV39" i="5"/>
  <c r="AG53" i="7"/>
  <c r="AW51" i="5" l="1"/>
  <c r="AW50" i="5" s="1"/>
  <c r="AV51" i="5"/>
  <c r="AV50" i="5" s="1"/>
  <c r="AU51" i="5"/>
  <c r="AU50" i="5" s="1"/>
  <c r="AB192" i="12"/>
  <c r="AB194" i="12"/>
  <c r="AB427" i="12"/>
  <c r="AB26" i="6"/>
  <c r="BH26" i="6" s="1"/>
  <c r="AB29" i="6" l="1"/>
  <c r="AB50" i="12"/>
  <c r="AB51" i="12"/>
  <c r="AB52" i="12"/>
  <c r="AB53" i="12"/>
  <c r="AD34" i="12"/>
  <c r="AD41" i="6" s="1"/>
  <c r="BZ43" i="6" s="1"/>
  <c r="AB55" i="12"/>
  <c r="AB57" i="12"/>
  <c r="AB58" i="12"/>
  <c r="AB300" i="12"/>
  <c r="AB301" i="12"/>
  <c r="AB302" i="12"/>
  <c r="AC302" i="12"/>
  <c r="AB303" i="12"/>
  <c r="AC303" i="12"/>
  <c r="AB304" i="12"/>
  <c r="AC304" i="12"/>
  <c r="AB305" i="12"/>
  <c r="AB306" i="12"/>
  <c r="AB307" i="12"/>
  <c r="AB308" i="12"/>
  <c r="AB309" i="12"/>
  <c r="AB313" i="12"/>
  <c r="AB36" i="6"/>
  <c r="BX40" i="6" s="1"/>
  <c r="AB37" i="6"/>
  <c r="AB38" i="6"/>
  <c r="AB39" i="6"/>
  <c r="AB41" i="6"/>
  <c r="AB42" i="6"/>
  <c r="AB43" i="6"/>
  <c r="AB44" i="6"/>
  <c r="AB45" i="6"/>
  <c r="V16" i="15" s="1"/>
  <c r="AC61" i="6" l="1"/>
  <c r="AC62" i="6"/>
  <c r="AC41" i="6"/>
  <c r="AC64" i="6" s="1"/>
  <c r="AC45" i="6"/>
  <c r="AC67" i="6" s="1"/>
  <c r="R206" i="14"/>
  <c r="BX45" i="6"/>
  <c r="BX44" i="6"/>
  <c r="AB202" i="6"/>
  <c r="BX43" i="6"/>
  <c r="BX47" i="6"/>
  <c r="BX41" i="6"/>
  <c r="V14" i="15"/>
  <c r="AB65" i="6"/>
  <c r="V13" i="15"/>
  <c r="V11" i="15"/>
  <c r="AB428" i="12"/>
  <c r="BH29" i="6"/>
  <c r="AB30" i="6"/>
  <c r="BH30" i="6" s="1"/>
  <c r="AE53" i="12"/>
  <c r="AE34" i="12" s="1"/>
  <c r="AE41" i="6" s="1"/>
  <c r="X13" i="15"/>
  <c r="AB61" i="6"/>
  <c r="AB62" i="6"/>
  <c r="AW16" i="15"/>
  <c r="BV16" i="15" s="1"/>
  <c r="AD58" i="12"/>
  <c r="AD38" i="12" s="1"/>
  <c r="AB205" i="6"/>
  <c r="AD202" i="6"/>
  <c r="V10" i="15"/>
  <c r="AB59" i="6"/>
  <c r="AB204" i="6"/>
  <c r="V15" i="15"/>
  <c r="AB60" i="6"/>
  <c r="AB66" i="6"/>
  <c r="AB64" i="6"/>
  <c r="AB40" i="6"/>
  <c r="AC63" i="6" s="1"/>
  <c r="AB67" i="6"/>
  <c r="AC44" i="6"/>
  <c r="AD57" i="12"/>
  <c r="AY13" i="15" l="1"/>
  <c r="BX13" i="15" s="1"/>
  <c r="AD305" i="12"/>
  <c r="AC305" i="12"/>
  <c r="BY43" i="6"/>
  <c r="AC202" i="6"/>
  <c r="AD64" i="6"/>
  <c r="AC308" i="12"/>
  <c r="AW11" i="15"/>
  <c r="BV11" i="15" s="1"/>
  <c r="Y13" i="15"/>
  <c r="CA43" i="6"/>
  <c r="AB46" i="6"/>
  <c r="U30" i="5" s="1"/>
  <c r="BX42" i="6"/>
  <c r="AC205" i="6"/>
  <c r="BY47" i="6"/>
  <c r="AW14" i="15"/>
  <c r="BV14" i="15" s="1"/>
  <c r="AW13" i="15"/>
  <c r="BV13" i="15" s="1"/>
  <c r="AE202" i="6"/>
  <c r="AW10" i="15"/>
  <c r="BV10" i="15" s="1"/>
  <c r="AE305" i="12"/>
  <c r="AE64" i="6"/>
  <c r="AF53" i="12"/>
  <c r="AE58" i="12"/>
  <c r="AE38" i="12" s="1"/>
  <c r="W16" i="15"/>
  <c r="AD308" i="12"/>
  <c r="AD45" i="6"/>
  <c r="AW15" i="15"/>
  <c r="BV15" i="15" s="1"/>
  <c r="AD37" i="12"/>
  <c r="AD44" i="6" s="1"/>
  <c r="AE57" i="12"/>
  <c r="AB63" i="6"/>
  <c r="R204" i="14"/>
  <c r="AB201" i="6"/>
  <c r="V12" i="15"/>
  <c r="AZ13" i="15" l="1"/>
  <c r="BY13" i="15" s="1"/>
  <c r="AB275" i="12"/>
  <c r="AB48" i="6"/>
  <c r="U32" i="5" s="1"/>
  <c r="U33" i="5" s="1"/>
  <c r="AB68" i="6"/>
  <c r="AD205" i="6"/>
  <c r="BZ47" i="6"/>
  <c r="AF34" i="12"/>
  <c r="AG53" i="12"/>
  <c r="AF58" i="12"/>
  <c r="AF38" i="12" s="1"/>
  <c r="AD67" i="6"/>
  <c r="X16" i="15"/>
  <c r="AX16" i="15"/>
  <c r="BW16" i="15" s="1"/>
  <c r="V18" i="15"/>
  <c r="AW12" i="15"/>
  <c r="AE37" i="12"/>
  <c r="AE44" i="6" s="1"/>
  <c r="AF57" i="12"/>
  <c r="R207" i="14"/>
  <c r="R219" i="14" s="1"/>
  <c r="U31" i="5"/>
  <c r="AS57" i="5"/>
  <c r="U39" i="5"/>
  <c r="U40" i="5" s="1"/>
  <c r="AE308" i="12"/>
  <c r="AE45" i="6"/>
  <c r="AY16" i="15" l="1"/>
  <c r="BX16" i="15" s="1"/>
  <c r="AB51" i="6"/>
  <c r="U34" i="5" s="1"/>
  <c r="U35" i="5" s="1"/>
  <c r="AB70" i="6"/>
  <c r="AE205" i="6"/>
  <c r="CA47" i="6"/>
  <c r="R209" i="14"/>
  <c r="R214" i="14" s="1"/>
  <c r="AG58" i="12"/>
  <c r="AH58" i="12" s="1"/>
  <c r="AH53" i="12"/>
  <c r="AG34" i="12"/>
  <c r="AF41" i="6"/>
  <c r="Z13" i="15" s="1"/>
  <c r="BA13" i="15" s="1"/>
  <c r="BZ13" i="15" s="1"/>
  <c r="AF305" i="12"/>
  <c r="AF37" i="12"/>
  <c r="AF44" i="6" s="1"/>
  <c r="AF205" i="6" s="1"/>
  <c r="AG57" i="12"/>
  <c r="AE67" i="6"/>
  <c r="Y16" i="15"/>
  <c r="R210" i="14"/>
  <c r="R215" i="14" s="1"/>
  <c r="R220" i="14"/>
  <c r="R221" i="14" s="1"/>
  <c r="BV12" i="15"/>
  <c r="BV18" i="15" s="1"/>
  <c r="AW18" i="15"/>
  <c r="V19" i="15"/>
  <c r="BV42" i="15"/>
  <c r="BV43" i="15" s="1"/>
  <c r="AF308" i="12"/>
  <c r="AF45" i="6"/>
  <c r="Z16" i="15" s="1"/>
  <c r="BA16" i="15" s="1"/>
  <c r="BZ16" i="15" s="1"/>
  <c r="AB130" i="6" l="1"/>
  <c r="AB65" i="7"/>
  <c r="AB66" i="7" s="1"/>
  <c r="AB90" i="8"/>
  <c r="AB92" i="8" s="1"/>
  <c r="AB87" i="8"/>
  <c r="AB73" i="6"/>
  <c r="AB56" i="6"/>
  <c r="AB80" i="6" s="1"/>
  <c r="AB52" i="6"/>
  <c r="BH52" i="6" s="1"/>
  <c r="AZ16" i="15"/>
  <c r="BY16" i="15" s="1"/>
  <c r="AG38" i="12"/>
  <c r="AG308" i="12" s="1"/>
  <c r="AF202" i="6"/>
  <c r="AF64" i="6"/>
  <c r="AG305" i="12"/>
  <c r="AG41" i="6"/>
  <c r="AI53" i="12"/>
  <c r="AH34" i="12"/>
  <c r="AW19" i="15"/>
  <c r="AW27" i="15"/>
  <c r="AW30" i="15" s="1"/>
  <c r="BV19" i="15"/>
  <c r="BV27" i="15"/>
  <c r="BV30" i="15" s="1"/>
  <c r="BV33" i="15" s="1"/>
  <c r="AH57" i="12"/>
  <c r="AG37" i="12"/>
  <c r="AG44" i="6" s="1"/>
  <c r="AG205" i="6" s="1"/>
  <c r="R211" i="14"/>
  <c r="R216" i="14" s="1"/>
  <c r="AF67" i="6"/>
  <c r="AI58" i="12"/>
  <c r="AH38" i="12"/>
  <c r="AG45" i="6" l="1"/>
  <c r="AH41" i="6"/>
  <c r="AH305" i="12"/>
  <c r="AI34" i="12"/>
  <c r="AJ53" i="12"/>
  <c r="AG202" i="6"/>
  <c r="AG64" i="6"/>
  <c r="AJ58" i="12"/>
  <c r="AI38" i="12"/>
  <c r="R217" i="14"/>
  <c r="AB131" i="6"/>
  <c r="AB81" i="6"/>
  <c r="BH81" i="6" s="1"/>
  <c r="BH80" i="6"/>
  <c r="AB86" i="6"/>
  <c r="AB153" i="12" s="1"/>
  <c r="BV45" i="15"/>
  <c r="BV46" i="15" s="1"/>
  <c r="AB144" i="6"/>
  <c r="AI57" i="12"/>
  <c r="AH37" i="12"/>
  <c r="AH44" i="6" s="1"/>
  <c r="AH205" i="6" s="1"/>
  <c r="AH308" i="12"/>
  <c r="AH45" i="6"/>
  <c r="AG67" i="6" l="1"/>
  <c r="AK53" i="12"/>
  <c r="AJ34" i="12"/>
  <c r="AI305" i="12"/>
  <c r="AI41" i="6"/>
  <c r="AH202" i="6"/>
  <c r="AH64" i="6"/>
  <c r="R224" i="14"/>
  <c r="R225" i="14"/>
  <c r="R230" i="14" s="1"/>
  <c r="R226" i="14"/>
  <c r="R231" i="14" s="1"/>
  <c r="R241" i="14" s="1"/>
  <c r="AI308" i="12"/>
  <c r="AI45" i="6"/>
  <c r="AJ38" i="12"/>
  <c r="AK58" i="12"/>
  <c r="AH67" i="6"/>
  <c r="AJ57" i="12"/>
  <c r="AI37" i="12"/>
  <c r="AI44" i="6" s="1"/>
  <c r="AI205" i="6" s="1"/>
  <c r="U42" i="5"/>
  <c r="AB145" i="6"/>
  <c r="AB88" i="6"/>
  <c r="U44" i="5" s="1"/>
  <c r="BH86" i="6"/>
  <c r="AK38" i="12" l="1"/>
  <c r="AK308" i="12" s="1"/>
  <c r="AL58" i="12"/>
  <c r="AL38" i="12" s="1"/>
  <c r="AK34" i="12"/>
  <c r="AK305" i="12" s="1"/>
  <c r="AL53" i="12"/>
  <c r="AL34" i="12" s="1"/>
  <c r="AJ305" i="12"/>
  <c r="AJ41" i="6"/>
  <c r="AI202" i="6"/>
  <c r="AI64" i="6"/>
  <c r="BH88" i="6"/>
  <c r="AB91" i="6"/>
  <c r="AB94" i="6" s="1"/>
  <c r="AC95" i="6" s="1"/>
  <c r="AJ308" i="12"/>
  <c r="AJ45" i="6"/>
  <c r="AJ37" i="12"/>
  <c r="AJ44" i="6" s="1"/>
  <c r="AJ205" i="6" s="1"/>
  <c r="AK57" i="12"/>
  <c r="AI67" i="6"/>
  <c r="AK45" i="6" l="1"/>
  <c r="AK41" i="6"/>
  <c r="AK202" i="6" s="1"/>
  <c r="AL41" i="6"/>
  <c r="AL305" i="12"/>
  <c r="AK37" i="12"/>
  <c r="AK44" i="6" s="1"/>
  <c r="AK205" i="6" s="1"/>
  <c r="AL57" i="12"/>
  <c r="AL37" i="12" s="1"/>
  <c r="AL44" i="6" s="1"/>
  <c r="AL205" i="6" s="1"/>
  <c r="AL45" i="6"/>
  <c r="AL308" i="12"/>
  <c r="AB93" i="6"/>
  <c r="AB97" i="6" s="1"/>
  <c r="AC98" i="6" s="1"/>
  <c r="AJ202" i="6"/>
  <c r="AJ64" i="6"/>
  <c r="U47" i="5"/>
  <c r="AJ67" i="6"/>
  <c r="BH91" i="6"/>
  <c r="AK67" i="6" l="1"/>
  <c r="AK64" i="6"/>
  <c r="AL67" i="6"/>
  <c r="AL64" i="6"/>
  <c r="AL202" i="6"/>
  <c r="U48" i="5"/>
  <c r="AJ200" i="4" l="1"/>
  <c r="AI146" i="4"/>
  <c r="AI147" i="4"/>
  <c r="AJ222" i="4" l="1"/>
  <c r="AJ197" i="4"/>
  <c r="AJ198" i="4" s="1"/>
  <c r="AJ14" i="4"/>
  <c r="AJ19" i="4" s="1"/>
  <c r="AJ201" i="4"/>
  <c r="AJ223" i="4"/>
  <c r="AK145" i="4"/>
  <c r="AJ1996" i="4" l="1"/>
  <c r="AJ1940" i="4"/>
  <c r="AK185" i="4"/>
  <c r="AK190" i="4"/>
  <c r="AL145" i="4"/>
  <c r="AK147" i="4"/>
  <c r="AK154" i="4" s="1"/>
  <c r="AJ2001" i="4"/>
  <c r="AM145" i="4" l="1"/>
  <c r="AM147" i="4" s="1"/>
  <c r="AM154" i="4" s="1"/>
  <c r="AL185" i="4"/>
  <c r="AL187" i="4" s="1"/>
  <c r="AL190" i="4"/>
  <c r="AL147" i="4"/>
  <c r="AL154" i="4" s="1"/>
  <c r="AK14" i="4"/>
  <c r="AK200" i="4"/>
  <c r="AK155" i="4"/>
  <c r="AK191" i="4"/>
  <c r="AK193" i="4"/>
  <c r="AI1940" i="4"/>
  <c r="AK186" i="4"/>
  <c r="AK187" i="4"/>
  <c r="AI20" i="4" l="1"/>
  <c r="AL155" i="4"/>
  <c r="AL14" i="4"/>
  <c r="AL200" i="4"/>
  <c r="AL191" i="4"/>
  <c r="AL193" i="4"/>
  <c r="AL195" i="4" s="1"/>
  <c r="AL227" i="4" s="1"/>
  <c r="AL188" i="4"/>
  <c r="AK197" i="4"/>
  <c r="AK201" i="4"/>
  <c r="AK222" i="4"/>
  <c r="AK223" i="4" s="1"/>
  <c r="AL186" i="4"/>
  <c r="AK195" i="4"/>
  <c r="AK227" i="4" s="1"/>
  <c r="AK188" i="4"/>
  <c r="AK1996" i="4"/>
  <c r="AK19" i="4"/>
  <c r="AM14" i="4"/>
  <c r="AM155" i="4"/>
  <c r="AM200" i="4"/>
  <c r="AJ20" i="4"/>
  <c r="AN145" i="4"/>
  <c r="AM185" i="4"/>
  <c r="AM187" i="4" s="1"/>
  <c r="AM190" i="4"/>
  <c r="AJ2002" i="4" l="1"/>
  <c r="AJ23" i="4"/>
  <c r="AM222" i="4"/>
  <c r="AM197" i="4"/>
  <c r="AM201" i="4"/>
  <c r="AL197" i="4"/>
  <c r="AL201" i="4"/>
  <c r="AL222" i="4"/>
  <c r="AL223" i="4" s="1"/>
  <c r="AM19" i="4"/>
  <c r="AM1996" i="4"/>
  <c r="AM188" i="4"/>
  <c r="AL19" i="4"/>
  <c r="AL1996" i="4"/>
  <c r="AK2001" i="4"/>
  <c r="AK198" i="4"/>
  <c r="AK1940" i="4"/>
  <c r="AO145" i="4"/>
  <c r="AN185" i="4"/>
  <c r="AN187" i="4" s="1"/>
  <c r="AN190" i="4"/>
  <c r="AM191" i="4"/>
  <c r="AM193" i="4"/>
  <c r="AM195" i="4" s="1"/>
  <c r="AM227" i="4" s="1"/>
  <c r="AM186" i="4"/>
  <c r="AN147" i="4"/>
  <c r="AN154" i="4" s="1"/>
  <c r="AI23" i="4"/>
  <c r="AI2002" i="4"/>
  <c r="AJ228" i="4" l="1"/>
  <c r="AI228" i="4"/>
  <c r="AM223" i="4"/>
  <c r="AP145" i="4"/>
  <c r="AP147" i="4" s="1"/>
  <c r="AP154" i="4" s="1"/>
  <c r="AO185" i="4"/>
  <c r="AO187" i="4" s="1"/>
  <c r="AO190" i="4"/>
  <c r="AM1940" i="4"/>
  <c r="AM198" i="4"/>
  <c r="AN188" i="4"/>
  <c r="AC280" i="12"/>
  <c r="AC48" i="12" s="1"/>
  <c r="AC226" i="12"/>
  <c r="AC317" i="12"/>
  <c r="AC9" i="6"/>
  <c r="AJ2005" i="4"/>
  <c r="AC160" i="6"/>
  <c r="BI160" i="6" s="1"/>
  <c r="AJ24" i="4"/>
  <c r="AN193" i="4"/>
  <c r="AN195" i="4" s="1"/>
  <c r="AN227" i="4" s="1"/>
  <c r="AN191" i="4"/>
  <c r="AL198" i="4"/>
  <c r="AL1940" i="4"/>
  <c r="AL20" i="4"/>
  <c r="AN14" i="4"/>
  <c r="AN155" i="4"/>
  <c r="AN200" i="4"/>
  <c r="AM2001" i="4"/>
  <c r="AK20" i="4"/>
  <c r="AN186" i="4"/>
  <c r="AB280" i="12"/>
  <c r="AB48" i="12" s="1"/>
  <c r="AB226" i="12"/>
  <c r="AB317" i="12"/>
  <c r="AB9" i="6"/>
  <c r="AI24" i="4"/>
  <c r="AB160" i="6"/>
  <c r="AI2005" i="4"/>
  <c r="AO147" i="4"/>
  <c r="AO154" i="4" s="1"/>
  <c r="AL2001" i="4"/>
  <c r="AL2002" i="4" l="1"/>
  <c r="AB338" i="12"/>
  <c r="AB342" i="12" s="1"/>
  <c r="AB368" i="12"/>
  <c r="AB413" i="12" s="1"/>
  <c r="AB425" i="12" s="1"/>
  <c r="AB432" i="12" s="1"/>
  <c r="AO200" i="4"/>
  <c r="AO14" i="4"/>
  <c r="AO155" i="4"/>
  <c r="AC338" i="12"/>
  <c r="AC342" i="12" s="1"/>
  <c r="AC368" i="12"/>
  <c r="AO193" i="4"/>
  <c r="AO195" i="4" s="1"/>
  <c r="AO227" i="4" s="1"/>
  <c r="AO191" i="4"/>
  <c r="U57" i="5"/>
  <c r="BD160" i="6"/>
  <c r="BC160" i="6" s="1"/>
  <c r="BC168" i="6" s="1"/>
  <c r="BC171" i="6" s="1"/>
  <c r="BH160" i="6"/>
  <c r="AO186" i="4"/>
  <c r="V10" i="5"/>
  <c r="AN201" i="4"/>
  <c r="AN222" i="4"/>
  <c r="AN223" i="4" s="1"/>
  <c r="AN197" i="4"/>
  <c r="AN19" i="4"/>
  <c r="AN1996" i="4"/>
  <c r="AM20" i="4"/>
  <c r="AP14" i="4"/>
  <c r="AP200" i="4"/>
  <c r="AP155" i="4"/>
  <c r="AO188" i="4"/>
  <c r="AL23" i="4"/>
  <c r="U10" i="5"/>
  <c r="U11" i="5" s="1"/>
  <c r="AB199" i="6"/>
  <c r="AK2002" i="4"/>
  <c r="AK23" i="4"/>
  <c r="AQ145" i="4"/>
  <c r="AQ147" i="4" s="1"/>
  <c r="AQ154" i="4" s="1"/>
  <c r="AP185" i="4"/>
  <c r="AP190" i="4"/>
  <c r="AC300" i="12" l="1"/>
  <c r="AC36" i="6"/>
  <c r="AO201" i="4"/>
  <c r="AO222" i="4"/>
  <c r="AO223" i="4" s="1"/>
  <c r="AO197" i="4"/>
  <c r="AC375" i="12"/>
  <c r="AC378" i="12" s="1"/>
  <c r="AC443" i="12"/>
  <c r="AC176" i="6"/>
  <c r="AP201" i="4"/>
  <c r="AP222" i="4"/>
  <c r="AC413" i="12"/>
  <c r="AC425" i="12" s="1"/>
  <c r="AP19" i="4"/>
  <c r="AP1996" i="4"/>
  <c r="AP191" i="4"/>
  <c r="AP193" i="4"/>
  <c r="AB375" i="12"/>
  <c r="AB378" i="12" s="1"/>
  <c r="AB443" i="12"/>
  <c r="AB176" i="6"/>
  <c r="AN20" i="4"/>
  <c r="AN2002" i="4" s="1"/>
  <c r="V11" i="5"/>
  <c r="V57" i="5"/>
  <c r="AM2002" i="4"/>
  <c r="AM23" i="4"/>
  <c r="AQ200" i="4"/>
  <c r="AQ14" i="4"/>
  <c r="AQ155" i="4"/>
  <c r="AE226" i="12"/>
  <c r="AE317" i="12"/>
  <c r="AE280" i="12"/>
  <c r="AE9" i="6"/>
  <c r="AE160" i="6"/>
  <c r="BK160" i="6" s="1"/>
  <c r="AL2005" i="4"/>
  <c r="AL24" i="4"/>
  <c r="AL228" i="4"/>
  <c r="AR145" i="4"/>
  <c r="AQ190" i="4"/>
  <c r="AQ185" i="4"/>
  <c r="AQ187" i="4" s="1"/>
  <c r="AN2001" i="4"/>
  <c r="AN1940" i="4"/>
  <c r="AN198" i="4"/>
  <c r="AP186" i="4"/>
  <c r="AD317" i="12"/>
  <c r="AD280" i="12"/>
  <c r="AD226" i="12"/>
  <c r="AD160" i="6"/>
  <c r="BJ160" i="6" s="1"/>
  <c r="AD9" i="6"/>
  <c r="AK2005" i="4"/>
  <c r="AK24" i="4"/>
  <c r="AK228" i="4"/>
  <c r="AP187" i="4"/>
  <c r="AP197" i="4" s="1"/>
  <c r="AO1996" i="4"/>
  <c r="AO19" i="4"/>
  <c r="BY40" i="6" l="1"/>
  <c r="AC59" i="6"/>
  <c r="AR147" i="4"/>
  <c r="AR154" i="4" s="1"/>
  <c r="AR14" i="4" s="1"/>
  <c r="AS145" i="4"/>
  <c r="AN23" i="4"/>
  <c r="AP223" i="4"/>
  <c r="AD29" i="12"/>
  <c r="AD36" i="6" s="1"/>
  <c r="AP198" i="4"/>
  <c r="AP1940" i="4"/>
  <c r="AP2001" i="4"/>
  <c r="BD176" i="6"/>
  <c r="BC176" i="6" s="1"/>
  <c r="BH176" i="6"/>
  <c r="AB184" i="6"/>
  <c r="AO1940" i="4"/>
  <c r="AO198" i="4"/>
  <c r="AE338" i="12"/>
  <c r="AE342" i="12" s="1"/>
  <c r="AE368" i="12"/>
  <c r="AE413" i="12" s="1"/>
  <c r="AE425" i="12" s="1"/>
  <c r="AD338" i="12"/>
  <c r="AD342" i="12" s="1"/>
  <c r="AD368" i="12"/>
  <c r="AD413" i="12" s="1"/>
  <c r="AD425" i="12" s="1"/>
  <c r="AO20" i="4"/>
  <c r="AO2002" i="4" s="1"/>
  <c r="AQ19" i="4"/>
  <c r="AQ1996" i="4"/>
  <c r="AE48" i="12"/>
  <c r="AE29" i="12" s="1"/>
  <c r="W57" i="5"/>
  <c r="AQ201" i="4"/>
  <c r="AQ222" i="4"/>
  <c r="AQ223" i="4" s="1"/>
  <c r="AQ197" i="4"/>
  <c r="AB382" i="12"/>
  <c r="AB452" i="12"/>
  <c r="AC382" i="12"/>
  <c r="AC452" i="12"/>
  <c r="X10" i="5"/>
  <c r="AF226" i="12"/>
  <c r="AF317" i="12"/>
  <c r="AF280" i="12"/>
  <c r="AF160" i="6"/>
  <c r="BL160" i="6" s="1"/>
  <c r="AM2005" i="4"/>
  <c r="AF9" i="6"/>
  <c r="Y10" i="5" s="1"/>
  <c r="AM24" i="4"/>
  <c r="AM228" i="4"/>
  <c r="AC184" i="6"/>
  <c r="BI176" i="6"/>
  <c r="AC199" i="6"/>
  <c r="W10" i="15"/>
  <c r="AP188" i="4"/>
  <c r="AP195" i="4"/>
  <c r="AP227" i="4" s="1"/>
  <c r="AQ188" i="4"/>
  <c r="AQ186" i="4"/>
  <c r="AQ191" i="4"/>
  <c r="AQ193" i="4"/>
  <c r="AQ195" i="4" s="1"/>
  <c r="AQ227" i="4" s="1"/>
  <c r="AO2001" i="4"/>
  <c r="W10" i="5"/>
  <c r="W11" i="5" s="1"/>
  <c r="AR185" i="4"/>
  <c r="AR190" i="4"/>
  <c r="AR155" i="4" l="1"/>
  <c r="AR200" i="4"/>
  <c r="AR222" i="4" s="1"/>
  <c r="AR223" i="4" s="1"/>
  <c r="AG317" i="12"/>
  <c r="BZ40" i="6"/>
  <c r="AD35" i="6"/>
  <c r="Y11" i="5"/>
  <c r="AR186" i="4"/>
  <c r="AG160" i="6"/>
  <c r="BM160" i="6" s="1"/>
  <c r="AS147" i="4"/>
  <c r="AS154" i="4" s="1"/>
  <c r="AS185" i="4"/>
  <c r="AS186" i="4" s="1"/>
  <c r="AS190" i="4"/>
  <c r="AN2005" i="4"/>
  <c r="AG226" i="12"/>
  <c r="AN24" i="4"/>
  <c r="AN228" i="4"/>
  <c r="AG280" i="12"/>
  <c r="AD300" i="12"/>
  <c r="AG9" i="6"/>
  <c r="AF338" i="12"/>
  <c r="AF342" i="12" s="1"/>
  <c r="AF368" i="12"/>
  <c r="AF413" i="12" s="1"/>
  <c r="AF425" i="12" s="1"/>
  <c r="AD59" i="6"/>
  <c r="AD199" i="6"/>
  <c r="X10" i="15"/>
  <c r="AR1996" i="4"/>
  <c r="AR19" i="4"/>
  <c r="AG338" i="12"/>
  <c r="AG342" i="12" s="1"/>
  <c r="X11" i="5"/>
  <c r="AE375" i="12"/>
  <c r="AE378" i="12" s="1"/>
  <c r="AE176" i="6"/>
  <c r="AE443" i="12"/>
  <c r="AQ198" i="4"/>
  <c r="AQ1940" i="4"/>
  <c r="AD375" i="12"/>
  <c r="AD378" i="12" s="1"/>
  <c r="AD443" i="12"/>
  <c r="AD176" i="6"/>
  <c r="BD184" i="6"/>
  <c r="BH184" i="6"/>
  <c r="AB186" i="6"/>
  <c r="AQ2001" i="4"/>
  <c r="AO23" i="4"/>
  <c r="AX10" i="15"/>
  <c r="AC186" i="6"/>
  <c r="BI184" i="6"/>
  <c r="AF48" i="12"/>
  <c r="X57" i="5"/>
  <c r="BC30" i="6"/>
  <c r="BF30" i="6"/>
  <c r="BC184" i="6"/>
  <c r="BC186" i="6" s="1"/>
  <c r="BC189" i="6" s="1"/>
  <c r="AE300" i="12"/>
  <c r="AE36" i="6"/>
  <c r="CA40" i="6" s="1"/>
  <c r="AR191" i="4"/>
  <c r="AR193" i="4"/>
  <c r="AR187" i="4"/>
  <c r="AR197" i="4" s="1"/>
  <c r="AR201" i="4" l="1"/>
  <c r="AG368" i="12"/>
  <c r="AS187" i="4"/>
  <c r="AS188" i="4" s="1"/>
  <c r="AS155" i="4"/>
  <c r="AS14" i="4"/>
  <c r="AS200" i="4"/>
  <c r="AS193" i="4"/>
  <c r="AS191" i="4"/>
  <c r="AG48" i="12"/>
  <c r="AH48" i="12" s="1"/>
  <c r="AI48" i="12" s="1"/>
  <c r="AJ48" i="12" s="1"/>
  <c r="AK48" i="12" s="1"/>
  <c r="AL48" i="12" s="1"/>
  <c r="Y57" i="5"/>
  <c r="AF29" i="12"/>
  <c r="AF300" i="12" s="1"/>
  <c r="AQ20" i="4"/>
  <c r="AB379" i="12"/>
  <c r="BD186" i="6"/>
  <c r="AB189" i="6"/>
  <c r="BH186" i="6"/>
  <c r="AD452" i="12"/>
  <c r="AD382" i="12"/>
  <c r="AG443" i="12"/>
  <c r="AG375" i="12"/>
  <c r="AG378" i="12" s="1"/>
  <c r="AG176" i="6"/>
  <c r="AR2001" i="4"/>
  <c r="AR198" i="4"/>
  <c r="AR1940" i="4"/>
  <c r="AY10" i="15"/>
  <c r="AE59" i="6"/>
  <c r="AE199" i="6"/>
  <c r="Y10" i="15"/>
  <c r="AP20" i="4"/>
  <c r="AG413" i="12"/>
  <c r="AG425" i="12" s="1"/>
  <c r="AF443" i="12"/>
  <c r="AF375" i="12"/>
  <c r="AF378" i="12" s="1"/>
  <c r="AF176" i="6"/>
  <c r="AC379" i="12"/>
  <c r="BI186" i="6"/>
  <c r="AC189" i="6"/>
  <c r="AE184" i="6"/>
  <c r="BK176" i="6"/>
  <c r="BC190" i="6"/>
  <c r="BF190" i="6"/>
  <c r="AH280" i="12"/>
  <c r="AH226" i="12"/>
  <c r="AH317" i="12"/>
  <c r="AH9" i="6"/>
  <c r="AO24" i="4"/>
  <c r="AH160" i="6"/>
  <c r="BN160" i="6" s="1"/>
  <c r="AO2005" i="4"/>
  <c r="AO228" i="4"/>
  <c r="BJ176" i="6"/>
  <c r="AD184" i="6"/>
  <c r="AR188" i="4"/>
  <c r="AR195" i="4"/>
  <c r="AR227" i="4" s="1"/>
  <c r="BW10" i="15"/>
  <c r="AE452" i="12"/>
  <c r="AE382" i="12"/>
  <c r="AS195" i="4" l="1"/>
  <c r="AS227" i="4" s="1"/>
  <c r="AG29" i="12"/>
  <c r="AG300" i="12" s="1"/>
  <c r="AH29" i="12"/>
  <c r="AS197" i="4"/>
  <c r="AS222" i="4"/>
  <c r="AS223" i="4" s="1"/>
  <c r="AS201" i="4"/>
  <c r="AS1996" i="4"/>
  <c r="AS19" i="4"/>
  <c r="AF36" i="6"/>
  <c r="BM176" i="6"/>
  <c r="AG184" i="6"/>
  <c r="AB383" i="12"/>
  <c r="AB400" i="12" s="1"/>
  <c r="AB403" i="12"/>
  <c r="AB143" i="6"/>
  <c r="BD189" i="6"/>
  <c r="AB190" i="6"/>
  <c r="AB192" i="6"/>
  <c r="BH189" i="6"/>
  <c r="AH338" i="12"/>
  <c r="AH342" i="12" s="1"/>
  <c r="AH368" i="12"/>
  <c r="AH413" i="12" s="1"/>
  <c r="AH425" i="12" s="1"/>
  <c r="AF382" i="12"/>
  <c r="AF452" i="12"/>
  <c r="AE186" i="6"/>
  <c r="BK184" i="6"/>
  <c r="AC403" i="12"/>
  <c r="AC383" i="12"/>
  <c r="AC400" i="12" s="1"/>
  <c r="AC192" i="6"/>
  <c r="AC190" i="6"/>
  <c r="BI190" i="6" s="1"/>
  <c r="BI189" i="6"/>
  <c r="AG452" i="12"/>
  <c r="AG382" i="12"/>
  <c r="BJ184" i="6"/>
  <c r="AD186" i="6"/>
  <c r="BX10" i="15"/>
  <c r="AP2002" i="4"/>
  <c r="AP23" i="4"/>
  <c r="BL176" i="6"/>
  <c r="AF184" i="6"/>
  <c r="AZ10" i="15"/>
  <c r="AQ2002" i="4"/>
  <c r="AQ23" i="4"/>
  <c r="AG36" i="6" l="1"/>
  <c r="AH300" i="12"/>
  <c r="AH36" i="6"/>
  <c r="AF59" i="6"/>
  <c r="Z10" i="15"/>
  <c r="BA10" i="15" s="1"/>
  <c r="BZ10" i="15" s="1"/>
  <c r="AS2001" i="4"/>
  <c r="AS23" i="4"/>
  <c r="AS198" i="4"/>
  <c r="AS1940" i="4"/>
  <c r="AF199" i="6"/>
  <c r="AF186" i="6"/>
  <c r="BL184" i="6"/>
  <c r="AE379" i="12"/>
  <c r="AE189" i="6"/>
  <c r="BK186" i="6"/>
  <c r="AB435" i="12"/>
  <c r="AB436" i="12" s="1"/>
  <c r="AB402" i="12"/>
  <c r="AB401" i="12"/>
  <c r="BY10" i="15"/>
  <c r="AC402" i="12"/>
  <c r="AC435" i="12"/>
  <c r="AC401" i="12"/>
  <c r="AD379" i="12"/>
  <c r="BJ186" i="6"/>
  <c r="AD189" i="6"/>
  <c r="AC193" i="6"/>
  <c r="BI193" i="6" s="1"/>
  <c r="BI192" i="6"/>
  <c r="BM184" i="6"/>
  <c r="AG186" i="6"/>
  <c r="AI280" i="12"/>
  <c r="AI29" i="12" s="1"/>
  <c r="AI226" i="12"/>
  <c r="AI317" i="12"/>
  <c r="AI9" i="6"/>
  <c r="AI160" i="6"/>
  <c r="AP24" i="4"/>
  <c r="AP2005" i="4"/>
  <c r="AP228" i="4"/>
  <c r="AH375" i="12"/>
  <c r="AH378" i="12" s="1"/>
  <c r="AH443" i="12"/>
  <c r="AH176" i="6"/>
  <c r="BH190" i="6"/>
  <c r="BD190" i="6"/>
  <c r="AR20" i="4"/>
  <c r="AS2002" i="4" s="1"/>
  <c r="AJ280" i="12"/>
  <c r="AJ29" i="12" s="1"/>
  <c r="AJ226" i="12"/>
  <c r="AJ317" i="12"/>
  <c r="AJ9" i="6"/>
  <c r="AQ24" i="4"/>
  <c r="AJ160" i="6"/>
  <c r="AQ2005" i="4"/>
  <c r="AQ228" i="4"/>
  <c r="BH192" i="6"/>
  <c r="AB193" i="6"/>
  <c r="BD192" i="6"/>
  <c r="BC192" i="6" s="1"/>
  <c r="AH59" i="6" l="1"/>
  <c r="AG199" i="6"/>
  <c r="AG59" i="6"/>
  <c r="AH199" i="6"/>
  <c r="AL226" i="12"/>
  <c r="AL9" i="6"/>
  <c r="AL160" i="6"/>
  <c r="AL280" i="12"/>
  <c r="AL29" i="12" s="1"/>
  <c r="AL317" i="12"/>
  <c r="AS228" i="4"/>
  <c r="AC436" i="12"/>
  <c r="AE383" i="12"/>
  <c r="AE400" i="12" s="1"/>
  <c r="AE403" i="12"/>
  <c r="AE143" i="6"/>
  <c r="BK189" i="6"/>
  <c r="AE192" i="6"/>
  <c r="AE190" i="6"/>
  <c r="BK190" i="6" s="1"/>
  <c r="AJ338" i="12"/>
  <c r="AJ342" i="12" s="1"/>
  <c r="AJ368" i="12"/>
  <c r="AJ413" i="12" s="1"/>
  <c r="AJ425" i="12" s="1"/>
  <c r="AJ300" i="12"/>
  <c r="AJ36" i="6"/>
  <c r="AI338" i="12"/>
  <c r="AI342" i="12" s="1"/>
  <c r="AI368" i="12"/>
  <c r="AI413" i="12" s="1"/>
  <c r="AI425" i="12" s="1"/>
  <c r="AF379" i="12"/>
  <c r="AF189" i="6"/>
  <c r="BL186" i="6"/>
  <c r="BC193" i="6"/>
  <c r="BF193" i="6"/>
  <c r="BD193" i="6"/>
  <c r="BH193" i="6"/>
  <c r="AD383" i="12"/>
  <c r="AD400" i="12" s="1"/>
  <c r="AD403" i="12"/>
  <c r="AD143" i="6"/>
  <c r="BJ189" i="6"/>
  <c r="AD192" i="6"/>
  <c r="AD190" i="6"/>
  <c r="BJ190" i="6" s="1"/>
  <c r="AH184" i="6"/>
  <c r="BN176" i="6"/>
  <c r="AI300" i="12"/>
  <c r="AI36" i="6"/>
  <c r="AG379" i="12"/>
  <c r="AG189" i="6"/>
  <c r="BM186" i="6"/>
  <c r="AH382" i="12"/>
  <c r="AH452" i="12"/>
  <c r="AR2002" i="4"/>
  <c r="AR23" i="4"/>
  <c r="AS24" i="4" l="1"/>
  <c r="AS2005" i="4"/>
  <c r="AL338" i="12"/>
  <c r="AL342" i="12" s="1"/>
  <c r="AL368" i="12"/>
  <c r="AL36" i="6"/>
  <c r="AF403" i="12"/>
  <c r="BL189" i="6"/>
  <c r="AF192" i="6"/>
  <c r="AF383" i="12"/>
  <c r="AF400" i="12" s="1"/>
  <c r="AF143" i="6"/>
  <c r="AF190" i="6"/>
  <c r="BL190" i="6" s="1"/>
  <c r="AJ59" i="6"/>
  <c r="AJ199" i="6"/>
  <c r="AE193" i="6"/>
  <c r="BK193" i="6" s="1"/>
  <c r="BK192" i="6"/>
  <c r="AH186" i="6"/>
  <c r="BN184" i="6"/>
  <c r="AD193" i="6"/>
  <c r="BJ193" i="6" s="1"/>
  <c r="BJ192" i="6"/>
  <c r="AG383" i="12"/>
  <c r="AG400" i="12" s="1"/>
  <c r="AG403" i="12"/>
  <c r="AG190" i="6"/>
  <c r="BM190" i="6" s="1"/>
  <c r="AG143" i="6"/>
  <c r="BM189" i="6"/>
  <c r="AG192" i="6"/>
  <c r="AD402" i="12"/>
  <c r="AD401" i="12"/>
  <c r="AK280" i="12"/>
  <c r="AK29" i="12" s="1"/>
  <c r="AL300" i="12" s="1"/>
  <c r="AK226" i="12"/>
  <c r="AK317" i="12"/>
  <c r="AK9" i="6"/>
  <c r="AR2005" i="4"/>
  <c r="AR24" i="4"/>
  <c r="AK160" i="6"/>
  <c r="AR228" i="4"/>
  <c r="AI59" i="6"/>
  <c r="AI199" i="6"/>
  <c r="AE402" i="12"/>
  <c r="AE401" i="12"/>
  <c r="AI375" i="12"/>
  <c r="AI378" i="12" s="1"/>
  <c r="AI443" i="12"/>
  <c r="AI176" i="6"/>
  <c r="AJ375" i="12"/>
  <c r="AJ378" i="12" s="1"/>
  <c r="AJ443" i="12"/>
  <c r="AJ176" i="6"/>
  <c r="AL176" i="6" l="1"/>
  <c r="AL375" i="12"/>
  <c r="AL378" i="12" s="1"/>
  <c r="AL199" i="6"/>
  <c r="AL413" i="12"/>
  <c r="AL425" i="12" s="1"/>
  <c r="AF402" i="12"/>
  <c r="AF435" i="12"/>
  <c r="AF401" i="12"/>
  <c r="AG435" i="12"/>
  <c r="AG402" i="12"/>
  <c r="AG401" i="12"/>
  <c r="AF193" i="6"/>
  <c r="BL193" i="6" s="1"/>
  <c r="BL192" i="6"/>
  <c r="AH379" i="12"/>
  <c r="AH189" i="6"/>
  <c r="BN186" i="6"/>
  <c r="AJ184" i="6"/>
  <c r="AJ186" i="6" s="1"/>
  <c r="AK338" i="12"/>
  <c r="AK342" i="12" s="1"/>
  <c r="AK368" i="12"/>
  <c r="AK413" i="12" s="1"/>
  <c r="AK425" i="12" s="1"/>
  <c r="AK300" i="12"/>
  <c r="AK36" i="6"/>
  <c r="AL59" i="6" s="1"/>
  <c r="AI382" i="12"/>
  <c r="AI452" i="12"/>
  <c r="AJ452" i="12"/>
  <c r="AJ382" i="12"/>
  <c r="BM192" i="6"/>
  <c r="AG193" i="6"/>
  <c r="BM193" i="6" s="1"/>
  <c r="AI184" i="6"/>
  <c r="AI186" i="6" s="1"/>
  <c r="AL184" i="6" l="1"/>
  <c r="AL186" i="6" s="1"/>
  <c r="AL189" i="6" s="1"/>
  <c r="AL443" i="12"/>
  <c r="AL382" i="12"/>
  <c r="AG436" i="12"/>
  <c r="AJ189" i="6"/>
  <c r="AJ379" i="12"/>
  <c r="AK59" i="6"/>
  <c r="AK199" i="6"/>
  <c r="AH383" i="12"/>
  <c r="AH400" i="12" s="1"/>
  <c r="AH403" i="12"/>
  <c r="AH143" i="6"/>
  <c r="AH190" i="6"/>
  <c r="BN190" i="6" s="1"/>
  <c r="BN189" i="6"/>
  <c r="AH192" i="6"/>
  <c r="AI379" i="12"/>
  <c r="AI189" i="6"/>
  <c r="AK443" i="12"/>
  <c r="AK176" i="6"/>
  <c r="AK375" i="12"/>
  <c r="AK378" i="12" s="1"/>
  <c r="AL452" i="12" s="1"/>
  <c r="AL379" i="12" l="1"/>
  <c r="AL192" i="6"/>
  <c r="AL143" i="6"/>
  <c r="AL403" i="12"/>
  <c r="AL383" i="12"/>
  <c r="AH435" i="12"/>
  <c r="AH436" i="12" s="1"/>
  <c r="AH402" i="12"/>
  <c r="AH401" i="12"/>
  <c r="AH193" i="6"/>
  <c r="BN193" i="6" s="1"/>
  <c r="BN192" i="6"/>
  <c r="AI383" i="12"/>
  <c r="AI400" i="12" s="1"/>
  <c r="AI403" i="12"/>
  <c r="AI143" i="6"/>
  <c r="AI192" i="6"/>
  <c r="AI193" i="6" s="1"/>
  <c r="AI190" i="6"/>
  <c r="AK382" i="12"/>
  <c r="AK452" i="12"/>
  <c r="AK184" i="6"/>
  <c r="AK186" i="6" s="1"/>
  <c r="AJ383" i="12"/>
  <c r="AJ400" i="12" s="1"/>
  <c r="AJ403" i="12"/>
  <c r="AJ143" i="6"/>
  <c r="AJ190" i="6"/>
  <c r="AJ192" i="6"/>
  <c r="AL400" i="12" l="1"/>
  <c r="AL435" i="12" s="1"/>
  <c r="AJ193" i="6"/>
  <c r="AJ435" i="12"/>
  <c r="AJ402" i="12"/>
  <c r="AJ401" i="12"/>
  <c r="AI402" i="12"/>
  <c r="AI435" i="12"/>
  <c r="AI436" i="12" s="1"/>
  <c r="AI401" i="12"/>
  <c r="AK379" i="12"/>
  <c r="AK189" i="6"/>
  <c r="AL190" i="6" s="1"/>
  <c r="AL401" i="12" l="1"/>
  <c r="AL402" i="12"/>
  <c r="AK403" i="12"/>
  <c r="AK383" i="12"/>
  <c r="AK400" i="12" s="1"/>
  <c r="AK192" i="6"/>
  <c r="AK143" i="6"/>
  <c r="AK190" i="6"/>
  <c r="AJ436" i="12"/>
  <c r="AK193" i="6" l="1"/>
  <c r="AL193" i="6"/>
  <c r="AK402" i="12"/>
  <c r="AK435" i="12"/>
  <c r="AK401" i="12"/>
  <c r="AI32" i="4"/>
  <c r="AI33" i="4" s="1"/>
  <c r="AI331" i="4"/>
  <c r="AI335" i="4"/>
  <c r="AI336" i="4" s="1"/>
  <c r="AK436" i="12" l="1"/>
  <c r="AL436" i="12"/>
  <c r="AK331" i="4"/>
  <c r="AL331" i="4" s="1"/>
  <c r="AM331" i="4" s="1"/>
  <c r="AN331" i="4" s="1"/>
  <c r="AO331" i="4" s="1"/>
  <c r="AP331" i="4" s="1"/>
  <c r="AQ331" i="4" s="1"/>
  <c r="AR331" i="4" s="1"/>
  <c r="AS331" i="4" s="1"/>
  <c r="AB233" i="12"/>
  <c r="AB281" i="12"/>
  <c r="AB49" i="12" s="1"/>
  <c r="AB10" i="6"/>
  <c r="AI34" i="4"/>
  <c r="AI2014" i="4"/>
  <c r="AI2013" i="4"/>
  <c r="U12" i="5" l="1"/>
  <c r="U13" i="5" s="1"/>
  <c r="AB200" i="6"/>
  <c r="AB265" i="12"/>
  <c r="AB266" i="12" s="1"/>
  <c r="AC266" i="12" s="1"/>
  <c r="AD266" i="12" s="1"/>
  <c r="AE266" i="12" s="1"/>
  <c r="AF266" i="12" s="1"/>
  <c r="AG266" i="12" s="1"/>
  <c r="AH266" i="12" s="1"/>
  <c r="AI266" i="12" s="1"/>
  <c r="AJ266" i="12" s="1"/>
  <c r="AK266" i="12" s="1"/>
  <c r="AL266" i="12" s="1"/>
  <c r="AB234" i="12"/>
  <c r="AC234" i="12" s="1"/>
  <c r="AD234" i="12" s="1"/>
  <c r="AE234" i="12" s="1"/>
  <c r="AF234" i="12" s="1"/>
  <c r="AG234" i="12" s="1"/>
  <c r="AH234" i="12" s="1"/>
  <c r="AI234" i="12" s="1"/>
  <c r="AJ234" i="12" s="1"/>
  <c r="AK234" i="12" s="1"/>
  <c r="AL234" i="12" s="1"/>
  <c r="AJ32" i="4"/>
  <c r="AK327" i="4"/>
  <c r="AJ335" i="4"/>
  <c r="AJ336" i="4" s="1"/>
  <c r="AK32" i="4" l="1"/>
  <c r="AK335" i="4"/>
  <c r="AK336" i="4" s="1"/>
  <c r="AL327" i="4"/>
  <c r="AJ33" i="4"/>
  <c r="AJ76" i="4" s="1"/>
  <c r="AJ2013" i="4"/>
  <c r="AC233" i="12" l="1"/>
  <c r="AC281" i="12"/>
  <c r="AC49" i="12" s="1"/>
  <c r="AC10" i="6"/>
  <c r="AJ34" i="4"/>
  <c r="AJ2014" i="4"/>
  <c r="AL335" i="4"/>
  <c r="AL336" i="4" s="1"/>
  <c r="AL32" i="4"/>
  <c r="AM327" i="4"/>
  <c r="AK33" i="4"/>
  <c r="AK2013" i="4"/>
  <c r="AD281" i="12" l="1"/>
  <c r="AD30" i="12" s="1"/>
  <c r="AD233" i="12"/>
  <c r="AD10" i="6"/>
  <c r="AK34" i="4"/>
  <c r="AK2014" i="4"/>
  <c r="V12" i="5"/>
  <c r="V13" i="5" s="1"/>
  <c r="AM335" i="4"/>
  <c r="AM336" i="4" s="1"/>
  <c r="AM32" i="4"/>
  <c r="AN327" i="4"/>
  <c r="AC301" i="12"/>
  <c r="AC37" i="6"/>
  <c r="AL33" i="4"/>
  <c r="AL2013" i="4"/>
  <c r="AC216" i="12"/>
  <c r="AC217" i="12" s="1"/>
  <c r="AC265" i="12"/>
  <c r="AC264" i="12" s="1"/>
  <c r="AC245" i="12" s="1"/>
  <c r="BY41" i="6" l="1"/>
  <c r="AC60" i="6"/>
  <c r="AE233" i="12"/>
  <c r="AE281" i="12"/>
  <c r="AE30" i="12" s="1"/>
  <c r="AE10" i="6"/>
  <c r="AL34" i="4"/>
  <c r="AL2014" i="4"/>
  <c r="AC200" i="6"/>
  <c r="W11" i="15"/>
  <c r="AN335" i="4"/>
  <c r="AN336" i="4" s="1"/>
  <c r="AN32" i="4"/>
  <c r="AO327" i="4"/>
  <c r="AM33" i="4"/>
  <c r="AM2013" i="4"/>
  <c r="W12" i="5"/>
  <c r="W13" i="5" s="1"/>
  <c r="AD216" i="12"/>
  <c r="AD217" i="12" s="1"/>
  <c r="AD265" i="12"/>
  <c r="AD264" i="12" s="1"/>
  <c r="AD245" i="12" s="1"/>
  <c r="AD301" i="12"/>
  <c r="AD37" i="6"/>
  <c r="BZ41" i="6" s="1"/>
  <c r="AP327" i="4" l="1"/>
  <c r="AO335" i="4"/>
  <c r="AO336" i="4" s="1"/>
  <c r="AO32" i="4"/>
  <c r="AN33" i="4"/>
  <c r="AN2013" i="4"/>
  <c r="X12" i="5"/>
  <c r="X13" i="5" s="1"/>
  <c r="AE301" i="12"/>
  <c r="AE37" i="6"/>
  <c r="CA41" i="6" s="1"/>
  <c r="AD60" i="6"/>
  <c r="AD200" i="6"/>
  <c r="X11" i="15"/>
  <c r="AX11" i="15"/>
  <c r="AF233" i="12"/>
  <c r="AF281" i="12"/>
  <c r="AF30" i="12" s="1"/>
  <c r="AF10" i="6"/>
  <c r="Y12" i="5" s="1"/>
  <c r="AM2014" i="4"/>
  <c r="AM34" i="4"/>
  <c r="AE265" i="12"/>
  <c r="AE264" i="12" s="1"/>
  <c r="AE245" i="12" s="1"/>
  <c r="AE216" i="12"/>
  <c r="AE217" i="12" s="1"/>
  <c r="Y13" i="5" l="1"/>
  <c r="AY11" i="15"/>
  <c r="BW11" i="15"/>
  <c r="AF265" i="12"/>
  <c r="AF264" i="12" s="1"/>
  <c r="AF245" i="12" s="1"/>
  <c r="AF216" i="12"/>
  <c r="AF217" i="12" s="1"/>
  <c r="AG233" i="12"/>
  <c r="AG281" i="12"/>
  <c r="AG30" i="12" s="1"/>
  <c r="AG10" i="6"/>
  <c r="AN2014" i="4"/>
  <c r="AN34" i="4"/>
  <c r="AO2013" i="4"/>
  <c r="AO33" i="4"/>
  <c r="AE60" i="6"/>
  <c r="Y11" i="15"/>
  <c r="AE200" i="6"/>
  <c r="AF301" i="12"/>
  <c r="AF37" i="6"/>
  <c r="AQ327" i="4"/>
  <c r="AP335" i="4"/>
  <c r="AP336" i="4" s="1"/>
  <c r="AP32" i="4"/>
  <c r="Z11" i="15" l="1"/>
  <c r="AH233" i="12"/>
  <c r="AH281" i="12"/>
  <c r="AH30" i="12" s="1"/>
  <c r="AH10" i="6"/>
  <c r="AO34" i="4"/>
  <c r="AO2014" i="4"/>
  <c r="AG265" i="12"/>
  <c r="AG264" i="12" s="1"/>
  <c r="AG245" i="12" s="1"/>
  <c r="AG216" i="12"/>
  <c r="AG217" i="12" s="1"/>
  <c r="AF60" i="6"/>
  <c r="AF200" i="6"/>
  <c r="AZ11" i="15"/>
  <c r="AP2013" i="4"/>
  <c r="AP33" i="4"/>
  <c r="BX11" i="15"/>
  <c r="AR327" i="4"/>
  <c r="AS327" i="4" s="1"/>
  <c r="AQ335" i="4"/>
  <c r="AQ336" i="4" s="1"/>
  <c r="AQ32" i="4"/>
  <c r="AG301" i="12"/>
  <c r="AG37" i="6"/>
  <c r="BA11" i="15" l="1"/>
  <c r="AS32" i="4"/>
  <c r="AS335" i="4"/>
  <c r="AR32" i="4"/>
  <c r="AR335" i="4"/>
  <c r="AR336" i="4" s="1"/>
  <c r="BY11" i="15"/>
  <c r="AG60" i="6"/>
  <c r="AG200" i="6"/>
  <c r="AQ33" i="4"/>
  <c r="AQ2013" i="4"/>
  <c r="AH301" i="12"/>
  <c r="AH37" i="6"/>
  <c r="AI233" i="12"/>
  <c r="AI281" i="12"/>
  <c r="AI30" i="12" s="1"/>
  <c r="AI10" i="6"/>
  <c r="AP34" i="4"/>
  <c r="AP2014" i="4"/>
  <c r="AH216" i="12"/>
  <c r="AH217" i="12" s="1"/>
  <c r="AH265" i="12"/>
  <c r="AH264" i="12" s="1"/>
  <c r="AH245" i="12" s="1"/>
  <c r="BZ11" i="15" l="1"/>
  <c r="AS336" i="4"/>
  <c r="AS2013" i="4"/>
  <c r="AS33" i="4"/>
  <c r="AH60" i="6"/>
  <c r="AH200" i="6"/>
  <c r="AI301" i="12"/>
  <c r="AI37" i="6"/>
  <c r="AI265" i="12"/>
  <c r="AI264" i="12" s="1"/>
  <c r="AI245" i="12" s="1"/>
  <c r="AI216" i="12"/>
  <c r="AI217" i="12" s="1"/>
  <c r="AJ233" i="12"/>
  <c r="AJ281" i="12"/>
  <c r="AJ30" i="12" s="1"/>
  <c r="AJ10" i="6"/>
  <c r="AQ34" i="4"/>
  <c r="AQ2014" i="4"/>
  <c r="AR33" i="4"/>
  <c r="AR2013" i="4"/>
  <c r="AL281" i="12" l="1"/>
  <c r="AL30" i="12" s="1"/>
  <c r="AL10" i="6"/>
  <c r="AS34" i="4"/>
  <c r="AS2014" i="4"/>
  <c r="AL233" i="12"/>
  <c r="AI60" i="6"/>
  <c r="AI200" i="6"/>
  <c r="AJ301" i="12"/>
  <c r="AJ37" i="6"/>
  <c r="AJ265" i="12"/>
  <c r="AJ264" i="12" s="1"/>
  <c r="AJ245" i="12" s="1"/>
  <c r="AJ216" i="12"/>
  <c r="AJ217" i="12" s="1"/>
  <c r="AK233" i="12"/>
  <c r="AK281" i="12"/>
  <c r="AK30" i="12" s="1"/>
  <c r="AK10" i="6"/>
  <c r="AR34" i="4"/>
  <c r="AR2014" i="4"/>
  <c r="AL265" i="12" l="1"/>
  <c r="AL264" i="12" s="1"/>
  <c r="AL245" i="12" s="1"/>
  <c r="AL216" i="12"/>
  <c r="AL217" i="12" s="1"/>
  <c r="AL301" i="12"/>
  <c r="AL37" i="6"/>
  <c r="AJ60" i="6"/>
  <c r="AJ200" i="6"/>
  <c r="AK301" i="12"/>
  <c r="AK37" i="6"/>
  <c r="AK216" i="12"/>
  <c r="AK217" i="12" s="1"/>
  <c r="AK265" i="12"/>
  <c r="AK264" i="12" s="1"/>
  <c r="AK245" i="12" s="1"/>
  <c r="AL200" i="6" l="1"/>
  <c r="AL60" i="6"/>
  <c r="AK60" i="6"/>
  <c r="AK200" i="6"/>
  <c r="AI56" i="4"/>
  <c r="AI76" i="4" s="1"/>
  <c r="AI1986" i="4"/>
  <c r="AB286" i="12" l="1"/>
  <c r="AB54" i="12" s="1"/>
  <c r="AK56" i="4"/>
  <c r="AI2033" i="4"/>
  <c r="AB15" i="6"/>
  <c r="AL56" i="4" l="1"/>
  <c r="AB292" i="12"/>
  <c r="AB295" i="12" s="1"/>
  <c r="AB63" i="12" s="1"/>
  <c r="AB230" i="12"/>
  <c r="AB231" i="12" s="1"/>
  <c r="AC231" i="12" s="1"/>
  <c r="AD231" i="12" s="1"/>
  <c r="AI77" i="4"/>
  <c r="AI2038" i="4"/>
  <c r="U18" i="5"/>
  <c r="U19" i="5" s="1"/>
  <c r="AB21" i="6"/>
  <c r="AB203" i="6"/>
  <c r="AM56" i="4" l="1"/>
  <c r="AB172" i="12"/>
  <c r="AB173" i="12"/>
  <c r="AB174" i="12"/>
  <c r="AB80" i="12"/>
  <c r="AB117" i="12"/>
  <c r="AB112" i="12"/>
  <c r="AB77" i="12"/>
  <c r="AB122" i="12"/>
  <c r="AB85" i="12"/>
  <c r="AB59" i="12"/>
  <c r="AE231" i="12"/>
  <c r="AB83" i="8"/>
  <c r="AB80" i="8"/>
  <c r="AB81" i="8"/>
  <c r="AB82" i="8"/>
  <c r="AB339" i="12"/>
  <c r="AB434" i="12" s="1"/>
  <c r="U24" i="5"/>
  <c r="AB22" i="6"/>
  <c r="AB148" i="6"/>
  <c r="AB147" i="6"/>
  <c r="BH168" i="6"/>
  <c r="AB132" i="6"/>
  <c r="BD168" i="6"/>
  <c r="AB53" i="6"/>
  <c r="AB32" i="6"/>
  <c r="AB149" i="6"/>
  <c r="BV48" i="15"/>
  <c r="BV49" i="15" s="1"/>
  <c r="AB171" i="6"/>
  <c r="AN56" i="4" l="1"/>
  <c r="AB343" i="12"/>
  <c r="BD171" i="6"/>
  <c r="AB172" i="6"/>
  <c r="BH171" i="6"/>
  <c r="U27" i="5"/>
  <c r="U28" i="5" s="1"/>
  <c r="AB33" i="6"/>
  <c r="BH33" i="6" s="1"/>
  <c r="BH32" i="6"/>
  <c r="BD22" i="6"/>
  <c r="BH22" i="6"/>
  <c r="U58" i="5"/>
  <c r="U25" i="5"/>
  <c r="AF231" i="12"/>
  <c r="AO56" i="4" l="1"/>
  <c r="BH172" i="6"/>
  <c r="BD172" i="6"/>
  <c r="AG231" i="12"/>
  <c r="AP56" i="4" l="1"/>
  <c r="AH231" i="12"/>
  <c r="AQ56" i="4" l="1"/>
  <c r="AI231" i="12"/>
  <c r="AR56" i="4" l="1"/>
  <c r="AJ231" i="12"/>
  <c r="AS56" i="4" l="1"/>
  <c r="AK231" i="12"/>
  <c r="AL231" i="12" s="1"/>
  <c r="AB78" i="8"/>
  <c r="BH93" i="6"/>
  <c r="BH94" i="6"/>
  <c r="R227" i="14"/>
  <c r="BH97" i="6"/>
  <c r="AB102" i="6"/>
  <c r="AB103" i="6"/>
  <c r="BH103" i="6" s="1"/>
  <c r="AB119" i="6"/>
  <c r="AB150" i="6"/>
  <c r="AS2033" i="4" l="1"/>
  <c r="AL15" i="6"/>
  <c r="AL286" i="12"/>
  <c r="AB138" i="6"/>
  <c r="BH102" i="6"/>
  <c r="AB106" i="6"/>
  <c r="AB104" i="6"/>
  <c r="AB79" i="8"/>
  <c r="U49" i="5"/>
  <c r="AB112" i="6"/>
  <c r="U46" i="5"/>
  <c r="AB113" i="6"/>
  <c r="U52" i="5"/>
  <c r="U51" i="5"/>
  <c r="AC105" i="6" l="1"/>
  <c r="BH104" i="6"/>
  <c r="AB118" i="6"/>
  <c r="BH106" i="6"/>
  <c r="U53" i="5"/>
  <c r="AB117" i="6"/>
  <c r="R232" i="14"/>
  <c r="R229" i="14" s="1"/>
  <c r="AB125" i="6"/>
  <c r="AB122" i="6"/>
  <c r="AB121" i="6"/>
  <c r="AB124" i="6"/>
  <c r="AA78" i="8"/>
  <c r="BG94" i="6"/>
  <c r="AA95" i="6"/>
  <c r="BG95" i="6" s="1"/>
  <c r="AB95" i="6"/>
  <c r="BH95" i="6" s="1"/>
  <c r="AA79" i="8"/>
  <c r="AA102" i="6"/>
  <c r="BG102" i="6" s="1"/>
  <c r="AA103" i="6"/>
  <c r="T52" i="5" s="1"/>
  <c r="U54" i="5" s="1"/>
  <c r="AA150" i="6"/>
  <c r="AA138" i="6" l="1"/>
  <c r="AA119" i="6"/>
  <c r="AA112" i="6"/>
  <c r="AA121" i="6" s="1"/>
  <c r="R239" i="14"/>
  <c r="R242" i="14" s="1"/>
  <c r="R237" i="14" s="1"/>
  <c r="AA106" i="6"/>
  <c r="Q227" i="14"/>
  <c r="T46" i="5"/>
  <c r="T49" i="5" s="1"/>
  <c r="T51" i="5"/>
  <c r="T54" i="5"/>
  <c r="AA113" i="6"/>
  <c r="BG103" i="6"/>
  <c r="AB98" i="6"/>
  <c r="BH98" i="6" s="1"/>
  <c r="BG97" i="6"/>
  <c r="AA104" i="6"/>
  <c r="AA98" i="6"/>
  <c r="BG98" i="6" s="1"/>
  <c r="BG93" i="6"/>
  <c r="BF93" i="6" s="1"/>
  <c r="BF94" i="6" s="1"/>
  <c r="AB114" i="6" l="1"/>
  <c r="AA124" i="6"/>
  <c r="BG106" i="6"/>
  <c r="BF106" i="6" s="1"/>
  <c r="AA114" i="6"/>
  <c r="AA118" i="6"/>
  <c r="T53" i="5"/>
  <c r="Q232" i="14"/>
  <c r="Q229" i="14" s="1"/>
  <c r="AA117" i="6"/>
  <c r="AA105" i="6"/>
  <c r="BG105" i="6" s="1"/>
  <c r="BG104" i="6"/>
  <c r="AB105" i="6"/>
  <c r="BH105" i="6" s="1"/>
  <c r="T50" i="5"/>
  <c r="U50" i="5"/>
  <c r="AA122" i="6"/>
  <c r="AA115" i="6"/>
  <c r="AA125" i="6"/>
  <c r="AB115" i="6"/>
  <c r="BF97" i="6"/>
  <c r="BF103" i="6"/>
  <c r="BF95" i="6"/>
  <c r="BF102" i="6"/>
  <c r="BF104" i="6" l="1"/>
  <c r="BF98" i="6"/>
  <c r="Q239" i="14"/>
  <c r="Q242" i="14" s="1"/>
  <c r="Q237" i="14" s="1"/>
  <c r="AC286" i="12" l="1"/>
  <c r="AC54" i="12" s="1"/>
  <c r="AD54" i="12" s="1"/>
  <c r="AE54" i="12" s="1"/>
  <c r="AF54" i="12" s="1"/>
  <c r="AG54" i="12" s="1"/>
  <c r="AH54" i="12" s="1"/>
  <c r="AI54" i="12" s="1"/>
  <c r="AJ54" i="12" s="1"/>
  <c r="AK54" i="12" s="1"/>
  <c r="AL54" i="12" s="1"/>
  <c r="AL35" i="12" s="1"/>
  <c r="AL42" i="6" s="1"/>
  <c r="AC15" i="6"/>
  <c r="V18" i="5" s="1"/>
  <c r="V19" i="5" s="1"/>
  <c r="AJ2033" i="4"/>
  <c r="AL203" i="6" l="1"/>
  <c r="AC42" i="6"/>
  <c r="AC306" i="12"/>
  <c r="AC65" i="6" l="1"/>
  <c r="AC203" i="6"/>
  <c r="BY44" i="6"/>
  <c r="W14" i="15"/>
  <c r="S204" i="14"/>
  <c r="AX14" i="15" l="1"/>
  <c r="BW14" i="15" l="1"/>
  <c r="AD286" i="12" l="1"/>
  <c r="AD35" i="12" s="1"/>
  <c r="AE286" i="12"/>
  <c r="AE35" i="12" s="1"/>
  <c r="AF286" i="12"/>
  <c r="AF35" i="12" s="1"/>
  <c r="AF42" i="6" s="1"/>
  <c r="AG286" i="12"/>
  <c r="AG35" i="12" s="1"/>
  <c r="AH286" i="12"/>
  <c r="AH35" i="12" s="1"/>
  <c r="AI286" i="12"/>
  <c r="AI35" i="12" s="1"/>
  <c r="AJ286" i="12"/>
  <c r="AJ35" i="12" s="1"/>
  <c r="AK286" i="12"/>
  <c r="AK35" i="12" s="1"/>
  <c r="AL306" i="12" s="1"/>
  <c r="AD15" i="6"/>
  <c r="W18" i="5" s="1"/>
  <c r="W19" i="5" s="1"/>
  <c r="AE15" i="6"/>
  <c r="X18" i="5" s="1"/>
  <c r="AF15" i="6"/>
  <c r="Y18" i="5" s="1"/>
  <c r="Y19" i="5" s="1"/>
  <c r="AG15" i="6"/>
  <c r="AH15" i="6"/>
  <c r="AI15" i="6"/>
  <c r="AJ15" i="6"/>
  <c r="AK15" i="6"/>
  <c r="AK2033" i="4"/>
  <c r="AL2033" i="4"/>
  <c r="AM2033" i="4"/>
  <c r="AN2033" i="4"/>
  <c r="AO2033" i="4"/>
  <c r="AP2033" i="4"/>
  <c r="AQ2033" i="4"/>
  <c r="AR2033" i="4"/>
  <c r="Z14" i="15" l="1"/>
  <c r="V204" i="14"/>
  <c r="AI42" i="6"/>
  <c r="AI203" i="6" s="1"/>
  <c r="AH42" i="6"/>
  <c r="AH203" i="6" s="1"/>
  <c r="AD306" i="12"/>
  <c r="AD42" i="6"/>
  <c r="X14" i="15" s="1"/>
  <c r="AK42" i="6"/>
  <c r="AK306" i="12"/>
  <c r="AJ42" i="6"/>
  <c r="AJ306" i="12"/>
  <c r="AE42" i="6"/>
  <c r="Y14" i="15" s="1"/>
  <c r="AG306" i="12"/>
  <c r="AG42" i="6"/>
  <c r="AH306" i="12"/>
  <c r="AF306" i="12"/>
  <c r="AE306" i="12"/>
  <c r="AI306" i="12"/>
  <c r="AF203" i="6"/>
  <c r="X19" i="5"/>
  <c r="BA14" i="15" l="1"/>
  <c r="AL65" i="6"/>
  <c r="AJ65" i="6"/>
  <c r="AJ203" i="6"/>
  <c r="AF65" i="6"/>
  <c r="BZ44" i="6"/>
  <c r="AI65" i="6"/>
  <c r="AD65" i="6"/>
  <c r="AH65" i="6"/>
  <c r="AG65" i="6"/>
  <c r="AK65" i="6"/>
  <c r="AK203" i="6"/>
  <c r="AG203" i="6"/>
  <c r="AE65" i="6"/>
  <c r="U204" i="14"/>
  <c r="CA44" i="6"/>
  <c r="AE203" i="6"/>
  <c r="AD203" i="6"/>
  <c r="T204" i="14"/>
  <c r="AZ14" i="15"/>
  <c r="AY14" i="15"/>
  <c r="BZ14" i="15" l="1"/>
  <c r="BY14" i="15"/>
  <c r="BX14" i="15"/>
  <c r="AJ2034" i="4"/>
  <c r="AC230" i="12"/>
  <c r="AC215" i="12" s="1"/>
  <c r="AC223" i="12" s="1"/>
  <c r="AJ2038" i="4" l="1"/>
  <c r="AJ77" i="4"/>
  <c r="AK59" i="4"/>
  <c r="AC224" i="12"/>
  <c r="AC287" i="12"/>
  <c r="AC55" i="12" s="1"/>
  <c r="AD55" i="12" s="1"/>
  <c r="AE55" i="12" s="1"/>
  <c r="AF55" i="12" s="1"/>
  <c r="AG55" i="12" s="1"/>
  <c r="AH55" i="12" s="1"/>
  <c r="AI55" i="12" s="1"/>
  <c r="AJ55" i="12" s="1"/>
  <c r="AK55" i="12" s="1"/>
  <c r="AL55" i="12" s="1"/>
  <c r="AC16" i="6"/>
  <c r="AK76" i="4" l="1"/>
  <c r="AK77" i="4" s="1"/>
  <c r="AD16" i="6"/>
  <c r="W20" i="5" s="1"/>
  <c r="AD287" i="12"/>
  <c r="AD292" i="12" s="1"/>
  <c r="AD295" i="12" s="1"/>
  <c r="AL59" i="4"/>
  <c r="AK2034" i="4"/>
  <c r="AC292" i="12"/>
  <c r="V20" i="5"/>
  <c r="V21" i="5" s="1"/>
  <c r="AC21" i="6"/>
  <c r="AM59" i="4" l="1"/>
  <c r="AM76" i="4" s="1"/>
  <c r="AL76" i="4"/>
  <c r="AE230" i="12" s="1"/>
  <c r="AE215" i="12" s="1"/>
  <c r="AE223" i="12" s="1"/>
  <c r="AC85" i="12"/>
  <c r="AC80" i="12"/>
  <c r="AE80" i="12" s="1"/>
  <c r="AF80" i="12" s="1"/>
  <c r="AG80" i="12" s="1"/>
  <c r="AH80" i="12" s="1"/>
  <c r="AI80" i="12" s="1"/>
  <c r="AC77" i="12"/>
  <c r="AC122" i="12"/>
  <c r="AC117" i="12"/>
  <c r="AE117" i="12" s="1"/>
  <c r="AF117" i="12" s="1"/>
  <c r="AG117" i="12" s="1"/>
  <c r="AH117" i="12" s="1"/>
  <c r="AI117" i="12" s="1"/>
  <c r="AJ117" i="12" s="1"/>
  <c r="AK117" i="12" s="1"/>
  <c r="AC112" i="12"/>
  <c r="AC295" i="12"/>
  <c r="AC63" i="12" s="1"/>
  <c r="AC59" i="12"/>
  <c r="AD21" i="6"/>
  <c r="AD83" i="12" s="1"/>
  <c r="AD76" i="6" s="1"/>
  <c r="AE287" i="12"/>
  <c r="AE292" i="12" s="1"/>
  <c r="AE295" i="12" s="1"/>
  <c r="AL2034" i="4"/>
  <c r="AD36" i="12"/>
  <c r="AD307" i="12" s="1"/>
  <c r="AE16" i="6"/>
  <c r="AE21" i="6" s="1"/>
  <c r="AK2038" i="4"/>
  <c r="AD230" i="12"/>
  <c r="AD215" i="12" s="1"/>
  <c r="AD223" i="12" s="1"/>
  <c r="AD224" i="12" s="1"/>
  <c r="W21" i="5"/>
  <c r="AF287" i="12"/>
  <c r="AF16" i="6"/>
  <c r="AN59" i="4"/>
  <c r="AN76" i="4" s="1"/>
  <c r="AM2034" i="4"/>
  <c r="AC339" i="12"/>
  <c r="BI168" i="6"/>
  <c r="AC22" i="6"/>
  <c r="BI22" i="6" s="1"/>
  <c r="V24" i="5"/>
  <c r="BW48" i="15"/>
  <c r="AC171" i="6"/>
  <c r="AC307" i="12"/>
  <c r="AC43" i="6"/>
  <c r="AC66" i="6" s="1"/>
  <c r="AD40" i="12" l="1"/>
  <c r="AD59" i="12" s="1"/>
  <c r="AD79" i="12"/>
  <c r="AD76" i="12" s="1"/>
  <c r="AD77" i="12" s="1"/>
  <c r="BX48" i="15"/>
  <c r="AL77" i="4"/>
  <c r="AF21" i="6"/>
  <c r="AF120" i="12" s="1"/>
  <c r="Y20" i="5"/>
  <c r="AD22" i="6"/>
  <c r="BJ22" i="6" s="1"/>
  <c r="W24" i="5"/>
  <c r="W25" i="5" s="1"/>
  <c r="AD116" i="12"/>
  <c r="AD105" i="12" s="1"/>
  <c r="BJ168" i="6"/>
  <c r="AD120" i="12"/>
  <c r="AD106" i="12" s="1"/>
  <c r="AD171" i="6"/>
  <c r="BJ171" i="6" s="1"/>
  <c r="AE36" i="12"/>
  <c r="AE307" i="12" s="1"/>
  <c r="X20" i="5"/>
  <c r="X21" i="5" s="1"/>
  <c r="AD43" i="6"/>
  <c r="X15" i="15" s="1"/>
  <c r="AL2038" i="4"/>
  <c r="AD126" i="12"/>
  <c r="AD128" i="12" s="1"/>
  <c r="AD72" i="12"/>
  <c r="AE120" i="12"/>
  <c r="AE83" i="12"/>
  <c r="AE76" i="6" s="1"/>
  <c r="AE79" i="12"/>
  <c r="AE116" i="12"/>
  <c r="X24" i="5"/>
  <c r="AE171" i="6"/>
  <c r="BK168" i="6"/>
  <c r="AE22" i="6"/>
  <c r="BK22" i="6" s="1"/>
  <c r="BY48" i="15"/>
  <c r="AC46" i="6"/>
  <c r="AC68" i="6" s="1"/>
  <c r="AC204" i="6"/>
  <c r="S206" i="14"/>
  <c r="W15" i="15"/>
  <c r="BY45" i="6"/>
  <c r="V25" i="5"/>
  <c r="AE224" i="12"/>
  <c r="AF230" i="12"/>
  <c r="AF215" i="12" s="1"/>
  <c r="AF223" i="12" s="1"/>
  <c r="AM77" i="4"/>
  <c r="AM2038" i="4"/>
  <c r="AC309" i="12"/>
  <c r="AF292" i="12"/>
  <c r="AF295" i="12" s="1"/>
  <c r="AF36" i="12"/>
  <c r="AG287" i="12"/>
  <c r="AG16" i="6"/>
  <c r="AG21" i="6" s="1"/>
  <c r="AO59" i="4"/>
  <c r="AO76" i="4" s="1"/>
  <c r="AN2034" i="4"/>
  <c r="AC343" i="12"/>
  <c r="BI171" i="6"/>
  <c r="AC172" i="6"/>
  <c r="BI172" i="6" s="1"/>
  <c r="AT45" i="5"/>
  <c r="AD309" i="12" l="1"/>
  <c r="AD44" i="12"/>
  <c r="AD313" i="12" s="1"/>
  <c r="AE43" i="6"/>
  <c r="AD24" i="7"/>
  <c r="AU44" i="5" s="1"/>
  <c r="AD71" i="12"/>
  <c r="AD23" i="7" s="1"/>
  <c r="AF171" i="6"/>
  <c r="AF172" i="6" s="1"/>
  <c r="BL172" i="6" s="1"/>
  <c r="AF116" i="12"/>
  <c r="AF25" i="7" s="1"/>
  <c r="AW45" i="5" s="1"/>
  <c r="AF22" i="6"/>
  <c r="BL22" i="6" s="1"/>
  <c r="W67" i="5"/>
  <c r="W68" i="5" s="1"/>
  <c r="BL168" i="6"/>
  <c r="AF79" i="12"/>
  <c r="AE40" i="12"/>
  <c r="AE59" i="12" s="1"/>
  <c r="T206" i="14"/>
  <c r="T207" i="14" s="1"/>
  <c r="AD172" i="6"/>
  <c r="BJ172" i="6" s="1"/>
  <c r="Y24" i="5"/>
  <c r="Y67" i="5" s="1"/>
  <c r="BZ48" i="15"/>
  <c r="AD204" i="6"/>
  <c r="AD66" i="6"/>
  <c r="AF83" i="12"/>
  <c r="AF76" i="6" s="1"/>
  <c r="Y21" i="5"/>
  <c r="AD129" i="12"/>
  <c r="AD130" i="12" s="1"/>
  <c r="AD114" i="12"/>
  <c r="AD111" i="12" s="1"/>
  <c r="AD112" i="12" s="1"/>
  <c r="AD77" i="6"/>
  <c r="AD78" i="6" s="1"/>
  <c r="AD25" i="7"/>
  <c r="AU45" i="5" s="1"/>
  <c r="AD46" i="6"/>
  <c r="AE114" i="12"/>
  <c r="AE111" i="12" s="1"/>
  <c r="AE112" i="12" s="1"/>
  <c r="AE105" i="12"/>
  <c r="AE71" i="12"/>
  <c r="AE23" i="7" s="1"/>
  <c r="AE76" i="12"/>
  <c r="AE77" i="12" s="1"/>
  <c r="AE126" i="12"/>
  <c r="AE128" i="12" s="1"/>
  <c r="AE72" i="12"/>
  <c r="AG120" i="12"/>
  <c r="AG83" i="12"/>
  <c r="AG76" i="6" s="1"/>
  <c r="AG79" i="12"/>
  <c r="AG116" i="12"/>
  <c r="AE106" i="12"/>
  <c r="AE129" i="12"/>
  <c r="AF106" i="12"/>
  <c r="AF129" i="12"/>
  <c r="U206" i="14"/>
  <c r="AF224" i="12"/>
  <c r="AE172" i="6"/>
  <c r="BK172" i="6" s="1"/>
  <c r="BK171" i="6"/>
  <c r="AE77" i="6"/>
  <c r="AG292" i="12"/>
  <c r="AG295" i="12" s="1"/>
  <c r="AG36" i="12"/>
  <c r="AE25" i="7"/>
  <c r="AV45" i="5" s="1"/>
  <c r="AD63" i="12"/>
  <c r="AC313" i="12"/>
  <c r="AF77" i="6"/>
  <c r="AX15" i="15"/>
  <c r="W18" i="15"/>
  <c r="X25" i="5"/>
  <c r="X67" i="5"/>
  <c r="BI77" i="6"/>
  <c r="BJ76" i="6"/>
  <c r="BI76" i="6"/>
  <c r="AE24" i="7"/>
  <c r="AG230" i="12"/>
  <c r="AG215" i="12" s="1"/>
  <c r="AG223" i="12" s="1"/>
  <c r="AN2038" i="4"/>
  <c r="AN77" i="4"/>
  <c r="S207" i="14"/>
  <c r="AH287" i="12"/>
  <c r="AO2034" i="4"/>
  <c r="AH16" i="6"/>
  <c r="AH21" i="6" s="1"/>
  <c r="AP59" i="4"/>
  <c r="AP76" i="4" s="1"/>
  <c r="AF307" i="12"/>
  <c r="AF40" i="12"/>
  <c r="AF43" i="6"/>
  <c r="AT44" i="5"/>
  <c r="AY15" i="15"/>
  <c r="X18" i="15"/>
  <c r="AG171" i="6"/>
  <c r="BM168" i="6"/>
  <c r="AG22" i="6"/>
  <c r="BM22" i="6" s="1"/>
  <c r="AC275" i="12"/>
  <c r="V30" i="5"/>
  <c r="AC48" i="6"/>
  <c r="AC70" i="6" s="1"/>
  <c r="AC148" i="6"/>
  <c r="AE204" i="6" l="1"/>
  <c r="AE46" i="6"/>
  <c r="V34" i="5"/>
  <c r="AD68" i="6"/>
  <c r="AE66" i="6"/>
  <c r="Y15" i="15"/>
  <c r="W70" i="5"/>
  <c r="W72" i="5" s="1"/>
  <c r="AF114" i="12"/>
  <c r="AF111" i="12" s="1"/>
  <c r="AF112" i="12" s="1"/>
  <c r="AF105" i="12"/>
  <c r="Y25" i="5"/>
  <c r="BL171" i="6"/>
  <c r="AF76" i="12"/>
  <c r="AF77" i="12" s="1"/>
  <c r="AF71" i="12"/>
  <c r="AF23" i="7" s="1"/>
  <c r="AE309" i="12"/>
  <c r="AE44" i="12"/>
  <c r="AE313" i="12" s="1"/>
  <c r="AF126" i="12"/>
  <c r="AF128" i="12" s="1"/>
  <c r="AF130" i="12" s="1"/>
  <c r="BJ77" i="6"/>
  <c r="W30" i="5"/>
  <c r="AD148" i="6"/>
  <c r="AF24" i="7"/>
  <c r="AW44" i="5" s="1"/>
  <c r="AD48" i="6"/>
  <c r="AD51" i="6" s="1"/>
  <c r="AF72" i="12"/>
  <c r="Z15" i="15"/>
  <c r="V206" i="14"/>
  <c r="V207" i="14" s="1"/>
  <c r="AD27" i="7"/>
  <c r="Y68" i="5"/>
  <c r="Y70" i="5"/>
  <c r="Y72" i="5" s="1"/>
  <c r="AE130" i="12"/>
  <c r="AH120" i="12"/>
  <c r="AH79" i="12"/>
  <c r="AH83" i="12"/>
  <c r="AH76" i="6" s="1"/>
  <c r="AH116" i="12"/>
  <c r="AG105" i="12"/>
  <c r="AG114" i="12"/>
  <c r="AG111" i="12" s="1"/>
  <c r="AG112" i="12" s="1"/>
  <c r="AD108" i="12"/>
  <c r="AD121" i="12" s="1"/>
  <c r="AD104" i="12"/>
  <c r="AG71" i="12"/>
  <c r="AG23" i="7" s="1"/>
  <c r="AG76" i="12"/>
  <c r="AG77" i="12" s="1"/>
  <c r="AD70" i="12"/>
  <c r="AD74" i="12" s="1"/>
  <c r="AD84" i="12" s="1"/>
  <c r="AG126" i="12"/>
  <c r="AG128" i="12" s="1"/>
  <c r="AG72" i="12"/>
  <c r="AG106" i="12"/>
  <c r="AG129" i="12"/>
  <c r="W37" i="5"/>
  <c r="BJ78" i="6"/>
  <c r="T212" i="14"/>
  <c r="T210" i="14" s="1"/>
  <c r="T215" i="14" s="1"/>
  <c r="V32" i="5"/>
  <c r="V33" i="5" s="1"/>
  <c r="AC51" i="6"/>
  <c r="AH292" i="12"/>
  <c r="AH295" i="12" s="1"/>
  <c r="AH36" i="12"/>
  <c r="BL76" i="6"/>
  <c r="AF78" i="6"/>
  <c r="V212" i="14" s="1"/>
  <c r="W19" i="15"/>
  <c r="BW42" i="15"/>
  <c r="U207" i="14"/>
  <c r="AG172" i="6"/>
  <c r="BM172" i="6" s="1"/>
  <c r="BM171" i="6"/>
  <c r="AF204" i="6"/>
  <c r="AF66" i="6"/>
  <c r="AF46" i="6"/>
  <c r="Y30" i="5" s="1"/>
  <c r="Y34" i="5" s="1"/>
  <c r="BW15" i="15"/>
  <c r="BW18" i="15" s="1"/>
  <c r="AX18" i="15"/>
  <c r="AF44" i="12"/>
  <c r="AF59" i="12"/>
  <c r="AF309" i="12"/>
  <c r="X70" i="5"/>
  <c r="X72" i="5" s="1"/>
  <c r="X68" i="5"/>
  <c r="Y18" i="15"/>
  <c r="X19" i="15"/>
  <c r="BX42" i="15"/>
  <c r="AE27" i="7"/>
  <c r="AV44" i="5"/>
  <c r="BL77" i="6"/>
  <c r="X30" i="5"/>
  <c r="X34" i="5" s="1"/>
  <c r="AE148" i="6"/>
  <c r="AE68" i="6"/>
  <c r="AE48" i="6"/>
  <c r="V31" i="5"/>
  <c r="V58" i="5"/>
  <c r="AG307" i="12"/>
  <c r="AG40" i="12"/>
  <c r="AG43" i="6"/>
  <c r="AY18" i="15"/>
  <c r="AB18" i="15" s="1"/>
  <c r="BX15" i="15"/>
  <c r="BX18" i="15" s="1"/>
  <c r="AI287" i="12"/>
  <c r="AP2034" i="4"/>
  <c r="AI16" i="6"/>
  <c r="AI21" i="6" s="1"/>
  <c r="AQ59" i="4"/>
  <c r="AQ76" i="4" s="1"/>
  <c r="AG24" i="7"/>
  <c r="AH230" i="12"/>
  <c r="AH215" i="12" s="1"/>
  <c r="AH223" i="12" s="1"/>
  <c r="AO2038" i="4"/>
  <c r="AO77" i="4"/>
  <c r="AG77" i="6"/>
  <c r="AH22" i="6"/>
  <c r="BN22" i="6" s="1"/>
  <c r="AH171" i="6"/>
  <c r="BN168" i="6"/>
  <c r="BK77" i="6"/>
  <c r="AC193" i="12"/>
  <c r="AC28" i="6"/>
  <c r="AE78" i="6"/>
  <c r="BK76" i="6"/>
  <c r="AD193" i="12"/>
  <c r="AD28" i="6"/>
  <c r="AG25" i="7"/>
  <c r="AG224" i="12"/>
  <c r="V37" i="5"/>
  <c r="V38" i="5" s="1"/>
  <c r="BI78" i="6"/>
  <c r="S212" i="14"/>
  <c r="T219" i="14"/>
  <c r="T220" i="14"/>
  <c r="W75" i="5" l="1"/>
  <c r="W76" i="5" s="1"/>
  <c r="W34" i="5"/>
  <c r="AC65" i="7"/>
  <c r="AC66" i="7" s="1"/>
  <c r="AC73" i="6"/>
  <c r="AC56" i="6"/>
  <c r="AC80" i="6" s="1"/>
  <c r="AD70" i="6"/>
  <c r="W32" i="5"/>
  <c r="W33" i="5" s="1"/>
  <c r="AE63" i="12"/>
  <c r="W58" i="5"/>
  <c r="W31" i="5"/>
  <c r="AD33" i="7"/>
  <c r="W39" i="5"/>
  <c r="AF27" i="7"/>
  <c r="V220" i="14"/>
  <c r="V210" i="14"/>
  <c r="V215" i="14" s="1"/>
  <c r="V219" i="14"/>
  <c r="V209" i="14"/>
  <c r="BA15" i="15"/>
  <c r="Z18" i="15"/>
  <c r="Y31" i="5"/>
  <c r="Y75" i="5"/>
  <c r="Y58" i="5"/>
  <c r="BL78" i="6"/>
  <c r="Y37" i="5"/>
  <c r="AI83" i="12"/>
  <c r="AI76" i="6" s="1"/>
  <c r="AI120" i="12"/>
  <c r="AI79" i="12"/>
  <c r="AI116" i="12"/>
  <c r="AE70" i="12"/>
  <c r="AE74" i="12" s="1"/>
  <c r="AE84" i="12" s="1"/>
  <c r="AH105" i="12"/>
  <c r="AH114" i="12"/>
  <c r="AH111" i="12" s="1"/>
  <c r="AH112" i="12" s="1"/>
  <c r="AH72" i="12"/>
  <c r="AH126" i="12"/>
  <c r="AH128" i="12" s="1"/>
  <c r="AH76" i="12"/>
  <c r="AH77" i="12" s="1"/>
  <c r="AH71" i="12"/>
  <c r="AH23" i="7" s="1"/>
  <c r="AH106" i="12"/>
  <c r="AH129" i="12"/>
  <c r="AG130" i="12"/>
  <c r="AE104" i="12"/>
  <c r="AE108" i="12"/>
  <c r="AE121" i="12" s="1"/>
  <c r="T209" i="14"/>
  <c r="T214" i="14" s="1"/>
  <c r="V39" i="5"/>
  <c r="V40" i="5" s="1"/>
  <c r="BJ28" i="6"/>
  <c r="AY19" i="15"/>
  <c r="AY27" i="15"/>
  <c r="AD22" i="8"/>
  <c r="U220" i="14"/>
  <c r="U219" i="14"/>
  <c r="AH172" i="6"/>
  <c r="BN172" i="6" s="1"/>
  <c r="BN171" i="6"/>
  <c r="W38" i="5"/>
  <c r="AG27" i="7"/>
  <c r="AJ287" i="12"/>
  <c r="AR59" i="4"/>
  <c r="AJ16" i="6"/>
  <c r="AJ21" i="6" s="1"/>
  <c r="AQ2034" i="4"/>
  <c r="AT47" i="5"/>
  <c r="AT46" i="5" s="1"/>
  <c r="AG204" i="6"/>
  <c r="AG66" i="6"/>
  <c r="AG46" i="6"/>
  <c r="AC90" i="8"/>
  <c r="V35" i="5"/>
  <c r="AC147" i="6"/>
  <c r="AC53" i="6"/>
  <c r="AC52" i="6"/>
  <c r="BI52" i="6" s="1"/>
  <c r="AC32" i="6"/>
  <c r="AH224" i="12"/>
  <c r="AI230" i="12"/>
  <c r="AI215" i="12" s="1"/>
  <c r="AI223" i="12" s="1"/>
  <c r="AP77" i="4"/>
  <c r="AP2038" i="4"/>
  <c r="AG44" i="12"/>
  <c r="AG59" i="12"/>
  <c r="AG309" i="12"/>
  <c r="BY15" i="15"/>
  <c r="BY18" i="15" s="1"/>
  <c r="AZ18" i="15"/>
  <c r="AE193" i="12"/>
  <c r="AE28" i="6"/>
  <c r="AX27" i="15"/>
  <c r="AX19" i="15"/>
  <c r="AH24" i="7"/>
  <c r="AF193" i="12"/>
  <c r="AF28" i="6"/>
  <c r="BL28" i="6" s="1"/>
  <c r="S209" i="14"/>
  <c r="S214" i="14" s="1"/>
  <c r="X31" i="5"/>
  <c r="X75" i="5"/>
  <c r="X58" i="5"/>
  <c r="X37" i="5"/>
  <c r="X38" i="5" s="1"/>
  <c r="BK78" i="6"/>
  <c r="U212" i="14"/>
  <c r="U209" i="14" s="1"/>
  <c r="U214" i="14" s="1"/>
  <c r="AI22" i="6"/>
  <c r="AI171" i="6"/>
  <c r="AI172" i="6" s="1"/>
  <c r="Y19" i="15"/>
  <c r="BY42" i="15"/>
  <c r="BW27" i="15"/>
  <c r="BW19" i="15"/>
  <c r="BM77" i="6"/>
  <c r="AH307" i="12"/>
  <c r="AH40" i="12"/>
  <c r="AH43" i="6"/>
  <c r="BI28" i="6"/>
  <c r="W78" i="5"/>
  <c r="W80" i="5" s="1"/>
  <c r="AI36" i="12"/>
  <c r="AI292" i="12"/>
  <c r="AI295" i="12" s="1"/>
  <c r="X32" i="5"/>
  <c r="AE51" i="6"/>
  <c r="AE70" i="6"/>
  <c r="BM76" i="6"/>
  <c r="AG78" i="6"/>
  <c r="BM78" i="6" s="1"/>
  <c r="AH77" i="6"/>
  <c r="S210" i="14"/>
  <c r="S215" i="14" s="1"/>
  <c r="T221" i="14"/>
  <c r="AD90" i="8"/>
  <c r="AD65" i="7"/>
  <c r="AD66" i="7" s="1"/>
  <c r="AD13" i="7"/>
  <c r="AD52" i="6"/>
  <c r="BJ52" i="6" s="1"/>
  <c r="AD56" i="6"/>
  <c r="AD73" i="6"/>
  <c r="AD147" i="6"/>
  <c r="AD53" i="6"/>
  <c r="AD32" i="6"/>
  <c r="AH25" i="7"/>
  <c r="BX19" i="15"/>
  <c r="BX27" i="15"/>
  <c r="AE33" i="7"/>
  <c r="AF63" i="12"/>
  <c r="AF313" i="12"/>
  <c r="AC84" i="8"/>
  <c r="AT13" i="5"/>
  <c r="AC85" i="8"/>
  <c r="AF48" i="6"/>
  <c r="Y32" i="5" s="1"/>
  <c r="AF148" i="6"/>
  <c r="AF68" i="6"/>
  <c r="AS59" i="4" l="1"/>
  <c r="AS76" i="4" s="1"/>
  <c r="AR76" i="4"/>
  <c r="AC86" i="6"/>
  <c r="AC88" i="6" s="1"/>
  <c r="AC91" i="6" s="1"/>
  <c r="AC81" i="6"/>
  <c r="X33" i="5"/>
  <c r="AD34" i="7"/>
  <c r="AF33" i="7"/>
  <c r="AW47" i="5" s="1"/>
  <c r="AW46" i="5" s="1"/>
  <c r="AU47" i="5"/>
  <c r="AU46" i="5" s="1"/>
  <c r="V221" i="14"/>
  <c r="Z19" i="15"/>
  <c r="BZ42" i="15"/>
  <c r="BZ15" i="15"/>
  <c r="BZ18" i="15" s="1"/>
  <c r="BA18" i="15"/>
  <c r="V211" i="14"/>
  <c r="V216" i="14" s="1"/>
  <c r="V214" i="14"/>
  <c r="Y33" i="5"/>
  <c r="AL287" i="12"/>
  <c r="Y76" i="5"/>
  <c r="Y78" i="5"/>
  <c r="Y80" i="5" s="1"/>
  <c r="Y38" i="5"/>
  <c r="Y39" i="5"/>
  <c r="T211" i="14"/>
  <c r="T216" i="14" s="1"/>
  <c r="T217" i="14" s="1"/>
  <c r="AJ83" i="12"/>
  <c r="AJ76" i="6" s="1"/>
  <c r="AJ120" i="12"/>
  <c r="AJ79" i="12"/>
  <c r="AJ116" i="12"/>
  <c r="AF70" i="12"/>
  <c r="AF74" i="12" s="1"/>
  <c r="AF84" i="12" s="1"/>
  <c r="AI105" i="12"/>
  <c r="AI114" i="12"/>
  <c r="AI111" i="12" s="1"/>
  <c r="AI112" i="12" s="1"/>
  <c r="AF104" i="12"/>
  <c r="AF108" i="12"/>
  <c r="AF121" i="12" s="1"/>
  <c r="AI71" i="12"/>
  <c r="AI23" i="7" s="1"/>
  <c r="AI76" i="12"/>
  <c r="AI77" i="12" s="1"/>
  <c r="AH130" i="12"/>
  <c r="AI106" i="12"/>
  <c r="AI129" i="12"/>
  <c r="AI72" i="12"/>
  <c r="AI126" i="12"/>
  <c r="AI128" i="12" s="1"/>
  <c r="W35" i="5"/>
  <c r="X39" i="5"/>
  <c r="X40" i="5" s="1"/>
  <c r="W40" i="5"/>
  <c r="AH27" i="7"/>
  <c r="AH33" i="7" s="1"/>
  <c r="U221" i="14"/>
  <c r="BY19" i="15"/>
  <c r="BY27" i="15"/>
  <c r="AG33" i="7"/>
  <c r="AG193" i="12"/>
  <c r="AG28" i="6"/>
  <c r="BM28" i="6" s="1"/>
  <c r="AG63" i="12"/>
  <c r="AG313" i="12"/>
  <c r="S211" i="14"/>
  <c r="S216" i="14" s="1"/>
  <c r="AI77" i="6"/>
  <c r="X76" i="5"/>
  <c r="X78" i="5"/>
  <c r="X80" i="5" s="1"/>
  <c r="U210" i="14"/>
  <c r="U215" i="14" s="1"/>
  <c r="BN77" i="6"/>
  <c r="V27" i="5"/>
  <c r="V28" i="5" s="1"/>
  <c r="BI32" i="6"/>
  <c r="AC33" i="6"/>
  <c r="BI33" i="6" s="1"/>
  <c r="AT37" i="5"/>
  <c r="AG48" i="6"/>
  <c r="AG148" i="6"/>
  <c r="AG68" i="6"/>
  <c r="AJ22" i="6"/>
  <c r="AJ171" i="6"/>
  <c r="AJ172" i="6" s="1"/>
  <c r="AE34" i="7"/>
  <c r="AV47" i="5"/>
  <c r="AV46" i="5" s="1"/>
  <c r="AD80" i="6"/>
  <c r="BK28" i="6"/>
  <c r="AJ230" i="12"/>
  <c r="AJ215" i="12" s="1"/>
  <c r="AJ223" i="12" s="1"/>
  <c r="AQ77" i="4"/>
  <c r="AQ2038" i="4"/>
  <c r="AD84" i="8"/>
  <c r="AU13" i="5"/>
  <c r="AD85" i="8"/>
  <c r="AI25" i="7"/>
  <c r="AH204" i="6"/>
  <c r="AH66" i="6"/>
  <c r="AH46" i="6"/>
  <c r="AI24" i="7"/>
  <c r="AI224" i="12"/>
  <c r="AK287" i="12"/>
  <c r="AK16" i="6"/>
  <c r="AK21" i="6" s="1"/>
  <c r="AR2034" i="4"/>
  <c r="BN76" i="6"/>
  <c r="AH78" i="6"/>
  <c r="BN78" i="6" s="1"/>
  <c r="AE22" i="8"/>
  <c r="AF51" i="6"/>
  <c r="AF70" i="6"/>
  <c r="AE90" i="8"/>
  <c r="AE65" i="7"/>
  <c r="AE66" i="7" s="1"/>
  <c r="AE13" i="7"/>
  <c r="X35" i="5"/>
  <c r="AE53" i="6"/>
  <c r="AE52" i="6"/>
  <c r="BK52" i="6" s="1"/>
  <c r="AE56" i="6"/>
  <c r="AE73" i="6"/>
  <c r="AE147" i="6"/>
  <c r="AE32" i="6"/>
  <c r="W27" i="5"/>
  <c r="AD33" i="6"/>
  <c r="BJ33" i="6" s="1"/>
  <c r="BJ32" i="6"/>
  <c r="AU37" i="5"/>
  <c r="AI307" i="12"/>
  <c r="AI40" i="12"/>
  <c r="AI43" i="6"/>
  <c r="AH59" i="12"/>
  <c r="AH44" i="12"/>
  <c r="AH309" i="12"/>
  <c r="AZ27" i="15"/>
  <c r="AZ19" i="15"/>
  <c r="AJ36" i="12"/>
  <c r="AJ292" i="12"/>
  <c r="AJ295" i="12" s="1"/>
  <c r="AS2034" i="4" l="1"/>
  <c r="AL16" i="6"/>
  <c r="AL21" i="6" s="1"/>
  <c r="AL16" i="12" s="1"/>
  <c r="AF34" i="7"/>
  <c r="BZ27" i="15"/>
  <c r="BZ19" i="15"/>
  <c r="V217" i="14"/>
  <c r="BA27" i="15"/>
  <c r="BA19" i="15"/>
  <c r="Y35" i="5"/>
  <c r="Y40" i="5"/>
  <c r="AL230" i="12"/>
  <c r="AL215" i="12" s="1"/>
  <c r="AL223" i="12" s="1"/>
  <c r="AS2038" i="4"/>
  <c r="AS77" i="4"/>
  <c r="AL36" i="12"/>
  <c r="AL292" i="12"/>
  <c r="AL295" i="12" s="1"/>
  <c r="AL171" i="6"/>
  <c r="AL79" i="12"/>
  <c r="AL83" i="12"/>
  <c r="AG70" i="12"/>
  <c r="AG74" i="12" s="1"/>
  <c r="AG84" i="12" s="1"/>
  <c r="AJ105" i="12"/>
  <c r="AJ114" i="12"/>
  <c r="AJ111" i="12" s="1"/>
  <c r="AJ112" i="12" s="1"/>
  <c r="AI130" i="12"/>
  <c r="AJ76" i="12"/>
  <c r="AJ77" i="12" s="1"/>
  <c r="AJ71" i="12"/>
  <c r="AJ23" i="7" s="1"/>
  <c r="AG108" i="12"/>
  <c r="AG104" i="12"/>
  <c r="AJ106" i="12"/>
  <c r="AJ129" i="12"/>
  <c r="AK83" i="12"/>
  <c r="AK76" i="6" s="1"/>
  <c r="AK120" i="12"/>
  <c r="AK79" i="12"/>
  <c r="AK116" i="12"/>
  <c r="AJ72" i="12"/>
  <c r="AJ126" i="12"/>
  <c r="AJ128" i="12" s="1"/>
  <c r="AI27" i="7"/>
  <c r="W28" i="5"/>
  <c r="AH48" i="6"/>
  <c r="AH148" i="6"/>
  <c r="AH68" i="6"/>
  <c r="AJ24" i="7"/>
  <c r="AJ224" i="12"/>
  <c r="AG34" i="7"/>
  <c r="AH193" i="12"/>
  <c r="AH28" i="6"/>
  <c r="BN28" i="6" s="1"/>
  <c r="AH34" i="7"/>
  <c r="AI78" i="6"/>
  <c r="U211" i="14"/>
  <c r="U216" i="14" s="1"/>
  <c r="AV37" i="5"/>
  <c r="X27" i="5"/>
  <c r="X28" i="5" s="1"/>
  <c r="AE33" i="6"/>
  <c r="BK33" i="6" s="1"/>
  <c r="BK32" i="6"/>
  <c r="AI46" i="6"/>
  <c r="AI204" i="6"/>
  <c r="AI66" i="6"/>
  <c r="AF90" i="8"/>
  <c r="AF13" i="7"/>
  <c r="AF65" i="7"/>
  <c r="AF66" i="7" s="1"/>
  <c r="AF147" i="6"/>
  <c r="AF53" i="6"/>
  <c r="AF52" i="6"/>
  <c r="BL52" i="6" s="1"/>
  <c r="AF56" i="6"/>
  <c r="AF73" i="6"/>
  <c r="AF32" i="6"/>
  <c r="Y27" i="5" s="1"/>
  <c r="AD86" i="6"/>
  <c r="AD149" i="6"/>
  <c r="AD81" i="6"/>
  <c r="BJ81" i="6" s="1"/>
  <c r="BJ80" i="6"/>
  <c r="AD144" i="6"/>
  <c r="BX45" i="15"/>
  <c r="BI81" i="6"/>
  <c r="BI80" i="6"/>
  <c r="BW45" i="15"/>
  <c r="AC149" i="6"/>
  <c r="AI59" i="12"/>
  <c r="AI44" i="12"/>
  <c r="AI309" i="12"/>
  <c r="AK230" i="12"/>
  <c r="AK215" i="12" s="1"/>
  <c r="AK223" i="12" s="1"/>
  <c r="AR77" i="4"/>
  <c r="AR2038" i="4"/>
  <c r="AJ77" i="6"/>
  <c r="AH63" i="12"/>
  <c r="AH313" i="12"/>
  <c r="AJ40" i="12"/>
  <c r="AJ307" i="12"/>
  <c r="AJ43" i="6"/>
  <c r="AE80" i="6"/>
  <c r="AF22" i="8"/>
  <c r="AW13" i="5" s="1"/>
  <c r="AK22" i="6"/>
  <c r="AK171" i="6"/>
  <c r="AK172" i="6" s="1"/>
  <c r="AJ25" i="7"/>
  <c r="AG51" i="6"/>
  <c r="AG70" i="6"/>
  <c r="AE84" i="8"/>
  <c r="AV13" i="5"/>
  <c r="AE85" i="8"/>
  <c r="AK36" i="12"/>
  <c r="AK292" i="12"/>
  <c r="AK295" i="12" s="1"/>
  <c r="S217" i="14"/>
  <c r="AL22" i="6" l="1"/>
  <c r="AL116" i="12"/>
  <c r="AL120" i="12"/>
  <c r="AL77" i="6" s="1"/>
  <c r="AI33" i="7"/>
  <c r="Y28" i="5"/>
  <c r="AL24" i="7"/>
  <c r="AL71" i="12"/>
  <c r="AL23" i="7" s="1"/>
  <c r="AL76" i="12"/>
  <c r="AL77" i="12" s="1"/>
  <c r="AL129" i="12"/>
  <c r="AL106" i="12"/>
  <c r="AL172" i="6"/>
  <c r="AL26" i="6"/>
  <c r="AL29" i="6" s="1"/>
  <c r="AL24" i="12"/>
  <c r="AW37" i="5"/>
  <c r="AL224" i="12"/>
  <c r="AL72" i="12"/>
  <c r="AL126" i="12"/>
  <c r="AL128" i="12" s="1"/>
  <c r="AL76" i="6"/>
  <c r="AL114" i="12"/>
  <c r="AL111" i="12" s="1"/>
  <c r="AL112" i="12" s="1"/>
  <c r="AL25" i="7"/>
  <c r="AL105" i="12"/>
  <c r="AL307" i="12"/>
  <c r="AL43" i="6"/>
  <c r="AL40" i="12"/>
  <c r="AK76" i="12"/>
  <c r="AK77" i="12" s="1"/>
  <c r="AK71" i="12"/>
  <c r="AK23" i="7" s="1"/>
  <c r="AH108" i="12"/>
  <c r="AH121" i="12" s="1"/>
  <c r="AH104" i="12"/>
  <c r="AK129" i="12"/>
  <c r="AK106" i="12"/>
  <c r="AK72" i="12"/>
  <c r="AK126" i="12"/>
  <c r="AK128" i="12" s="1"/>
  <c r="AJ130" i="12"/>
  <c r="AG121" i="12"/>
  <c r="AK105" i="12"/>
  <c r="AK114" i="12"/>
  <c r="AK111" i="12" s="1"/>
  <c r="AK112" i="12" s="1"/>
  <c r="AH70" i="12"/>
  <c r="AH74" i="12" s="1"/>
  <c r="U217" i="14"/>
  <c r="AJ78" i="6"/>
  <c r="AJ27" i="7"/>
  <c r="AF80" i="6"/>
  <c r="BZ45" i="15" s="1"/>
  <c r="AK40" i="12"/>
  <c r="AK307" i="12"/>
  <c r="AK43" i="6"/>
  <c r="AK77" i="6"/>
  <c r="AJ46" i="6"/>
  <c r="AJ204" i="6"/>
  <c r="AJ66" i="6"/>
  <c r="AI48" i="6"/>
  <c r="AI148" i="6"/>
  <c r="AI68" i="6"/>
  <c r="AK224" i="12"/>
  <c r="AF84" i="8"/>
  <c r="AF85" i="8"/>
  <c r="AI63" i="12"/>
  <c r="AI313" i="12"/>
  <c r="AI193" i="12"/>
  <c r="AI28" i="6"/>
  <c r="AH51" i="6"/>
  <c r="AH70" i="6"/>
  <c r="AG90" i="8"/>
  <c r="AG13" i="7"/>
  <c r="AG65" i="7"/>
  <c r="AG66" i="7" s="1"/>
  <c r="AG147" i="6"/>
  <c r="AG53" i="6"/>
  <c r="AG52" i="6"/>
  <c r="BM52" i="6" s="1"/>
  <c r="AG56" i="6"/>
  <c r="AG73" i="6"/>
  <c r="AG32" i="6"/>
  <c r="AG22" i="8"/>
  <c r="AJ44" i="12"/>
  <c r="AJ59" i="12"/>
  <c r="AJ309" i="12"/>
  <c r="AK25" i="7"/>
  <c r="AK24" i="7"/>
  <c r="AE86" i="6"/>
  <c r="AE149" i="6"/>
  <c r="AE81" i="6"/>
  <c r="BK81" i="6" s="1"/>
  <c r="BK80" i="6"/>
  <c r="AE144" i="6"/>
  <c r="BY45" i="15"/>
  <c r="BJ86" i="6"/>
  <c r="W42" i="5"/>
  <c r="AF33" i="6"/>
  <c r="BL33" i="6" s="1"/>
  <c r="BL32" i="6"/>
  <c r="AL130" i="12" l="1"/>
  <c r="AI34" i="7"/>
  <c r="AL66" i="6"/>
  <c r="AL204" i="6"/>
  <c r="AL46" i="6"/>
  <c r="AL78" i="6"/>
  <c r="AL427" i="12"/>
  <c r="AL432" i="12" s="1"/>
  <c r="AL309" i="12"/>
  <c r="AL44" i="12"/>
  <c r="AL59" i="12"/>
  <c r="AL27" i="7"/>
  <c r="AI70" i="12"/>
  <c r="AI74" i="12" s="1"/>
  <c r="AI84" i="12" s="1"/>
  <c r="AI104" i="12"/>
  <c r="AI108" i="12"/>
  <c r="AI121" i="12" s="1"/>
  <c r="AK130" i="12"/>
  <c r="AH84" i="12"/>
  <c r="AJ313" i="12"/>
  <c r="AJ63" i="12"/>
  <c r="AG33" i="6"/>
  <c r="BM33" i="6" s="1"/>
  <c r="BM32" i="6"/>
  <c r="AK66" i="6"/>
  <c r="AK46" i="6"/>
  <c r="AK204" i="6"/>
  <c r="AG80" i="6"/>
  <c r="AJ68" i="6"/>
  <c r="AJ48" i="6"/>
  <c r="AJ148" i="6"/>
  <c r="AK44" i="12"/>
  <c r="AK309" i="12"/>
  <c r="AK59" i="12"/>
  <c r="AJ33" i="7"/>
  <c r="AH22" i="8"/>
  <c r="AG84" i="8"/>
  <c r="AG85" i="8"/>
  <c r="AI70" i="6"/>
  <c r="AI51" i="6"/>
  <c r="AJ193" i="12"/>
  <c r="AJ28" i="6"/>
  <c r="AH90" i="8"/>
  <c r="AH13" i="7"/>
  <c r="AH65" i="7"/>
  <c r="AH66" i="7" s="1"/>
  <c r="AH73" i="6"/>
  <c r="AH147" i="6"/>
  <c r="AH53" i="6"/>
  <c r="AH52" i="6"/>
  <c r="BN52" i="6" s="1"/>
  <c r="AH56" i="6"/>
  <c r="AH32" i="6"/>
  <c r="BK86" i="6"/>
  <c r="X42" i="5"/>
  <c r="AK27" i="7"/>
  <c r="AK78" i="6"/>
  <c r="AF86" i="6"/>
  <c r="Y42" i="5" s="1"/>
  <c r="AF149" i="6"/>
  <c r="AF81" i="6"/>
  <c r="BL81" i="6" s="1"/>
  <c r="BL80" i="6"/>
  <c r="AF144" i="6"/>
  <c r="AL33" i="7" l="1"/>
  <c r="AJ34" i="7"/>
  <c r="AL313" i="12"/>
  <c r="AL63" i="12"/>
  <c r="AL48" i="6"/>
  <c r="AL68" i="6"/>
  <c r="AL148" i="6"/>
  <c r="AJ104" i="12"/>
  <c r="AJ108" i="12"/>
  <c r="AJ121" i="12" s="1"/>
  <c r="AJ70" i="12"/>
  <c r="AJ74" i="12" s="1"/>
  <c r="AJ84" i="12" s="1"/>
  <c r="AK68" i="6"/>
  <c r="AK48" i="6"/>
  <c r="AK148" i="6"/>
  <c r="AH84" i="8"/>
  <c r="AH85" i="8"/>
  <c r="AK313" i="12"/>
  <c r="AK63" i="12"/>
  <c r="AH33" i="6"/>
  <c r="BN33" i="6" s="1"/>
  <c r="BN32" i="6"/>
  <c r="AH80" i="6"/>
  <c r="AJ70" i="6"/>
  <c r="AJ51" i="6"/>
  <c r="AK33" i="7"/>
  <c r="AK193" i="12"/>
  <c r="AK28" i="6"/>
  <c r="AI90" i="8"/>
  <c r="AI13" i="7"/>
  <c r="AI65" i="7"/>
  <c r="AI66" i="7" s="1"/>
  <c r="AI73" i="6"/>
  <c r="AI147" i="6"/>
  <c r="AI53" i="6"/>
  <c r="AI52" i="6"/>
  <c r="AI56" i="6"/>
  <c r="AI32" i="6"/>
  <c r="AI33" i="6" s="1"/>
  <c r="BL86" i="6"/>
  <c r="AI22" i="8"/>
  <c r="AG86" i="6"/>
  <c r="AG149" i="6"/>
  <c r="AG81" i="6"/>
  <c r="BM81" i="6" s="1"/>
  <c r="BM80" i="6"/>
  <c r="AG144" i="6"/>
  <c r="AK34" i="7" l="1"/>
  <c r="AI80" i="6"/>
  <c r="AI144" i="6" s="1"/>
  <c r="AL34" i="7"/>
  <c r="AL70" i="6"/>
  <c r="AL51" i="6"/>
  <c r="AK70" i="12"/>
  <c r="AK74" i="12" s="1"/>
  <c r="AK104" i="12"/>
  <c r="AK108" i="12"/>
  <c r="AJ90" i="8"/>
  <c r="AJ65" i="7"/>
  <c r="AJ66" i="7" s="1"/>
  <c r="AJ13" i="7"/>
  <c r="AJ73" i="6"/>
  <c r="AJ147" i="6"/>
  <c r="AJ53" i="6"/>
  <c r="AJ52" i="6"/>
  <c r="AJ56" i="6"/>
  <c r="AJ32" i="6"/>
  <c r="AJ33" i="6" s="1"/>
  <c r="AH144" i="6"/>
  <c r="AH86" i="6"/>
  <c r="AH149" i="6"/>
  <c r="AH81" i="6"/>
  <c r="BN81" i="6" s="1"/>
  <c r="BN80" i="6"/>
  <c r="AJ22" i="8"/>
  <c r="AI84" i="8"/>
  <c r="AI85" i="8"/>
  <c r="BM86" i="6"/>
  <c r="AK70" i="6"/>
  <c r="AK51" i="6"/>
  <c r="AI81" i="6" l="1"/>
  <c r="AI149" i="6"/>
  <c r="AI86" i="6"/>
  <c r="AJ80" i="6"/>
  <c r="AK84" i="12"/>
  <c r="AL70" i="12"/>
  <c r="AL74" i="12" s="1"/>
  <c r="AL90" i="8"/>
  <c r="AL13" i="7"/>
  <c r="AL65" i="7"/>
  <c r="AL66" i="7" s="1"/>
  <c r="AL53" i="6"/>
  <c r="AL73" i="6"/>
  <c r="AL52" i="6"/>
  <c r="AL147" i="6"/>
  <c r="AL56" i="6"/>
  <c r="AL32" i="6"/>
  <c r="AK121" i="12"/>
  <c r="AL104" i="12"/>
  <c r="AL108" i="12"/>
  <c r="AK22" i="8"/>
  <c r="AK85" i="8" s="1"/>
  <c r="AJ84" i="8"/>
  <c r="AJ85" i="8"/>
  <c r="AK90" i="8"/>
  <c r="AK65" i="7"/>
  <c r="AK66" i="7" s="1"/>
  <c r="AK13" i="7"/>
  <c r="AK73" i="6"/>
  <c r="AK147" i="6"/>
  <c r="AK53" i="6"/>
  <c r="AK52" i="6"/>
  <c r="AK56" i="6"/>
  <c r="AK32" i="6"/>
  <c r="AK33" i="6" s="1"/>
  <c r="BN86" i="6"/>
  <c r="AJ149" i="6" l="1"/>
  <c r="AL121" i="12"/>
  <c r="AJ86" i="6"/>
  <c r="AK84" i="8"/>
  <c r="AJ81" i="6"/>
  <c r="AJ144" i="6"/>
  <c r="AK80" i="6"/>
  <c r="AL80" i="6"/>
  <c r="AL86" i="6" s="1"/>
  <c r="AL33" i="6"/>
  <c r="AL84" i="12"/>
  <c r="AL22" i="8"/>
  <c r="AL149" i="6" l="1"/>
  <c r="AL144" i="6"/>
  <c r="AL81" i="6"/>
  <c r="AK86" i="6"/>
  <c r="AK144" i="6"/>
  <c r="AK149" i="6"/>
  <c r="AK81" i="6"/>
  <c r="AL84" i="8"/>
  <c r="AL85" i="8"/>
  <c r="AC26" i="6" l="1"/>
  <c r="BI26" i="6" s="1"/>
  <c r="AD16" i="12"/>
  <c r="AE16" i="12"/>
  <c r="AE24" i="12" s="1"/>
  <c r="AF16" i="12"/>
  <c r="AF24" i="12" s="1"/>
  <c r="AG16" i="12"/>
  <c r="AH16" i="12"/>
  <c r="AH24" i="12" s="1"/>
  <c r="AI16" i="12"/>
  <c r="AI24" i="12" s="1"/>
  <c r="AJ16" i="12"/>
  <c r="AK16" i="12"/>
  <c r="AK24" i="12" l="1"/>
  <c r="AK427" i="12" s="1"/>
  <c r="AK432" i="12" s="1"/>
  <c r="AL192" i="12"/>
  <c r="AI26" i="6"/>
  <c r="AI29" i="6" s="1"/>
  <c r="AJ192" i="12"/>
  <c r="AK26" i="6"/>
  <c r="AK29" i="6" s="1"/>
  <c r="AC192" i="12"/>
  <c r="AD192" i="12"/>
  <c r="AG192" i="12"/>
  <c r="AD24" i="12"/>
  <c r="AE194" i="12" s="1"/>
  <c r="AJ24" i="12"/>
  <c r="AJ427" i="12" s="1"/>
  <c r="AJ432" i="12" s="1"/>
  <c r="AJ26" i="6"/>
  <c r="AJ29" i="6" s="1"/>
  <c r="AK192" i="12"/>
  <c r="AI25" i="12"/>
  <c r="AG24" i="12"/>
  <c r="AG25" i="12" s="1"/>
  <c r="AG26" i="6"/>
  <c r="AF26" i="6"/>
  <c r="AF29" i="6" s="1"/>
  <c r="BL29" i="6" s="1"/>
  <c r="AE427" i="12"/>
  <c r="AE432" i="12" s="1"/>
  <c r="AE26" i="6"/>
  <c r="AF192" i="12"/>
  <c r="AD26" i="6"/>
  <c r="BJ26" i="6" s="1"/>
  <c r="AE192" i="12"/>
  <c r="AI192" i="12"/>
  <c r="AC29" i="6"/>
  <c r="AC428" i="12" s="1"/>
  <c r="AC434" i="12" s="1"/>
  <c r="AH427" i="12"/>
  <c r="AH432" i="12" s="1"/>
  <c r="AF194" i="12"/>
  <c r="AF427" i="12"/>
  <c r="AF432" i="12" s="1"/>
  <c r="AF25" i="12"/>
  <c r="AH26" i="6"/>
  <c r="AI427" i="12"/>
  <c r="AI432" i="12" s="1"/>
  <c r="AI194" i="12"/>
  <c r="AH192" i="12"/>
  <c r="AL30" i="6" l="1"/>
  <c r="AL25" i="12"/>
  <c r="AL194" i="12"/>
  <c r="AJ30" i="6"/>
  <c r="AC427" i="12"/>
  <c r="AC432" i="12" s="1"/>
  <c r="AD427" i="12"/>
  <c r="AD432" i="12" s="1"/>
  <c r="AC194" i="12"/>
  <c r="AE25" i="12"/>
  <c r="AK25" i="12"/>
  <c r="AK194" i="12"/>
  <c r="AD25" i="12"/>
  <c r="AJ194" i="12"/>
  <c r="AJ25" i="12"/>
  <c r="AH194" i="12"/>
  <c r="AH25" i="12"/>
  <c r="AK30" i="6"/>
  <c r="AD194" i="12"/>
  <c r="AC30" i="6"/>
  <c r="BI30" i="6" s="1"/>
  <c r="AG427" i="12"/>
  <c r="AG432" i="12" s="1"/>
  <c r="BL26" i="6"/>
  <c r="BM26" i="6"/>
  <c r="AG29" i="6"/>
  <c r="BI29" i="6"/>
  <c r="AG194" i="12"/>
  <c r="AD29" i="6"/>
  <c r="BK26" i="6"/>
  <c r="AE29" i="6"/>
  <c r="AH29" i="6"/>
  <c r="BN26" i="6"/>
  <c r="AE30" i="6" l="1"/>
  <c r="BK30" i="6" s="1"/>
  <c r="AG30" i="6"/>
  <c r="BM30" i="6" s="1"/>
  <c r="BM29" i="6"/>
  <c r="AD30" i="6"/>
  <c r="BJ30" i="6" s="1"/>
  <c r="BJ29" i="6"/>
  <c r="BK29" i="6"/>
  <c r="AF30" i="6"/>
  <c r="BL30" i="6" s="1"/>
  <c r="AH30" i="6"/>
  <c r="BN30" i="6" s="1"/>
  <c r="BN29" i="6"/>
  <c r="AI30" i="6"/>
  <c r="BZ45" i="6" l="1"/>
  <c r="CA45" i="6" l="1"/>
  <c r="AJ260" i="4" l="1"/>
  <c r="AJ261" i="4"/>
  <c r="AK261" i="4" s="1"/>
  <c r="AK260" i="4" s="1"/>
  <c r="AK263" i="4" l="1"/>
  <c r="AK274" i="4" s="1"/>
  <c r="AL261" i="4"/>
  <c r="AM261" i="4" s="1"/>
  <c r="AN261" i="4" s="1"/>
  <c r="AO261" i="4" s="1"/>
  <c r="AP261" i="4" s="1"/>
  <c r="AQ261" i="4" s="1"/>
  <c r="AR261" i="4" s="1"/>
  <c r="AS261" i="4" s="1"/>
  <c r="AL260" i="4" l="1"/>
  <c r="AL263" i="4" l="1"/>
  <c r="AL274" i="4" s="1"/>
  <c r="AM260" i="4"/>
  <c r="AM263" i="4" l="1"/>
  <c r="AM274" i="4" s="1"/>
  <c r="AN260" i="4"/>
  <c r="AO260" i="4" l="1"/>
  <c r="AN263" i="4"/>
  <c r="AN274" i="4" s="1"/>
  <c r="AO263" i="4" l="1"/>
  <c r="AO274" i="4" s="1"/>
  <c r="AP260" i="4"/>
  <c r="AQ260" i="4" l="1"/>
  <c r="AP263" i="4"/>
  <c r="AP274" i="4" s="1"/>
  <c r="AR260" i="4" l="1"/>
  <c r="AQ263" i="4"/>
  <c r="AQ274" i="4" s="1"/>
  <c r="AS260" i="4" l="1"/>
  <c r="AS263" i="4" s="1"/>
  <c r="AS274" i="4" s="1"/>
  <c r="AR263" i="4"/>
  <c r="AR274" i="4" s="1"/>
  <c r="AC79" i="8"/>
  <c r="AC142" i="12"/>
  <c r="AC143" i="12"/>
  <c r="AC148" i="12" s="1"/>
  <c r="AC153" i="12"/>
  <c r="AD153" i="12"/>
  <c r="AE153" i="12" s="1"/>
  <c r="AF153" i="12" s="1"/>
  <c r="AT40" i="5"/>
  <c r="V41" i="5"/>
  <c r="V42" i="5"/>
  <c r="V43" i="5"/>
  <c r="V44" i="5"/>
  <c r="V47" i="5"/>
  <c r="V48" i="5" s="1"/>
  <c r="V49" i="5"/>
  <c r="V50" i="5" s="1"/>
  <c r="V51" i="5"/>
  <c r="V52" i="5"/>
  <c r="V54" i="5" s="1"/>
  <c r="V53" i="5"/>
  <c r="BI83" i="6"/>
  <c r="BI84" i="6"/>
  <c r="BI85" i="6"/>
  <c r="BI86" i="6"/>
  <c r="BI87" i="6"/>
  <c r="BI88" i="6"/>
  <c r="BI91" i="6"/>
  <c r="BI94" i="6"/>
  <c r="BI95" i="6"/>
  <c r="BI97" i="6"/>
  <c r="BI98" i="6"/>
  <c r="BI102" i="6"/>
  <c r="BI103" i="6"/>
  <c r="BI104" i="6"/>
  <c r="BI105" i="6"/>
  <c r="BI106" i="6"/>
  <c r="AC112" i="6"/>
  <c r="AC121" i="6" s="1"/>
  <c r="AC113" i="6"/>
  <c r="AC122" i="6" s="1"/>
  <c r="AC117" i="6"/>
  <c r="AC118" i="6"/>
  <c r="AC119" i="6"/>
  <c r="AC138" i="6"/>
  <c r="AC143" i="6"/>
  <c r="AC144" i="6"/>
  <c r="AC145" i="6"/>
  <c r="AC150" i="6"/>
  <c r="S222" i="14"/>
  <c r="S220" i="14" s="1"/>
  <c r="S227" i="14"/>
  <c r="S232" i="14"/>
  <c r="T225" i="14" l="1"/>
  <c r="T230" i="14" s="1"/>
  <c r="H222" i="14" s="1"/>
  <c r="F222" i="14" s="1"/>
  <c r="U224" i="14"/>
  <c r="AC125" i="6"/>
  <c r="U225" i="14"/>
  <c r="U230" i="14" s="1"/>
  <c r="AC124" i="6"/>
  <c r="S219" i="14"/>
  <c r="S224" i="14" s="1"/>
  <c r="U226" i="14"/>
  <c r="U231" i="14" s="1"/>
  <c r="U241" i="14" s="1"/>
  <c r="T226" i="14"/>
  <c r="T231" i="14" s="1"/>
  <c r="H223" i="14" s="1"/>
  <c r="F223" i="14" s="1"/>
  <c r="AC114" i="6"/>
  <c r="AG153" i="12"/>
  <c r="AH153" i="12" s="1"/>
  <c r="AI153" i="12" s="1"/>
  <c r="V225" i="14"/>
  <c r="V230" i="14" s="1"/>
  <c r="AT39" i="5"/>
  <c r="AE87" i="6"/>
  <c r="AE18" i="7" s="1"/>
  <c r="AD87" i="6"/>
  <c r="T224" i="14"/>
  <c r="AC115" i="6"/>
  <c r="V226" i="14"/>
  <c r="V231" i="14" s="1"/>
  <c r="V241" i="14" s="1"/>
  <c r="AF87" i="6"/>
  <c r="Y43" i="5" s="1"/>
  <c r="V224" i="14"/>
  <c r="S225" i="14"/>
  <c r="S230" i="14" s="1"/>
  <c r="BL87" i="6" l="1"/>
  <c r="X43" i="5"/>
  <c r="T241" i="14"/>
  <c r="AD145" i="6"/>
  <c r="AE88" i="6"/>
  <c r="AE91" i="6" s="1"/>
  <c r="AD18" i="7"/>
  <c r="AU40" i="5" s="1"/>
  <c r="AI87" i="6"/>
  <c r="AI18" i="7" s="1"/>
  <c r="AD88" i="6"/>
  <c r="AD91" i="6" s="1"/>
  <c r="W43" i="5"/>
  <c r="S221" i="14"/>
  <c r="S226" i="14" s="1"/>
  <c r="S231" i="14" s="1"/>
  <c r="S241" i="14" s="1"/>
  <c r="BJ87" i="6"/>
  <c r="AG87" i="6"/>
  <c r="BK87" i="6"/>
  <c r="AE145" i="6"/>
  <c r="AH87" i="6"/>
  <c r="AH88" i="6" s="1"/>
  <c r="AJ153" i="12"/>
  <c r="AF88" i="6"/>
  <c r="AF145" i="6"/>
  <c r="AF18" i="7"/>
  <c r="AV40" i="5"/>
  <c r="X44" i="5" l="1"/>
  <c r="AW40" i="5"/>
  <c r="W44" i="5"/>
  <c r="BJ88" i="6"/>
  <c r="BK88" i="6"/>
  <c r="AT51" i="5"/>
  <c r="AT50" i="5" s="1"/>
  <c r="AI145" i="6"/>
  <c r="AI88" i="6"/>
  <c r="AI91" i="6" s="1"/>
  <c r="S229" i="14"/>
  <c r="S239" i="14" s="1"/>
  <c r="S242" i="14" s="1"/>
  <c r="S237" i="14" s="1"/>
  <c r="BM87" i="6"/>
  <c r="AG145" i="6"/>
  <c r="AG18" i="7"/>
  <c r="AG88" i="6"/>
  <c r="AK153" i="12"/>
  <c r="AJ87" i="6"/>
  <c r="AH145" i="6"/>
  <c r="AH18" i="7"/>
  <c r="BN87" i="6"/>
  <c r="BN88" i="6"/>
  <c r="AH91" i="6"/>
  <c r="AF91" i="6"/>
  <c r="Y44" i="5"/>
  <c r="BL88" i="6"/>
  <c r="AD94" i="6"/>
  <c r="W47" i="5"/>
  <c r="W48" i="5" s="1"/>
  <c r="BJ91" i="6"/>
  <c r="AE94" i="6"/>
  <c r="X47" i="5"/>
  <c r="BK91" i="6"/>
  <c r="AI94" i="6" l="1"/>
  <c r="AG91" i="6"/>
  <c r="BM88" i="6"/>
  <c r="AJ18" i="7"/>
  <c r="AJ88" i="6"/>
  <c r="AJ91" i="6" s="1"/>
  <c r="AJ145" i="6"/>
  <c r="AL153" i="12"/>
  <c r="AK87" i="6"/>
  <c r="BL91" i="6"/>
  <c r="Y47" i="5"/>
  <c r="Y48" i="5" s="1"/>
  <c r="AF94" i="6"/>
  <c r="BN91" i="6"/>
  <c r="AH94" i="6"/>
  <c r="X48" i="5"/>
  <c r="AE97" i="6"/>
  <c r="AE150" i="6"/>
  <c r="AE95" i="6"/>
  <c r="BK95" i="6" s="1"/>
  <c r="BK94" i="6"/>
  <c r="AE103" i="6"/>
  <c r="AE102" i="6"/>
  <c r="AD95" i="6"/>
  <c r="BJ95" i="6" s="1"/>
  <c r="BJ94" i="6"/>
  <c r="AD103" i="6"/>
  <c r="AD102" i="6"/>
  <c r="AD97" i="6"/>
  <c r="AD150" i="6"/>
  <c r="AD58" i="8"/>
  <c r="AI102" i="6" l="1"/>
  <c r="AI150" i="6"/>
  <c r="AI97" i="6"/>
  <c r="AI103" i="6"/>
  <c r="AL87" i="6"/>
  <c r="AJ94" i="6"/>
  <c r="AK145" i="6"/>
  <c r="AK88" i="6"/>
  <c r="AK91" i="6" s="1"/>
  <c r="AK18" i="7"/>
  <c r="AG94" i="6"/>
  <c r="AH95" i="6" s="1"/>
  <c r="BN95" i="6" s="1"/>
  <c r="BM91" i="6"/>
  <c r="AH97" i="6"/>
  <c r="BN94" i="6"/>
  <c r="AI95" i="6"/>
  <c r="AH103" i="6"/>
  <c r="AH150" i="6"/>
  <c r="AH102" i="6"/>
  <c r="AF150" i="6"/>
  <c r="AF97" i="6"/>
  <c r="AF98" i="6" s="1"/>
  <c r="BL98" i="6" s="1"/>
  <c r="AF102" i="6"/>
  <c r="AF103" i="6"/>
  <c r="BL94" i="6"/>
  <c r="AF95" i="6"/>
  <c r="BL95" i="6" s="1"/>
  <c r="X49" i="5"/>
  <c r="BK97" i="6"/>
  <c r="AE106" i="6"/>
  <c r="AE104" i="6"/>
  <c r="H225" i="14" s="1"/>
  <c r="AE119" i="6"/>
  <c r="AE98" i="6"/>
  <c r="BK98" i="6" s="1"/>
  <c r="U227" i="14"/>
  <c r="W51" i="5"/>
  <c r="AD112" i="6"/>
  <c r="BJ102" i="6"/>
  <c r="W52" i="5"/>
  <c r="W54" i="5" s="1"/>
  <c r="AD138" i="6"/>
  <c r="AD113" i="6"/>
  <c r="BJ103" i="6"/>
  <c r="AD54" i="8"/>
  <c r="AD60" i="8" s="1"/>
  <c r="AD79" i="8" s="1"/>
  <c r="AE58" i="8"/>
  <c r="BK102" i="6"/>
  <c r="X51" i="5"/>
  <c r="AE112" i="6"/>
  <c r="X52" i="5"/>
  <c r="AE138" i="6"/>
  <c r="AE113" i="6"/>
  <c r="BK103" i="6"/>
  <c r="W49" i="5"/>
  <c r="BJ97" i="6"/>
  <c r="AD106" i="6"/>
  <c r="AD104" i="6"/>
  <c r="AD119" i="6"/>
  <c r="AD98" i="6"/>
  <c r="BJ98" i="6" s="1"/>
  <c r="T227" i="14"/>
  <c r="H221" i="14" l="1"/>
  <c r="AI104" i="6"/>
  <c r="AI117" i="6" s="1"/>
  <c r="AI106" i="6"/>
  <c r="AI118" i="6" s="1"/>
  <c r="AI119" i="6"/>
  <c r="AI138" i="6"/>
  <c r="AI113" i="6"/>
  <c r="AI112" i="6"/>
  <c r="AJ103" i="6"/>
  <c r="AJ97" i="6"/>
  <c r="AJ95" i="6"/>
  <c r="AJ102" i="6"/>
  <c r="AJ150" i="6"/>
  <c r="AG97" i="6"/>
  <c r="AH98" i="6" s="1"/>
  <c r="BN98" i="6" s="1"/>
  <c r="BM94" i="6"/>
  <c r="AG150" i="6"/>
  <c r="AG102" i="6"/>
  <c r="AG95" i="6"/>
  <c r="BM95" i="6" s="1"/>
  <c r="AG103" i="6"/>
  <c r="AL18" i="7"/>
  <c r="AL145" i="6"/>
  <c r="AL88" i="6"/>
  <c r="AL91" i="6" s="1"/>
  <c r="AK94" i="6"/>
  <c r="AH113" i="6"/>
  <c r="BN103" i="6"/>
  <c r="AH138" i="6"/>
  <c r="AF113" i="6"/>
  <c r="AF115" i="6" s="1"/>
  <c r="BL103" i="6"/>
  <c r="AF138" i="6"/>
  <c r="Y52" i="5"/>
  <c r="Y54" i="5" s="1"/>
  <c r="AH112" i="6"/>
  <c r="BN102" i="6"/>
  <c r="AF112" i="6"/>
  <c r="Y51" i="5"/>
  <c r="BL102" i="6"/>
  <c r="Y49" i="5"/>
  <c r="BL97" i="6"/>
  <c r="AF104" i="6"/>
  <c r="AF106" i="6"/>
  <c r="V227" i="14"/>
  <c r="AF119" i="6"/>
  <c r="BN97" i="6"/>
  <c r="AH106" i="6"/>
  <c r="AH104" i="6"/>
  <c r="AH119" i="6"/>
  <c r="AI98" i="6"/>
  <c r="AE115" i="6"/>
  <c r="AE122" i="6"/>
  <c r="AE125" i="6"/>
  <c r="X54" i="5"/>
  <c r="BJ106" i="6"/>
  <c r="AD118" i="6"/>
  <c r="W50" i="5"/>
  <c r="W83" i="5"/>
  <c r="AE118" i="6"/>
  <c r="BK106" i="6"/>
  <c r="AE121" i="6"/>
  <c r="AE124" i="6"/>
  <c r="AE114" i="6"/>
  <c r="W53" i="5"/>
  <c r="W91" i="5" s="1"/>
  <c r="AD105" i="6"/>
  <c r="BJ105" i="6" s="1"/>
  <c r="BJ104" i="6"/>
  <c r="AD117" i="6"/>
  <c r="T232" i="14"/>
  <c r="T229" i="14" s="1"/>
  <c r="AD122" i="6"/>
  <c r="AD125" i="6"/>
  <c r="AD115" i="6"/>
  <c r="AD121" i="6"/>
  <c r="AD124" i="6"/>
  <c r="AD114" i="6"/>
  <c r="AE105" i="6"/>
  <c r="BK105" i="6" s="1"/>
  <c r="X53" i="5"/>
  <c r="X91" i="5" s="1"/>
  <c r="AE117" i="6"/>
  <c r="BK104" i="6"/>
  <c r="U232" i="14"/>
  <c r="U229" i="14" s="1"/>
  <c r="U239" i="14" s="1"/>
  <c r="U242" i="14" s="1"/>
  <c r="U237" i="14" s="1"/>
  <c r="AE54" i="8"/>
  <c r="AE60" i="8" s="1"/>
  <c r="AF58" i="8"/>
  <c r="X50" i="5"/>
  <c r="X83" i="5"/>
  <c r="AI124" i="6" l="1"/>
  <c r="AI121" i="6"/>
  <c r="AI125" i="6"/>
  <c r="AI122" i="6"/>
  <c r="AJ112" i="6"/>
  <c r="AG138" i="6"/>
  <c r="BM103" i="6"/>
  <c r="AG113" i="6"/>
  <c r="AG115" i="6" s="1"/>
  <c r="AK97" i="6"/>
  <c r="AK150" i="6"/>
  <c r="AK103" i="6"/>
  <c r="AK102" i="6"/>
  <c r="AK95" i="6"/>
  <c r="AL94" i="6"/>
  <c r="AJ98" i="6"/>
  <c r="AJ119" i="6"/>
  <c r="AJ106" i="6"/>
  <c r="AJ118" i="6" s="1"/>
  <c r="AJ104" i="6"/>
  <c r="AG106" i="6"/>
  <c r="AG104" i="6"/>
  <c r="AH105" i="6" s="1"/>
  <c r="BN105" i="6" s="1"/>
  <c r="AG119" i="6"/>
  <c r="AG98" i="6"/>
  <c r="BM98" i="6" s="1"/>
  <c r="BM97" i="6"/>
  <c r="BM102" i="6"/>
  <c r="AG112" i="6"/>
  <c r="AH114" i="6" s="1"/>
  <c r="AJ138" i="6"/>
  <c r="AJ113" i="6"/>
  <c r="AF118" i="6"/>
  <c r="BL106" i="6"/>
  <c r="AF125" i="6"/>
  <c r="AF122" i="6"/>
  <c r="AI114" i="6"/>
  <c r="AH121" i="6"/>
  <c r="AH124" i="6"/>
  <c r="BN104" i="6"/>
  <c r="AI105" i="6"/>
  <c r="AH117" i="6"/>
  <c r="V232" i="14"/>
  <c r="V229" i="14" s="1"/>
  <c r="V239" i="14" s="1"/>
  <c r="V242" i="14" s="1"/>
  <c r="V237" i="14" s="1"/>
  <c r="BL104" i="6"/>
  <c r="Y53" i="5"/>
  <c r="Y91" i="5" s="1"/>
  <c r="AF117" i="6"/>
  <c r="Y50" i="5"/>
  <c r="Y83" i="5"/>
  <c r="AF121" i="6"/>
  <c r="AF114" i="6"/>
  <c r="AF124" i="6"/>
  <c r="BN106" i="6"/>
  <c r="AH118" i="6"/>
  <c r="AF105" i="6"/>
  <c r="BL105" i="6" s="1"/>
  <c r="AI115" i="6"/>
  <c r="AH122" i="6"/>
  <c r="AH125" i="6"/>
  <c r="C214" i="14"/>
  <c r="F221" i="14"/>
  <c r="F225" i="14" s="1"/>
  <c r="T239" i="14"/>
  <c r="T242" i="14" s="1"/>
  <c r="T237" i="14" s="1"/>
  <c r="AG58" i="8"/>
  <c r="AF54" i="8"/>
  <c r="AF60" i="8" s="1"/>
  <c r="AF79" i="8" s="1"/>
  <c r="X84" i="5"/>
  <c r="X86" i="5"/>
  <c r="X88" i="5" s="1"/>
  <c r="X94" i="5"/>
  <c r="X96" i="5" s="1"/>
  <c r="X92" i="5"/>
  <c r="W94" i="5"/>
  <c r="W96" i="5" s="1"/>
  <c r="W92" i="5"/>
  <c r="W84" i="5"/>
  <c r="W86" i="5"/>
  <c r="W88" i="5" s="1"/>
  <c r="AE79" i="8"/>
  <c r="AH115" i="6" l="1"/>
  <c r="AG114" i="6"/>
  <c r="AJ105" i="6"/>
  <c r="AJ117" i="6"/>
  <c r="AK138" i="6"/>
  <c r="AK113" i="6"/>
  <c r="AK119" i="6"/>
  <c r="AK106" i="6"/>
  <c r="AK118" i="6" s="1"/>
  <c r="AK104" i="6"/>
  <c r="AK98" i="6"/>
  <c r="AJ122" i="6"/>
  <c r="AJ115" i="6"/>
  <c r="AJ125" i="6"/>
  <c r="AG125" i="6"/>
  <c r="AG122" i="6"/>
  <c r="AL97" i="6"/>
  <c r="AL95" i="6"/>
  <c r="AL103" i="6"/>
  <c r="AL150" i="6"/>
  <c r="AL102" i="6"/>
  <c r="AL112" i="6" s="1"/>
  <c r="BM104" i="6"/>
  <c r="AG117" i="6"/>
  <c r="AG105" i="6"/>
  <c r="BM105" i="6" s="1"/>
  <c r="AJ121" i="6"/>
  <c r="AJ114" i="6"/>
  <c r="AJ124" i="6"/>
  <c r="AG121" i="6"/>
  <c r="AG124" i="6"/>
  <c r="BM106" i="6"/>
  <c r="AG118" i="6"/>
  <c r="AK112" i="6"/>
  <c r="Y94" i="5"/>
  <c r="Y96" i="5" s="1"/>
  <c r="Y92" i="5"/>
  <c r="Y84" i="5"/>
  <c r="Y86" i="5"/>
  <c r="Y88" i="5" s="1"/>
  <c r="AH58" i="8"/>
  <c r="AG54" i="8"/>
  <c r="AG60" i="8" s="1"/>
  <c r="AG79" i="8" s="1"/>
  <c r="H31" i="9"/>
  <c r="J225" i="14"/>
  <c r="G214" i="14"/>
  <c r="H214" i="14"/>
  <c r="I214" i="14"/>
  <c r="J214" i="14"/>
  <c r="C213" i="14"/>
  <c r="C215" i="14"/>
  <c r="E214" i="14"/>
  <c r="F214" i="14"/>
  <c r="D214" i="14"/>
  <c r="AK117" i="6" l="1"/>
  <c r="AK105" i="6"/>
  <c r="AK122" i="6"/>
  <c r="AK125" i="6"/>
  <c r="AK115" i="6"/>
  <c r="AL119" i="6"/>
  <c r="AL104" i="6"/>
  <c r="AL98" i="6"/>
  <c r="AL106" i="6"/>
  <c r="AL118" i="6" s="1"/>
  <c r="AK121" i="6"/>
  <c r="AK124" i="6"/>
  <c r="AK114" i="6"/>
  <c r="AL114" i="6"/>
  <c r="AL121" i="6"/>
  <c r="AL124" i="6"/>
  <c r="AL138" i="6"/>
  <c r="AL113" i="6"/>
  <c r="G215" i="14"/>
  <c r="H215" i="14"/>
  <c r="I215" i="14"/>
  <c r="J215" i="14"/>
  <c r="C216" i="14"/>
  <c r="E215" i="14"/>
  <c r="D215" i="14"/>
  <c r="F215" i="14"/>
  <c r="G213" i="14"/>
  <c r="H213" i="14"/>
  <c r="I213" i="14"/>
  <c r="J213" i="14"/>
  <c r="C212" i="14"/>
  <c r="E213" i="14"/>
  <c r="F213" i="14"/>
  <c r="D213" i="14"/>
  <c r="AI58" i="8"/>
  <c r="AH54" i="8"/>
  <c r="AH60" i="8" s="1"/>
  <c r="AH79" i="8" s="1"/>
  <c r="AL117" i="6" l="1"/>
  <c r="AL105" i="6"/>
  <c r="AL115" i="6"/>
  <c r="AL125" i="6"/>
  <c r="AL122" i="6"/>
  <c r="C211" i="14"/>
  <c r="G212" i="14"/>
  <c r="H212" i="14"/>
  <c r="I212" i="14"/>
  <c r="J212" i="14"/>
  <c r="E212" i="14"/>
  <c r="D212" i="14"/>
  <c r="F212" i="14"/>
  <c r="AI54" i="8"/>
  <c r="AI60" i="8" s="1"/>
  <c r="AI79" i="8" s="1"/>
  <c r="AJ58" i="8"/>
  <c r="G216" i="14"/>
  <c r="H216" i="14"/>
  <c r="I216" i="14"/>
  <c r="J216" i="14"/>
  <c r="C217" i="14"/>
  <c r="E216" i="14"/>
  <c r="D216" i="14"/>
  <c r="F216" i="14"/>
  <c r="G211" i="14" l="1"/>
  <c r="H211" i="14"/>
  <c r="I211" i="14"/>
  <c r="J211" i="14"/>
  <c r="E211" i="14"/>
  <c r="D211" i="14"/>
  <c r="F211" i="14"/>
  <c r="AJ54" i="8"/>
  <c r="AJ60" i="8" s="1"/>
  <c r="AJ79" i="8" s="1"/>
  <c r="AK58" i="8"/>
  <c r="G217" i="14"/>
  <c r="H217" i="14"/>
  <c r="I217" i="14"/>
  <c r="J217" i="14"/>
  <c r="E217" i="14"/>
  <c r="D217" i="14"/>
  <c r="F217" i="14"/>
  <c r="AK54" i="8" l="1"/>
  <c r="AK60" i="8" s="1"/>
  <c r="AK79" i="8" s="1"/>
  <c r="AL58" i="8"/>
  <c r="AL54" i="8" l="1"/>
  <c r="AL60" i="8" s="1"/>
  <c r="AL79" i="8" s="1"/>
  <c r="AD56" i="7" l="1"/>
  <c r="AT38" i="5"/>
  <c r="AT42" i="5"/>
  <c r="AT43" i="5" s="1"/>
  <c r="AT52" i="5" l="1"/>
  <c r="AC70" i="8"/>
  <c r="AC128" i="6" s="1"/>
  <c r="AC129" i="6" s="1"/>
  <c r="AC130" i="6" s="1"/>
  <c r="AT9" i="5"/>
  <c r="AX29" i="15"/>
  <c r="AX30" i="15" s="1"/>
  <c r="AC136" i="12"/>
  <c r="AT56" i="5" l="1"/>
  <c r="AT57" i="5" s="1"/>
  <c r="AC87" i="8"/>
  <c r="AC71" i="8"/>
  <c r="AC91" i="8"/>
  <c r="AC92" i="8" s="1"/>
  <c r="AC132" i="6"/>
  <c r="AC131" i="6"/>
  <c r="BW29" i="15"/>
  <c r="BW30" i="15" s="1"/>
  <c r="BW33" i="15" s="1"/>
  <c r="BW40" i="15"/>
  <c r="BW41" i="15" s="1"/>
  <c r="AC138" i="12"/>
  <c r="AC137" i="12"/>
  <c r="BW46" i="15" l="1"/>
  <c r="BW49" i="15"/>
  <c r="AC38" i="7"/>
  <c r="AC39" i="7" s="1"/>
  <c r="BW43" i="15"/>
  <c r="AC139" i="12"/>
  <c r="AC147" i="12"/>
  <c r="AD147" i="12" s="1"/>
  <c r="AE147" i="12" s="1"/>
  <c r="AF147" i="12" s="1"/>
  <c r="AG147" i="12" s="1"/>
  <c r="AH147" i="12" s="1"/>
  <c r="AI147" i="12" s="1"/>
  <c r="AJ147" i="12" s="1"/>
  <c r="AK147" i="12" s="1"/>
  <c r="AL147" i="12" s="1"/>
  <c r="AC67" i="8"/>
  <c r="AC72" i="8"/>
  <c r="AT59" i="5" s="1"/>
  <c r="AT60" i="5" s="1"/>
  <c r="AC73" i="8"/>
  <c r="AC75" i="8" s="1"/>
  <c r="AC76" i="8"/>
  <c r="AC77" i="8"/>
  <c r="AC78" i="8"/>
  <c r="AC81" i="8"/>
  <c r="AC82" i="8"/>
  <c r="AC83" i="8"/>
  <c r="AC109" i="12"/>
  <c r="AD109" i="12" s="1"/>
  <c r="AC172" i="12"/>
  <c r="AD172" i="12" s="1"/>
  <c r="AC173" i="12"/>
  <c r="AD173" i="12" s="1"/>
  <c r="AD32" i="8" s="1"/>
  <c r="AU20" i="5" s="1"/>
  <c r="AC174" i="12"/>
  <c r="AD174" i="12" s="1"/>
  <c r="AC176" i="12"/>
  <c r="AC177" i="12"/>
  <c r="AC178" i="12"/>
  <c r="AC180" i="12"/>
  <c r="AC182" i="12" s="1"/>
  <c r="AC181" i="12"/>
  <c r="AC260" i="12"/>
  <c r="AC261" i="12" s="1"/>
  <c r="AC244" i="12" s="1"/>
  <c r="AC254" i="12" s="1"/>
  <c r="AC255" i="12" s="1"/>
  <c r="AT10" i="5"/>
  <c r="AT12" i="5"/>
  <c r="AT14" i="5"/>
  <c r="AT15" i="5"/>
  <c r="AT17" i="5"/>
  <c r="AT20" i="5"/>
  <c r="AT25" i="5"/>
  <c r="AT30" i="5" s="1"/>
  <c r="AT32" i="5"/>
  <c r="AT33" i="5" s="1"/>
  <c r="AT58" i="5" s="1"/>
  <c r="AT18" i="5" l="1"/>
  <c r="AT11" i="5"/>
  <c r="AT16" i="5"/>
  <c r="AT24" i="5"/>
  <c r="AE173" i="12"/>
  <c r="AF173" i="12" s="1"/>
  <c r="AD10" i="8"/>
  <c r="AD81" i="8" s="1"/>
  <c r="AE172" i="12"/>
  <c r="AF172" i="12" s="1"/>
  <c r="AC179" i="12"/>
  <c r="AC69" i="8"/>
  <c r="AC74" i="8"/>
  <c r="AC68" i="8"/>
  <c r="AC80" i="8"/>
  <c r="AE109" i="12"/>
  <c r="AD25" i="8"/>
  <c r="AD11" i="8"/>
  <c r="AE174" i="12"/>
  <c r="AD38" i="8"/>
  <c r="AD83" i="8"/>
  <c r="AD177" i="12"/>
  <c r="AD260" i="12" l="1"/>
  <c r="AD261" i="12" s="1"/>
  <c r="AD244" i="12" s="1"/>
  <c r="AD254" i="12" s="1"/>
  <c r="AD255" i="12" s="1"/>
  <c r="AE32" i="8"/>
  <c r="AE10" i="8"/>
  <c r="AD176" i="12"/>
  <c r="AU10" i="5"/>
  <c r="AF10" i="8"/>
  <c r="AG172" i="12"/>
  <c r="AF32" i="8"/>
  <c r="AG173" i="12"/>
  <c r="AD49" i="8"/>
  <c r="AU25" i="5"/>
  <c r="AF174" i="12"/>
  <c r="AE11" i="8"/>
  <c r="AD82" i="8"/>
  <c r="AD178" i="12"/>
  <c r="AD67" i="8"/>
  <c r="AD24" i="8"/>
  <c r="AU15" i="5"/>
  <c r="AF109" i="12"/>
  <c r="AE25" i="8"/>
  <c r="AD180" i="12"/>
  <c r="AE67" i="8" l="1"/>
  <c r="AV10" i="5"/>
  <c r="AE260" i="12"/>
  <c r="AE261" i="12" s="1"/>
  <c r="AE244" i="12" s="1"/>
  <c r="AE254" i="12" s="1"/>
  <c r="AE255" i="12" s="1"/>
  <c r="AE176" i="12"/>
  <c r="AE177" i="12"/>
  <c r="AV20" i="5"/>
  <c r="AE83" i="8"/>
  <c r="AE38" i="8"/>
  <c r="AE81" i="8"/>
  <c r="AE180" i="12"/>
  <c r="AE182" i="12" s="1"/>
  <c r="AD179" i="12"/>
  <c r="AD170" i="12" s="1"/>
  <c r="AE68" i="8"/>
  <c r="AE74" i="8"/>
  <c r="AE69" i="8"/>
  <c r="AE80" i="8"/>
  <c r="AF25" i="8"/>
  <c r="AG109" i="12"/>
  <c r="AG10" i="8"/>
  <c r="AH172" i="12"/>
  <c r="AD68" i="8"/>
  <c r="AD69" i="8"/>
  <c r="AD74" i="8"/>
  <c r="AD80" i="8"/>
  <c r="AD181" i="12"/>
  <c r="AD182" i="12"/>
  <c r="AH173" i="12"/>
  <c r="AG32" i="8"/>
  <c r="AE24" i="8"/>
  <c r="AV15" i="5"/>
  <c r="AF83" i="8"/>
  <c r="AF38" i="8"/>
  <c r="AF177" i="12"/>
  <c r="AW20" i="5"/>
  <c r="AE82" i="8"/>
  <c r="AE178" i="12"/>
  <c r="AF11" i="8"/>
  <c r="AG174" i="12"/>
  <c r="AF81" i="8"/>
  <c r="AW10" i="5"/>
  <c r="AF260" i="12"/>
  <c r="AF261" i="12" s="1"/>
  <c r="AF244" i="12" s="1"/>
  <c r="AF254" i="12" s="1"/>
  <c r="AF176" i="12"/>
  <c r="AU14" i="5"/>
  <c r="AD27" i="8"/>
  <c r="AU24" i="5"/>
  <c r="AU30" i="5"/>
  <c r="AE179" i="12" l="1"/>
  <c r="AF255" i="12"/>
  <c r="AV25" i="5"/>
  <c r="AE49" i="8"/>
  <c r="AE181" i="12"/>
  <c r="AD14" i="7"/>
  <c r="AG38" i="8"/>
  <c r="AG177" i="12"/>
  <c r="AG83" i="8"/>
  <c r="AV24" i="5"/>
  <c r="AV30" i="5"/>
  <c r="AF24" i="8"/>
  <c r="AW15" i="5"/>
  <c r="AF82" i="8"/>
  <c r="AF178" i="12"/>
  <c r="AF179" i="12" s="1"/>
  <c r="AF180" i="12"/>
  <c r="AG25" i="8"/>
  <c r="AH109" i="12"/>
  <c r="AF49" i="8"/>
  <c r="AW25" i="5"/>
  <c r="AU17" i="5"/>
  <c r="AD16" i="7"/>
  <c r="AU38" i="5"/>
  <c r="AE27" i="8"/>
  <c r="AV14" i="5"/>
  <c r="AI172" i="12"/>
  <c r="AH10" i="8"/>
  <c r="AH32" i="8"/>
  <c r="AI173" i="12"/>
  <c r="AG81" i="8"/>
  <c r="AG176" i="12"/>
  <c r="AG260" i="12"/>
  <c r="AG261" i="12" s="1"/>
  <c r="AG244" i="12" s="1"/>
  <c r="AG254" i="12" s="1"/>
  <c r="AG255" i="12" s="1"/>
  <c r="AE14" i="7"/>
  <c r="AE170" i="12"/>
  <c r="AF67" i="8"/>
  <c r="AH174" i="12"/>
  <c r="AG11" i="8"/>
  <c r="AG67" i="8" s="1"/>
  <c r="AG49" i="8" l="1"/>
  <c r="AG178" i="12"/>
  <c r="AG82" i="8"/>
  <c r="AH11" i="8"/>
  <c r="AH180" i="12" s="1"/>
  <c r="AI174" i="12"/>
  <c r="AI32" i="8"/>
  <c r="AJ173" i="12"/>
  <c r="AH38" i="8"/>
  <c r="AH83" i="8"/>
  <c r="AH177" i="12"/>
  <c r="AG24" i="8"/>
  <c r="AF27" i="8"/>
  <c r="AW14" i="5"/>
  <c r="AG179" i="12"/>
  <c r="AH260" i="12"/>
  <c r="AH261" i="12" s="1"/>
  <c r="AH244" i="12" s="1"/>
  <c r="AH254" i="12" s="1"/>
  <c r="AH255" i="12" s="1"/>
  <c r="AH81" i="8"/>
  <c r="AH176" i="12"/>
  <c r="AD20" i="7"/>
  <c r="AD36" i="7"/>
  <c r="AD37" i="7" s="1"/>
  <c r="AF181" i="12"/>
  <c r="AF182" i="12"/>
  <c r="AF68" i="8"/>
  <c r="AF69" i="8"/>
  <c r="AF74" i="8"/>
  <c r="AF80" i="8"/>
  <c r="AF14" i="7"/>
  <c r="AF170" i="12"/>
  <c r="AU16" i="5"/>
  <c r="AG80" i="8"/>
  <c r="AG74" i="8"/>
  <c r="AG68" i="8"/>
  <c r="AG69" i="8"/>
  <c r="AW30" i="5"/>
  <c r="AW24" i="5"/>
  <c r="AE16" i="7"/>
  <c r="AV38" i="5"/>
  <c r="AG180" i="12"/>
  <c r="AV17" i="5"/>
  <c r="AH25" i="8"/>
  <c r="AI109" i="12"/>
  <c r="AJ172" i="12"/>
  <c r="AI10" i="8"/>
  <c r="AJ10" i="8" l="1"/>
  <c r="AK172" i="12"/>
  <c r="AG14" i="7"/>
  <c r="AG16" i="7" s="1"/>
  <c r="AG170" i="12"/>
  <c r="AI11" i="8"/>
  <c r="AI180" i="12" s="1"/>
  <c r="AJ174" i="12"/>
  <c r="AF16" i="7"/>
  <c r="AW38" i="5"/>
  <c r="AD21" i="7"/>
  <c r="AU42" i="5"/>
  <c r="AD55" i="7"/>
  <c r="AD58" i="7" s="1"/>
  <c r="AD62" i="7"/>
  <c r="AD63" i="7" s="1"/>
  <c r="AD64" i="7" s="1"/>
  <c r="AH178" i="12"/>
  <c r="AH179" i="12" s="1"/>
  <c r="AH82" i="8"/>
  <c r="AH67" i="8"/>
  <c r="AG27" i="8"/>
  <c r="AJ32" i="8"/>
  <c r="AK173" i="12"/>
  <c r="AE20" i="7"/>
  <c r="AE36" i="7"/>
  <c r="AE37" i="7" s="1"/>
  <c r="AJ109" i="12"/>
  <c r="AI25" i="8"/>
  <c r="AH49" i="8"/>
  <c r="AH24" i="8"/>
  <c r="AH182" i="12"/>
  <c r="AH181" i="12"/>
  <c r="AW17" i="5"/>
  <c r="AV16" i="5"/>
  <c r="AI81" i="8"/>
  <c r="AI176" i="12"/>
  <c r="AI260" i="12"/>
  <c r="AI261" i="12" s="1"/>
  <c r="AI244" i="12" s="1"/>
  <c r="AI254" i="12" s="1"/>
  <c r="AI255" i="12" s="1"/>
  <c r="AG182" i="12"/>
  <c r="AG181" i="12"/>
  <c r="AI83" i="8"/>
  <c r="AI177" i="12"/>
  <c r="AI38" i="8"/>
  <c r="AH80" i="8" l="1"/>
  <c r="AH68" i="8"/>
  <c r="AH69" i="8"/>
  <c r="AH74" i="8"/>
  <c r="AJ11" i="8"/>
  <c r="AJ67" i="8" s="1"/>
  <c r="AK174" i="12"/>
  <c r="AI82" i="8"/>
  <c r="AI178" i="12"/>
  <c r="AI179" i="12" s="1"/>
  <c r="AW16" i="5"/>
  <c r="AI49" i="8"/>
  <c r="AK10" i="8"/>
  <c r="AL172" i="12"/>
  <c r="AL10" i="8" s="1"/>
  <c r="AH14" i="7"/>
  <c r="AH16" i="7" s="1"/>
  <c r="AH170" i="12"/>
  <c r="AE21" i="7"/>
  <c r="AE62" i="7"/>
  <c r="AE63" i="7" s="1"/>
  <c r="AE64" i="7" s="1"/>
  <c r="AV42" i="5"/>
  <c r="AE55" i="7"/>
  <c r="AK32" i="8"/>
  <c r="AL173" i="12"/>
  <c r="AL32" i="8" s="1"/>
  <c r="AU52" i="5"/>
  <c r="AU43" i="5"/>
  <c r="AJ81" i="8"/>
  <c r="AJ176" i="12"/>
  <c r="AJ260" i="12"/>
  <c r="AJ261" i="12" s="1"/>
  <c r="AJ244" i="12" s="1"/>
  <c r="AJ254" i="12" s="1"/>
  <c r="AJ255" i="12" s="1"/>
  <c r="AH27" i="8"/>
  <c r="AI181" i="12"/>
  <c r="AI182" i="12"/>
  <c r="AD9" i="8"/>
  <c r="AE56" i="7"/>
  <c r="AJ83" i="8"/>
  <c r="AJ177" i="12"/>
  <c r="AJ38" i="8"/>
  <c r="AG20" i="7"/>
  <c r="AG36" i="7"/>
  <c r="AG37" i="7" s="1"/>
  <c r="AI24" i="8"/>
  <c r="AI67" i="8"/>
  <c r="AJ25" i="8"/>
  <c r="AK109" i="12"/>
  <c r="AF20" i="7"/>
  <c r="AF36" i="7"/>
  <c r="AF37" i="7" s="1"/>
  <c r="AJ180" i="12" l="1"/>
  <c r="AJ69" i="8"/>
  <c r="AJ74" i="8"/>
  <c r="AJ80" i="8"/>
  <c r="AJ68" i="8"/>
  <c r="AI170" i="12"/>
  <c r="AI14" i="7"/>
  <c r="AI16" i="7" s="1"/>
  <c r="AJ181" i="12"/>
  <c r="AJ182" i="12"/>
  <c r="AK11" i="8"/>
  <c r="AK67" i="8" s="1"/>
  <c r="AL174" i="12"/>
  <c r="AL11" i="8" s="1"/>
  <c r="AL180" i="12" s="1"/>
  <c r="AL38" i="8"/>
  <c r="AL83" i="8"/>
  <c r="AL177" i="12"/>
  <c r="AK38" i="8"/>
  <c r="AK83" i="8"/>
  <c r="AK177" i="12"/>
  <c r="AJ24" i="8"/>
  <c r="AJ49" i="8"/>
  <c r="AI27" i="8"/>
  <c r="AE58" i="7"/>
  <c r="AD70" i="8"/>
  <c r="AU9" i="5"/>
  <c r="AD15" i="8"/>
  <c r="AD136" i="12"/>
  <c r="AY29" i="15"/>
  <c r="AV52" i="5"/>
  <c r="AV43" i="5"/>
  <c r="AL176" i="12"/>
  <c r="AL81" i="8"/>
  <c r="AL260" i="12"/>
  <c r="AL261" i="12" s="1"/>
  <c r="AL244" i="12" s="1"/>
  <c r="AL254" i="12" s="1"/>
  <c r="AI80" i="8"/>
  <c r="AI69" i="8"/>
  <c r="AI74" i="8"/>
  <c r="AI68" i="8"/>
  <c r="AJ82" i="8"/>
  <c r="AJ178" i="12"/>
  <c r="AJ179" i="12" s="1"/>
  <c r="AH20" i="7"/>
  <c r="AH36" i="7"/>
  <c r="AH37" i="7" s="1"/>
  <c r="AF62" i="7"/>
  <c r="AF63" i="7" s="1"/>
  <c r="AF64" i="7" s="1"/>
  <c r="AF55" i="7"/>
  <c r="AW42" i="5"/>
  <c r="AF21" i="7"/>
  <c r="AL109" i="12"/>
  <c r="AL25" i="8" s="1"/>
  <c r="AK25" i="8"/>
  <c r="AG55" i="7"/>
  <c r="AG62" i="7"/>
  <c r="AG63" i="7" s="1"/>
  <c r="AG21" i="7"/>
  <c r="AK176" i="12"/>
  <c r="AK260" i="12"/>
  <c r="AK261" i="12" s="1"/>
  <c r="AK244" i="12" s="1"/>
  <c r="AK254" i="12" s="1"/>
  <c r="AK255" i="12" s="1"/>
  <c r="AK81" i="8"/>
  <c r="AG64" i="7" l="1"/>
  <c r="AK180" i="12"/>
  <c r="AL67" i="8"/>
  <c r="AL68" i="8" s="1"/>
  <c r="AJ14" i="7"/>
  <c r="AJ16" i="7" s="1"/>
  <c r="AJ170" i="12"/>
  <c r="AD71" i="8"/>
  <c r="AD91" i="8"/>
  <c r="AD92" i="8" s="1"/>
  <c r="AD128" i="6"/>
  <c r="AD129" i="6" s="1"/>
  <c r="AU56" i="5"/>
  <c r="AD87" i="8"/>
  <c r="AD29" i="8"/>
  <c r="AU12" i="5"/>
  <c r="AL255" i="12"/>
  <c r="BX29" i="15"/>
  <c r="BX30" i="15" s="1"/>
  <c r="BX33" i="15" s="1"/>
  <c r="H30" i="9" s="1"/>
  <c r="AY30" i="15"/>
  <c r="BX40" i="15"/>
  <c r="AI36" i="7"/>
  <c r="AI37" i="7" s="1"/>
  <c r="AI20" i="7"/>
  <c r="AE9" i="8"/>
  <c r="AF56" i="7"/>
  <c r="AF58" i="7" s="1"/>
  <c r="AL82" i="8"/>
  <c r="AL178" i="12"/>
  <c r="AL179" i="12" s="1"/>
  <c r="AL69" i="8"/>
  <c r="AL74" i="8"/>
  <c r="AK82" i="8"/>
  <c r="AK178" i="12"/>
  <c r="AK179" i="12" s="1"/>
  <c r="AL182" i="12"/>
  <c r="AL181" i="12"/>
  <c r="AW43" i="5"/>
  <c r="AW52" i="5"/>
  <c r="AL49" i="8"/>
  <c r="AK182" i="12"/>
  <c r="AK181" i="12"/>
  <c r="AK24" i="8"/>
  <c r="AH55" i="7"/>
  <c r="AH62" i="7"/>
  <c r="AH63" i="7" s="1"/>
  <c r="AH64" i="7" s="1"/>
  <c r="AH21" i="7"/>
  <c r="AK49" i="8"/>
  <c r="AK69" i="8"/>
  <c r="AK74" i="8"/>
  <c r="AK68" i="8"/>
  <c r="AK80" i="8"/>
  <c r="AL24" i="8"/>
  <c r="AD137" i="12"/>
  <c r="AD138" i="12"/>
  <c r="AJ27" i="8"/>
  <c r="AL80" i="8" l="1"/>
  <c r="AK170" i="12"/>
  <c r="AK14" i="7"/>
  <c r="AK16" i="7" s="1"/>
  <c r="AF9" i="8"/>
  <c r="AG56" i="7"/>
  <c r="AG58" i="7" s="1"/>
  <c r="AI21" i="7"/>
  <c r="AI55" i="7"/>
  <c r="AI62" i="7"/>
  <c r="AI63" i="7" s="1"/>
  <c r="AI64" i="7" s="1"/>
  <c r="AU57" i="5"/>
  <c r="AD130" i="6"/>
  <c r="AD131" i="6"/>
  <c r="AD132" i="6"/>
  <c r="AD78" i="8"/>
  <c r="AD72" i="8"/>
  <c r="AU59" i="5" s="1"/>
  <c r="AU60" i="5" s="1"/>
  <c r="AD51" i="8"/>
  <c r="AL27" i="8"/>
  <c r="AK27" i="8"/>
  <c r="AE15" i="8"/>
  <c r="AE70" i="8"/>
  <c r="AV9" i="5"/>
  <c r="AE136" i="12"/>
  <c r="AZ29" i="15"/>
  <c r="AU11" i="5"/>
  <c r="AU18" i="5"/>
  <c r="AD139" i="12"/>
  <c r="BX41" i="15"/>
  <c r="AL170" i="12"/>
  <c r="AL14" i="7"/>
  <c r="AL16" i="7" s="1"/>
  <c r="AJ36" i="7"/>
  <c r="AJ37" i="7" s="1"/>
  <c r="AJ20" i="7"/>
  <c r="AH56" i="7" l="1"/>
  <c r="AH58" i="7" s="1"/>
  <c r="AG9" i="8"/>
  <c r="BX43" i="15"/>
  <c r="BX46" i="15"/>
  <c r="BX49" i="15"/>
  <c r="AE87" i="8"/>
  <c r="AE91" i="8"/>
  <c r="AE92" i="8" s="1"/>
  <c r="AV56" i="5"/>
  <c r="AE71" i="8"/>
  <c r="AE128" i="6"/>
  <c r="AE129" i="6" s="1"/>
  <c r="AF70" i="8"/>
  <c r="AF15" i="8"/>
  <c r="AF136" i="12"/>
  <c r="AF137" i="12" s="1"/>
  <c r="AW9" i="5"/>
  <c r="BA29" i="15"/>
  <c r="AJ55" i="7"/>
  <c r="AJ21" i="7"/>
  <c r="AJ62" i="7"/>
  <c r="AJ63" i="7" s="1"/>
  <c r="AJ64" i="7" s="1"/>
  <c r="BY29" i="15"/>
  <c r="BY30" i="15" s="1"/>
  <c r="BY33" i="15" s="1"/>
  <c r="AZ30" i="15"/>
  <c r="BY40" i="15"/>
  <c r="BY41" i="15" s="1"/>
  <c r="AE29" i="8"/>
  <c r="AV12" i="5"/>
  <c r="AE138" i="12"/>
  <c r="AE137" i="12"/>
  <c r="AK20" i="7"/>
  <c r="AK36" i="7"/>
  <c r="AK37" i="7" s="1"/>
  <c r="AL20" i="7"/>
  <c r="AL36" i="7"/>
  <c r="AL37" i="7" s="1"/>
  <c r="AD73" i="8"/>
  <c r="AD75" i="8" s="1"/>
  <c r="AD77" i="8"/>
  <c r="AD62" i="8"/>
  <c r="AD76" i="8"/>
  <c r="AU32" i="5"/>
  <c r="AU33" i="5" s="1"/>
  <c r="AU58" i="5" s="1"/>
  <c r="AV57" i="5" l="1"/>
  <c r="AG15" i="8"/>
  <c r="AG136" i="12"/>
  <c r="AG137" i="12" s="1"/>
  <c r="AG70" i="8"/>
  <c r="AE139" i="12"/>
  <c r="AF138" i="12"/>
  <c r="AL21" i="7"/>
  <c r="AL55" i="7"/>
  <c r="AL62" i="7"/>
  <c r="AL63" i="7" s="1"/>
  <c r="AF91" i="8"/>
  <c r="AF92" i="8" s="1"/>
  <c r="AW56" i="5"/>
  <c r="AF128" i="6"/>
  <c r="AF129" i="6" s="1"/>
  <c r="AF87" i="8"/>
  <c r="AF71" i="8"/>
  <c r="BZ29" i="15"/>
  <c r="BZ30" i="15" s="1"/>
  <c r="BZ33" i="15" s="1"/>
  <c r="BA30" i="15"/>
  <c r="BZ40" i="15"/>
  <c r="BZ41" i="15" s="1"/>
  <c r="AF139" i="12"/>
  <c r="AH9" i="8"/>
  <c r="AI56" i="7"/>
  <c r="AI58" i="7" s="1"/>
  <c r="AV11" i="5"/>
  <c r="AV18" i="5"/>
  <c r="AF29" i="8"/>
  <c r="AF78" i="8" s="1"/>
  <c r="AW12" i="5"/>
  <c r="AK21" i="7"/>
  <c r="AK55" i="7"/>
  <c r="AK62" i="7"/>
  <c r="AK63" i="7" s="1"/>
  <c r="AK64" i="7" s="1"/>
  <c r="AE51" i="8"/>
  <c r="AE72" i="8"/>
  <c r="AV59" i="5" s="1"/>
  <c r="AV60" i="5" s="1"/>
  <c r="AE78" i="8"/>
  <c r="BY49" i="15"/>
  <c r="BY43" i="15"/>
  <c r="BY46" i="15"/>
  <c r="AE130" i="6"/>
  <c r="AE132" i="6"/>
  <c r="AE131" i="6"/>
  <c r="AJ56" i="7" l="1"/>
  <c r="AJ58" i="7" s="1"/>
  <c r="AI9" i="8"/>
  <c r="AW11" i="5"/>
  <c r="AW18" i="5"/>
  <c r="AH15" i="8"/>
  <c r="AH70" i="8"/>
  <c r="AH136" i="12"/>
  <c r="BZ49" i="15"/>
  <c r="BZ43" i="15"/>
  <c r="BZ46" i="15"/>
  <c r="AL64" i="7"/>
  <c r="AF72" i="8"/>
  <c r="AW59" i="5" s="1"/>
  <c r="AW60" i="5" s="1"/>
  <c r="AF51" i="8"/>
  <c r="AG138" i="12"/>
  <c r="AG71" i="8"/>
  <c r="AG91" i="8"/>
  <c r="AG92" i="8" s="1"/>
  <c r="AG87" i="8"/>
  <c r="AG128" i="6"/>
  <c r="AG129" i="6" s="1"/>
  <c r="AE73" i="8"/>
  <c r="AE75" i="8" s="1"/>
  <c r="AE77" i="8"/>
  <c r="AE76" i="8"/>
  <c r="AE62" i="8"/>
  <c r="AV32" i="5"/>
  <c r="AV33" i="5" s="1"/>
  <c r="AV58" i="5" s="1"/>
  <c r="AG29" i="8"/>
  <c r="AG139" i="12"/>
  <c r="AF132" i="6"/>
  <c r="AF131" i="6"/>
  <c r="AF130" i="6"/>
  <c r="AW57" i="5"/>
  <c r="AH71" i="8" l="1"/>
  <c r="AH91" i="8"/>
  <c r="AH92" i="8" s="1"/>
  <c r="AH87" i="8"/>
  <c r="AH128" i="6"/>
  <c r="AH129" i="6" s="1"/>
  <c r="AG131" i="6"/>
  <c r="AG130" i="6"/>
  <c r="AG132" i="6"/>
  <c r="AH138" i="12"/>
  <c r="AH29" i="8"/>
  <c r="AH78" i="8" s="1"/>
  <c r="AG72" i="8"/>
  <c r="AG51" i="8"/>
  <c r="AG78" i="8"/>
  <c r="AF76" i="8"/>
  <c r="AF73" i="8"/>
  <c r="AF75" i="8" s="1"/>
  <c r="AF77" i="8"/>
  <c r="AW32" i="5"/>
  <c r="AW33" i="5" s="1"/>
  <c r="AW58" i="5" s="1"/>
  <c r="AF62" i="8"/>
  <c r="AI15" i="8"/>
  <c r="AI70" i="8"/>
  <c r="AI136" i="12"/>
  <c r="AH137" i="12"/>
  <c r="AJ9" i="8"/>
  <c r="AK56" i="7"/>
  <c r="AK58" i="7" s="1"/>
  <c r="AK9" i="8" l="1"/>
  <c r="AL56" i="7"/>
  <c r="AL58" i="7" s="1"/>
  <c r="AL9" i="8" s="1"/>
  <c r="AI138" i="12"/>
  <c r="AJ15" i="8"/>
  <c r="AJ70" i="8"/>
  <c r="AJ136" i="12"/>
  <c r="AI87" i="8"/>
  <c r="AI71" i="8"/>
  <c r="AI91" i="8"/>
  <c r="AI92" i="8" s="1"/>
  <c r="AI128" i="6"/>
  <c r="AI129" i="6" s="1"/>
  <c r="AI29" i="8"/>
  <c r="AH139" i="12"/>
  <c r="AH130" i="6"/>
  <c r="AH132" i="6"/>
  <c r="AH131" i="6"/>
  <c r="AG76" i="8"/>
  <c r="AG62" i="8"/>
  <c r="AG73" i="8"/>
  <c r="AG75" i="8" s="1"/>
  <c r="AG77" i="8"/>
  <c r="AH72" i="8"/>
  <c r="AH51" i="8"/>
  <c r="AI137" i="12"/>
  <c r="AI131" i="6" l="1"/>
  <c r="AI130" i="6"/>
  <c r="AI132" i="6"/>
  <c r="AJ138" i="12"/>
  <c r="AI139" i="12"/>
  <c r="AJ29" i="8"/>
  <c r="AJ78" i="8" s="1"/>
  <c r="AI51" i="8"/>
  <c r="AI72" i="8"/>
  <c r="AJ87" i="8"/>
  <c r="AJ71" i="8"/>
  <c r="AJ91" i="8"/>
  <c r="AJ92" i="8" s="1"/>
  <c r="AJ128" i="6"/>
  <c r="AJ129" i="6" s="1"/>
  <c r="AJ137" i="12"/>
  <c r="AI78" i="8"/>
  <c r="AL136" i="12"/>
  <c r="AL138" i="12" s="1"/>
  <c r="AL15" i="8"/>
  <c r="AL70" i="8"/>
  <c r="AH62" i="8"/>
  <c r="AH76" i="8"/>
  <c r="AH73" i="8"/>
  <c r="AH75" i="8" s="1"/>
  <c r="AH77" i="8"/>
  <c r="AK15" i="8"/>
  <c r="AK70" i="8"/>
  <c r="AK136" i="12"/>
  <c r="AJ139" i="12" l="1"/>
  <c r="AL71" i="8"/>
  <c r="AL91" i="8"/>
  <c r="AL92" i="8" s="1"/>
  <c r="AL87" i="8"/>
  <c r="AL128" i="6"/>
  <c r="AL129" i="6" s="1"/>
  <c r="AI62" i="8"/>
  <c r="AI76" i="8"/>
  <c r="AI73" i="8"/>
  <c r="AI75" i="8" s="1"/>
  <c r="AI77" i="8"/>
  <c r="AK87" i="8"/>
  <c r="AK91" i="8"/>
  <c r="AK92" i="8" s="1"/>
  <c r="AK71" i="8"/>
  <c r="AK128" i="6"/>
  <c r="AK129" i="6" s="1"/>
  <c r="AL29" i="8"/>
  <c r="AL137" i="12"/>
  <c r="AL139" i="12" s="1"/>
  <c r="AK138" i="12"/>
  <c r="AK29" i="8"/>
  <c r="AK137" i="12"/>
  <c r="AJ132" i="6"/>
  <c r="AJ131" i="6"/>
  <c r="AJ130" i="6"/>
  <c r="AJ51" i="8"/>
  <c r="AJ72" i="8"/>
  <c r="AK139" i="12" l="1"/>
  <c r="AL130" i="6"/>
  <c r="AL132" i="6"/>
  <c r="AL131" i="6"/>
  <c r="AK51" i="8"/>
  <c r="AL78" i="8"/>
  <c r="AK72" i="8"/>
  <c r="AK78" i="8"/>
  <c r="AJ62" i="8"/>
  <c r="AJ76" i="8"/>
  <c r="AJ73" i="8"/>
  <c r="AJ75" i="8" s="1"/>
  <c r="AJ77" i="8"/>
  <c r="AL51" i="8"/>
  <c r="AL72" i="8"/>
  <c r="AK131" i="6"/>
  <c r="AK132" i="6"/>
  <c r="AK130" i="6"/>
  <c r="AK73" i="8" l="1"/>
  <c r="AK75" i="8" s="1"/>
  <c r="AK77" i="8"/>
  <c r="AK76" i="8"/>
  <c r="AK62" i="8"/>
  <c r="AL73" i="8"/>
  <c r="AL75" i="8" s="1"/>
  <c r="AL77" i="8"/>
  <c r="AL62" i="8"/>
  <c r="AL76" i="8"/>
  <c r="AG1977" i="4" l="1"/>
  <c r="AI1977" i="4"/>
  <c r="AJ1977" i="4"/>
  <c r="AK1977" i="4"/>
  <c r="AL1977" i="4"/>
  <c r="AM1977" i="4"/>
  <c r="AN1977" i="4"/>
  <c r="AO1977" i="4"/>
  <c r="AP1977" i="4"/>
  <c r="AQ1977" i="4"/>
  <c r="AR1977" i="4"/>
  <c r="AS1977" i="4"/>
  <c r="AG1978" i="4"/>
  <c r="AI1978" i="4"/>
  <c r="AJ1978" i="4"/>
  <c r="AK1978" i="4"/>
  <c r="AL1978" i="4"/>
  <c r="AM1978" i="4"/>
  <c r="AN1978" i="4"/>
  <c r="AO1978" i="4"/>
  <c r="AP1978" i="4"/>
  <c r="AQ1978" i="4"/>
  <c r="AR1978" i="4"/>
  <c r="AS1978" i="4"/>
  <c r="AG1979" i="4"/>
  <c r="AI1979" i="4"/>
  <c r="AJ1979" i="4"/>
  <c r="AK1979" i="4"/>
  <c r="AL1979" i="4"/>
  <c r="AM1979" i="4"/>
  <c r="AN1979" i="4"/>
  <c r="AO1979" i="4"/>
  <c r="AP1979" i="4"/>
  <c r="AQ1979" i="4"/>
  <c r="AR1979" i="4"/>
  <c r="AS1979" i="4"/>
  <c r="AK1980" i="4"/>
  <c r="AL1980" i="4"/>
  <c r="AM1980" i="4"/>
  <c r="AN1980" i="4"/>
  <c r="AO1980" i="4"/>
  <c r="AP1980" i="4"/>
  <c r="AQ1980" i="4"/>
  <c r="AR1980" i="4"/>
  <c r="AS1980" i="4"/>
  <c r="AG1983" i="4"/>
  <c r="AH1983" i="4"/>
  <c r="AI1983" i="4"/>
  <c r="AG1984" i="4"/>
  <c r="AH1984" i="4"/>
  <c r="AI1984" i="4"/>
  <c r="AG1985" i="4"/>
  <c r="AH1985" i="4"/>
  <c r="AI1985" i="4"/>
  <c r="AK1986" i="4"/>
  <c r="AL1986" i="4"/>
  <c r="AM1986" i="4"/>
  <c r="AN1986" i="4"/>
  <c r="AO1986" i="4"/>
  <c r="AP1986" i="4"/>
  <c r="AQ1986" i="4"/>
  <c r="AR1986" i="4"/>
  <c r="AS1986"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Boulus, Chris (Research)</author>
  </authors>
  <commentList>
    <comment ref="V30" authorId="0" shapeId="0" xr:uid="{770CFE24-9575-4280-9D6C-1E8BADD41473}">
      <text>
        <r>
          <rPr>
            <b/>
            <sz val="9"/>
            <color indexed="81"/>
            <rFont val="Tahoma"/>
            <family val="2"/>
          </rPr>
          <t>Boulus, Chris (Research):</t>
        </r>
        <r>
          <rPr>
            <sz val="9"/>
            <color indexed="81"/>
            <rFont val="Tahoma"/>
            <family val="2"/>
          </rPr>
          <t xml:space="preserve">
guides $8.5-8.7</t>
        </r>
      </text>
    </comment>
    <comment ref="W34" authorId="0" shapeId="0" xr:uid="{A2066ACD-EBEA-48AD-A21D-EA945F273F19}">
      <text>
        <r>
          <rPr>
            <b/>
            <sz val="9"/>
            <color indexed="81"/>
            <rFont val="Tahoma"/>
            <family val="2"/>
          </rPr>
          <t>Boulus, Chris (Research):</t>
        </r>
        <r>
          <rPr>
            <sz val="9"/>
            <color indexed="81"/>
            <rFont val="Tahoma"/>
            <family val="2"/>
          </rPr>
          <t xml:space="preserve">
guides 8.2 to 8.4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Boulus, Chris (Research)</author>
    <author>goodrmar</author>
    <author>Tan, Raymond (Research)</author>
    <author>gohkin</author>
    <author>Lansky, Elise (Research)</author>
    <author>Goodridge, Mark (Research)</author>
    <author>Michael, Joseph (Research)</author>
    <author>mcleod</author>
    <author>Andrew McLeod</author>
    <author>bholgate</author>
    <author>mcleoda</author>
  </authors>
  <commentList>
    <comment ref="AK62" authorId="0" shapeId="0" xr:uid="{8D444B32-6E5C-49AD-B5B4-0143F5B9FA8B}">
      <text>
        <r>
          <rPr>
            <b/>
            <sz val="9"/>
            <color indexed="81"/>
            <rFont val="Tahoma"/>
            <family val="2"/>
          </rPr>
          <t>Boulus, Chris (Research):</t>
        </r>
        <r>
          <rPr>
            <sz val="9"/>
            <color indexed="81"/>
            <rFont val="Tahoma"/>
            <family val="2"/>
          </rPr>
          <t xml:space="preserve">
expected to deliver $200m EBITDA contribution from FY26 - assumes high margin hence revenue of $300m</t>
        </r>
      </text>
    </comment>
    <comment ref="W131" authorId="1" shapeId="0" xr:uid="{00000000-0006-0000-0200-000003000000}">
      <text>
        <r>
          <rPr>
            <b/>
            <sz val="8"/>
            <color indexed="81"/>
            <rFont val="Tahoma"/>
            <family val="2"/>
          </rPr>
          <t>goodrmar:</t>
        </r>
        <r>
          <rPr>
            <sz val="8"/>
            <color indexed="81"/>
            <rFont val="Tahoma"/>
            <family val="2"/>
          </rPr>
          <t xml:space="preserve">
1h12 6.4k 11.7% growth</t>
        </r>
      </text>
    </comment>
    <comment ref="X131" authorId="1" shapeId="0" xr:uid="{00000000-0006-0000-0200-000004000000}">
      <text>
        <r>
          <rPr>
            <b/>
            <sz val="8"/>
            <color indexed="81"/>
            <rFont val="Tahoma"/>
            <family val="2"/>
          </rPr>
          <t>goodrmar:</t>
        </r>
        <r>
          <rPr>
            <sz val="8"/>
            <color indexed="81"/>
            <rFont val="Tahoma"/>
            <family val="2"/>
          </rPr>
          <t xml:space="preserve">
6861k 1H13
</t>
        </r>
      </text>
    </comment>
    <comment ref="Y131" authorId="1" shapeId="0" xr:uid="{00000000-0006-0000-0200-000005000000}">
      <text>
        <r>
          <rPr>
            <b/>
            <sz val="8"/>
            <color indexed="81"/>
            <rFont val="Tahoma"/>
            <family val="2"/>
          </rPr>
          <t>goodrmar:</t>
        </r>
        <r>
          <rPr>
            <sz val="8"/>
            <color indexed="81"/>
            <rFont val="Tahoma"/>
            <family val="2"/>
          </rPr>
          <t xml:space="preserve">
1H14 7.122m
</t>
        </r>
      </text>
    </comment>
    <comment ref="AC140" authorId="2" shapeId="0" xr:uid="{00000000-0006-0000-0200-000006000000}">
      <text>
        <r>
          <rPr>
            <b/>
            <sz val="9"/>
            <color indexed="81"/>
            <rFont val="Tahoma"/>
            <family val="2"/>
          </rPr>
          <t>Tan, Raymond (Research):</t>
        </r>
        <r>
          <rPr>
            <sz val="9"/>
            <color indexed="81"/>
            <rFont val="Tahoma"/>
            <family val="2"/>
          </rPr>
          <t xml:space="preserve">
Restated</t>
        </r>
      </text>
    </comment>
    <comment ref="AD140" authorId="2" shapeId="0" xr:uid="{00000000-0006-0000-0200-000007000000}">
      <text>
        <r>
          <rPr>
            <b/>
            <sz val="9"/>
            <color indexed="81"/>
            <rFont val="Tahoma"/>
            <family val="2"/>
          </rPr>
          <t>Tan, Raymond (Research):</t>
        </r>
        <r>
          <rPr>
            <sz val="9"/>
            <color indexed="81"/>
            <rFont val="Tahoma"/>
            <family val="2"/>
          </rPr>
          <t xml:space="preserve">
Restated</t>
        </r>
      </text>
    </comment>
    <comment ref="AE140" authorId="2" shapeId="0" xr:uid="{00000000-0006-0000-0200-000008000000}">
      <text>
        <r>
          <rPr>
            <b/>
            <sz val="9"/>
            <color indexed="81"/>
            <rFont val="Tahoma"/>
            <family val="2"/>
          </rPr>
          <t>Tan, Raymond (Research):</t>
        </r>
        <r>
          <rPr>
            <sz val="9"/>
            <color indexed="81"/>
            <rFont val="Tahoma"/>
            <family val="2"/>
          </rPr>
          <t xml:space="preserve">
Restated</t>
        </r>
      </text>
    </comment>
    <comment ref="W145" authorId="1" shapeId="0" xr:uid="{00000000-0006-0000-0200-000009000000}">
      <text>
        <r>
          <rPr>
            <b/>
            <sz val="8"/>
            <color indexed="81"/>
            <rFont val="Tahoma"/>
            <family val="2"/>
          </rPr>
          <t>goodrmar:</t>
        </r>
        <r>
          <rPr>
            <sz val="8"/>
            <color indexed="81"/>
            <rFont val="Tahoma"/>
            <family val="2"/>
          </rPr>
          <t xml:space="preserve">
1H12 1.988k subs at 2.6% growth</t>
        </r>
      </text>
    </comment>
    <comment ref="X145" authorId="1" shapeId="0" xr:uid="{00000000-0006-0000-0200-00000A000000}">
      <text>
        <r>
          <rPr>
            <b/>
            <sz val="8"/>
            <color indexed="81"/>
            <rFont val="Tahoma"/>
            <family val="2"/>
          </rPr>
          <t>goodrmar:</t>
        </r>
        <r>
          <rPr>
            <sz val="8"/>
            <color indexed="81"/>
            <rFont val="Tahoma"/>
            <family val="2"/>
          </rPr>
          <t xml:space="preserve">
2102k at 1H13</t>
        </r>
      </text>
    </comment>
    <comment ref="Y145" authorId="1" shapeId="0" xr:uid="{00000000-0006-0000-0200-00000B000000}">
      <text>
        <r>
          <rPr>
            <b/>
            <sz val="8"/>
            <color indexed="81"/>
            <rFont val="Tahoma"/>
            <family val="2"/>
          </rPr>
          <t>goodrmar:</t>
        </r>
        <r>
          <rPr>
            <sz val="8"/>
            <color indexed="81"/>
            <rFont val="Tahoma"/>
            <family val="2"/>
          </rPr>
          <t xml:space="preserve">
</t>
        </r>
      </text>
    </comment>
    <comment ref="AC154" authorId="2" shapeId="0" xr:uid="{00000000-0006-0000-0200-00000C000000}">
      <text>
        <r>
          <rPr>
            <b/>
            <sz val="9"/>
            <color indexed="81"/>
            <rFont val="Tahoma"/>
            <family val="2"/>
          </rPr>
          <t>Tan, Raymond (Research):</t>
        </r>
        <r>
          <rPr>
            <sz val="9"/>
            <color indexed="81"/>
            <rFont val="Tahoma"/>
            <family val="2"/>
          </rPr>
          <t xml:space="preserve">
Restated</t>
        </r>
      </text>
    </comment>
    <comment ref="AD154" authorId="2" shapeId="0" xr:uid="{00000000-0006-0000-0200-00000D000000}">
      <text>
        <r>
          <rPr>
            <b/>
            <sz val="9"/>
            <color indexed="81"/>
            <rFont val="Tahoma"/>
            <family val="2"/>
          </rPr>
          <t>Tan, Raymond (Research):</t>
        </r>
        <r>
          <rPr>
            <sz val="9"/>
            <color indexed="81"/>
            <rFont val="Tahoma"/>
            <family val="2"/>
          </rPr>
          <t xml:space="preserve">
Restated</t>
        </r>
      </text>
    </comment>
    <comment ref="AE154" authorId="2" shapeId="0" xr:uid="{00000000-0006-0000-0200-00000E000000}">
      <text>
        <r>
          <rPr>
            <b/>
            <sz val="9"/>
            <color indexed="81"/>
            <rFont val="Tahoma"/>
            <family val="2"/>
          </rPr>
          <t>Tan, Raymond (Research):</t>
        </r>
        <r>
          <rPr>
            <sz val="9"/>
            <color indexed="81"/>
            <rFont val="Tahoma"/>
            <family val="2"/>
          </rPr>
          <t xml:space="preserve">
Restated</t>
        </r>
      </text>
    </comment>
    <comment ref="W159" authorId="1" shapeId="0" xr:uid="{00000000-0006-0000-0200-00000F000000}">
      <text>
        <r>
          <rPr>
            <b/>
            <sz val="8"/>
            <color indexed="81"/>
            <rFont val="Tahoma"/>
            <family val="2"/>
          </rPr>
          <t>goodrmar:</t>
        </r>
        <r>
          <rPr>
            <sz val="8"/>
            <color indexed="81"/>
            <rFont val="Tahoma"/>
            <family val="2"/>
          </rPr>
          <t xml:space="preserve">
2.746+(.744*50%) at 1H12 … 37% growth</t>
        </r>
      </text>
    </comment>
    <comment ref="X159" authorId="1" shapeId="0" xr:uid="{00000000-0006-0000-0200-000010000000}">
      <text>
        <r>
          <rPr>
            <b/>
            <sz val="8"/>
            <color indexed="81"/>
            <rFont val="Tahoma"/>
            <family val="2"/>
          </rPr>
          <t>goodrmar:</t>
        </r>
        <r>
          <rPr>
            <sz val="8"/>
            <color indexed="81"/>
            <rFont val="Tahoma"/>
            <family val="2"/>
          </rPr>
          <t xml:space="preserve">
3336k at 1H13</t>
        </r>
      </text>
    </comment>
    <comment ref="Y159" authorId="1" shapeId="0" xr:uid="{00000000-0006-0000-0200-000011000000}">
      <text>
        <r>
          <rPr>
            <b/>
            <sz val="8"/>
            <color indexed="81"/>
            <rFont val="Tahoma"/>
            <family val="2"/>
          </rPr>
          <t>goodrmar:</t>
        </r>
        <r>
          <rPr>
            <sz val="8"/>
            <color indexed="81"/>
            <rFont val="Tahoma"/>
            <family val="2"/>
          </rPr>
          <t xml:space="preserve">
1H14 3.672m</t>
        </r>
      </text>
    </comment>
    <comment ref="L168" authorId="1" shapeId="0" xr:uid="{00000000-0006-0000-0200-000012000000}">
      <text>
        <r>
          <rPr>
            <b/>
            <sz val="8"/>
            <color indexed="81"/>
            <rFont val="Tahoma"/>
            <family val="2"/>
          </rPr>
          <t>goodrmar:</t>
        </r>
        <r>
          <rPr>
            <sz val="8"/>
            <color indexed="81"/>
            <rFont val="Tahoma"/>
            <family val="2"/>
          </rPr>
          <t xml:space="preserve">
other</t>
        </r>
      </text>
    </comment>
    <comment ref="M168" authorId="1" shapeId="0" xr:uid="{00000000-0006-0000-0200-000013000000}">
      <text>
        <r>
          <rPr>
            <b/>
            <sz val="8"/>
            <color indexed="81"/>
            <rFont val="Tahoma"/>
            <family val="2"/>
          </rPr>
          <t>goodrmar:</t>
        </r>
        <r>
          <rPr>
            <sz val="8"/>
            <color indexed="81"/>
            <rFont val="Tahoma"/>
            <family val="2"/>
          </rPr>
          <t xml:space="preserve">
other</t>
        </r>
      </text>
    </comment>
    <comment ref="N168" authorId="1" shapeId="0" xr:uid="{00000000-0006-0000-0200-000014000000}">
      <text>
        <r>
          <rPr>
            <b/>
            <sz val="8"/>
            <color indexed="81"/>
            <rFont val="Tahoma"/>
            <family val="2"/>
          </rPr>
          <t>goodrmar:</t>
        </r>
        <r>
          <rPr>
            <sz val="8"/>
            <color indexed="81"/>
            <rFont val="Tahoma"/>
            <family val="2"/>
          </rPr>
          <t xml:space="preserve">
Other</t>
        </r>
      </text>
    </comment>
    <comment ref="O168" authorId="1" shapeId="0" xr:uid="{00000000-0006-0000-0200-000015000000}">
      <text>
        <r>
          <rPr>
            <b/>
            <sz val="8"/>
            <color indexed="81"/>
            <rFont val="Tahoma"/>
            <family val="2"/>
          </rPr>
          <t>goodrmar:</t>
        </r>
        <r>
          <rPr>
            <sz val="8"/>
            <color indexed="81"/>
            <rFont val="Tahoma"/>
            <family val="2"/>
          </rPr>
          <t xml:space="preserve">
other</t>
        </r>
      </text>
    </comment>
    <comment ref="AC168" authorId="2" shapeId="0" xr:uid="{00000000-0006-0000-0200-000016000000}">
      <text>
        <r>
          <rPr>
            <b/>
            <sz val="9"/>
            <color indexed="81"/>
            <rFont val="Tahoma"/>
            <family val="2"/>
          </rPr>
          <t>Tan, Raymond (Research):</t>
        </r>
        <r>
          <rPr>
            <sz val="9"/>
            <color indexed="81"/>
            <rFont val="Tahoma"/>
            <family val="2"/>
          </rPr>
          <t xml:space="preserve">
Restated</t>
        </r>
      </text>
    </comment>
    <comment ref="AD168" authorId="2" shapeId="0" xr:uid="{00000000-0006-0000-0200-000017000000}">
      <text>
        <r>
          <rPr>
            <b/>
            <sz val="9"/>
            <color indexed="81"/>
            <rFont val="Tahoma"/>
            <family val="2"/>
          </rPr>
          <t>Tan, Raymond (Research):</t>
        </r>
        <r>
          <rPr>
            <sz val="9"/>
            <color indexed="81"/>
            <rFont val="Tahoma"/>
            <family val="2"/>
          </rPr>
          <t xml:space="preserve">
Restated</t>
        </r>
      </text>
    </comment>
    <comment ref="AE168" authorId="2" shapeId="0" xr:uid="{00000000-0006-0000-0200-000018000000}">
      <text>
        <r>
          <rPr>
            <b/>
            <sz val="9"/>
            <color indexed="81"/>
            <rFont val="Tahoma"/>
            <family val="2"/>
          </rPr>
          <t>Tan, Raymond (Research):</t>
        </r>
        <r>
          <rPr>
            <sz val="9"/>
            <color indexed="81"/>
            <rFont val="Tahoma"/>
            <family val="2"/>
          </rPr>
          <t xml:space="preserve">
Restated</t>
        </r>
      </text>
    </comment>
    <comment ref="Y173" authorId="1" shapeId="0" xr:uid="{00000000-0006-0000-0200-000019000000}">
      <text>
        <r>
          <rPr>
            <b/>
            <sz val="8"/>
            <color indexed="81"/>
            <rFont val="Tahoma"/>
            <family val="2"/>
          </rPr>
          <t>goodrmar:</t>
        </r>
        <r>
          <rPr>
            <sz val="8"/>
            <color indexed="81"/>
            <rFont val="Tahoma"/>
            <family val="2"/>
          </rPr>
          <t xml:space="preserve">
1H14 1.086m</t>
        </r>
      </text>
    </comment>
    <comment ref="AF174" authorId="2" shapeId="0" xr:uid="{00000000-0006-0000-0200-00001A000000}">
      <text>
        <r>
          <rPr>
            <b/>
            <sz val="9"/>
            <color indexed="81"/>
            <rFont val="Tahoma"/>
            <family val="2"/>
          </rPr>
          <t>Tan, Raymond (Research):</t>
        </r>
        <r>
          <rPr>
            <sz val="9"/>
            <color indexed="81"/>
            <rFont val="Tahoma"/>
            <family val="2"/>
          </rPr>
          <t xml:space="preserve">
1H +12%</t>
        </r>
      </text>
    </comment>
    <comment ref="AC180" authorId="2" shapeId="0" xr:uid="{00000000-0006-0000-0200-00001B000000}">
      <text>
        <r>
          <rPr>
            <b/>
            <sz val="9"/>
            <color indexed="81"/>
            <rFont val="Tahoma"/>
            <family val="2"/>
          </rPr>
          <t>Tan, Raymond (Research):</t>
        </r>
        <r>
          <rPr>
            <sz val="9"/>
            <color indexed="81"/>
            <rFont val="Tahoma"/>
            <family val="2"/>
          </rPr>
          <t xml:space="preserve">
Restated</t>
        </r>
      </text>
    </comment>
    <comment ref="AD180" authorId="2" shapeId="0" xr:uid="{00000000-0006-0000-0200-00001C000000}">
      <text>
        <r>
          <rPr>
            <b/>
            <sz val="9"/>
            <color indexed="81"/>
            <rFont val="Tahoma"/>
            <family val="2"/>
          </rPr>
          <t>Tan, Raymond (Research):</t>
        </r>
        <r>
          <rPr>
            <sz val="9"/>
            <color indexed="81"/>
            <rFont val="Tahoma"/>
            <family val="2"/>
          </rPr>
          <t xml:space="preserve">
Restated</t>
        </r>
      </text>
    </comment>
    <comment ref="AE180" authorId="2" shapeId="0" xr:uid="{00000000-0006-0000-0200-00001D000000}">
      <text>
        <r>
          <rPr>
            <b/>
            <sz val="9"/>
            <color indexed="81"/>
            <rFont val="Tahoma"/>
            <family val="2"/>
          </rPr>
          <t>Tan, Raymond (Research):</t>
        </r>
        <r>
          <rPr>
            <sz val="9"/>
            <color indexed="81"/>
            <rFont val="Tahoma"/>
            <family val="2"/>
          </rPr>
          <t xml:space="preserve">
Restated</t>
        </r>
      </text>
    </comment>
    <comment ref="V194" authorId="1" shapeId="0" xr:uid="{00000000-0006-0000-0200-00001E000000}">
      <text>
        <r>
          <rPr>
            <b/>
            <sz val="8"/>
            <color indexed="81"/>
            <rFont val="Tahoma"/>
            <family val="2"/>
          </rPr>
          <t>goodrmar:</t>
        </r>
        <r>
          <rPr>
            <sz val="8"/>
            <color indexed="81"/>
            <rFont val="Tahoma"/>
            <family val="2"/>
          </rPr>
          <t xml:space="preserve">
Not given</t>
        </r>
      </text>
    </comment>
    <comment ref="AD194" authorId="2" shapeId="0" xr:uid="{00000000-0006-0000-0200-00001F000000}">
      <text>
        <r>
          <rPr>
            <b/>
            <sz val="9"/>
            <color indexed="81"/>
            <rFont val="Tahoma"/>
            <family val="2"/>
          </rPr>
          <t>Tan, Raymond (Research):</t>
        </r>
        <r>
          <rPr>
            <sz val="9"/>
            <color indexed="81"/>
            <rFont val="Tahoma"/>
            <family val="2"/>
          </rPr>
          <t xml:space="preserve">
stopped disclosing</t>
        </r>
      </text>
    </comment>
    <comment ref="X205" authorId="3" shapeId="0" xr:uid="{00000000-0006-0000-0200-000020000000}">
      <text>
        <r>
          <rPr>
            <b/>
            <sz val="8"/>
            <color indexed="81"/>
            <rFont val="Tahoma"/>
            <family val="2"/>
          </rPr>
          <t>gohkin:</t>
        </r>
        <r>
          <rPr>
            <sz val="8"/>
            <color indexed="81"/>
            <rFont val="Tahoma"/>
            <family val="2"/>
          </rPr>
          <t xml:space="preserve">
~120k are Kogan according to SMH</t>
        </r>
      </text>
    </comment>
    <comment ref="Y206" authorId="3" shapeId="0" xr:uid="{00000000-0006-0000-0200-000021000000}">
      <text>
        <r>
          <rPr>
            <b/>
            <sz val="8"/>
            <color indexed="81"/>
            <rFont val="Tahoma"/>
            <family val="2"/>
          </rPr>
          <t>gohkin:</t>
        </r>
        <r>
          <rPr>
            <sz val="8"/>
            <color indexed="81"/>
            <rFont val="Tahoma"/>
            <family val="2"/>
          </rPr>
          <t xml:space="preserve">
Reflects Kogan mobile churn</t>
        </r>
      </text>
    </comment>
    <comment ref="Y231" authorId="3" shapeId="0" xr:uid="{00000000-0006-0000-0200-000022000000}">
      <text>
        <r>
          <rPr>
            <b/>
            <sz val="8"/>
            <color indexed="81"/>
            <rFont val="Tahoma"/>
            <family val="2"/>
          </rPr>
          <t>gohkin:</t>
        </r>
        <r>
          <rPr>
            <sz val="8"/>
            <color indexed="81"/>
            <rFont val="Tahoma"/>
            <family val="2"/>
          </rPr>
          <t xml:space="preserve">
Reflects Kogan mobile churn</t>
        </r>
      </text>
    </comment>
    <comment ref="X238" authorId="1" shapeId="0" xr:uid="{00000000-0006-0000-0200-000023000000}">
      <text>
        <r>
          <rPr>
            <b/>
            <sz val="8"/>
            <color indexed="81"/>
            <rFont val="Tahoma"/>
            <family val="2"/>
          </rPr>
          <t>goodrmar:</t>
        </r>
        <r>
          <rPr>
            <sz val="8"/>
            <color indexed="81"/>
            <rFont val="Tahoma"/>
            <family val="2"/>
          </rPr>
          <t xml:space="preserve">
due to reduction in MTR</t>
        </r>
      </text>
    </comment>
    <comment ref="B252" authorId="2" shapeId="0" xr:uid="{00000000-0006-0000-0200-000024000000}">
      <text>
        <r>
          <rPr>
            <b/>
            <sz val="9"/>
            <color indexed="81"/>
            <rFont val="Tahoma"/>
            <family val="2"/>
          </rPr>
          <t>Tan, Raymond (Research):</t>
        </r>
        <r>
          <rPr>
            <sz val="9"/>
            <color indexed="81"/>
            <rFont val="Tahoma"/>
            <family val="2"/>
          </rPr>
          <t xml:space="preserve">
Includes bundles and data, standalone voice, hardware, Telstra Plus, TUSOPA, business data &amp; connectivity and other one-off revenue</t>
        </r>
      </text>
    </comment>
    <comment ref="B253" authorId="2" shapeId="0" xr:uid="{00000000-0006-0000-0200-000025000000}">
      <text>
        <r>
          <rPr>
            <b/>
            <sz val="9"/>
            <color indexed="81"/>
            <rFont val="Tahoma"/>
            <family val="2"/>
          </rPr>
          <t>Tan, Raymond (Research):</t>
        </r>
        <r>
          <rPr>
            <sz val="9"/>
            <color indexed="81"/>
            <rFont val="Tahoma"/>
            <family val="2"/>
          </rPr>
          <t xml:space="preserve">
Includes bundles and data, standalone voice, hardware, Telstra Plus, TUSOPA, business data &amp; connectivity and other one-off revenue</t>
        </r>
      </text>
    </comment>
    <comment ref="B263" authorId="2" shapeId="0" xr:uid="{00000000-0006-0000-0200-000026000000}">
      <text>
        <r>
          <rPr>
            <b/>
            <sz val="9"/>
            <color indexed="81"/>
            <rFont val="Tahoma"/>
            <family val="2"/>
          </rPr>
          <t>Tan, Raymond (Research):</t>
        </r>
        <r>
          <rPr>
            <sz val="9"/>
            <color indexed="81"/>
            <rFont val="Tahoma"/>
            <family val="2"/>
          </rPr>
          <t xml:space="preserve">
Includes bundles and data, standalone voice, hardware, Telstra Plus, TUSOPA, business data &amp; connectivity and other one-off revenue</t>
        </r>
      </text>
    </comment>
    <comment ref="B272" authorId="2" shapeId="0" xr:uid="{00000000-0006-0000-0200-000027000000}">
      <text>
        <r>
          <rPr>
            <b/>
            <sz val="9"/>
            <color indexed="81"/>
            <rFont val="Tahoma"/>
            <family val="2"/>
          </rPr>
          <t>Tan, Raymond (Research):</t>
        </r>
        <r>
          <rPr>
            <sz val="9"/>
            <color indexed="81"/>
            <rFont val="Tahoma"/>
            <family val="2"/>
          </rPr>
          <t xml:space="preserve">
Includes bundles and data, standalone voice, hardware, Telstra Plus, TUSOPA, business data &amp; connectivity and other one-off revenue</t>
        </r>
      </text>
    </comment>
    <comment ref="B296" authorId="2" shapeId="0" xr:uid="{00000000-0006-0000-0200-000028000000}">
      <text>
        <r>
          <rPr>
            <b/>
            <sz val="9"/>
            <color indexed="81"/>
            <rFont val="Tahoma"/>
            <family val="2"/>
          </rPr>
          <t>Tan, Raymond (Research):</t>
        </r>
        <r>
          <rPr>
            <sz val="9"/>
            <color indexed="81"/>
            <rFont val="Tahoma"/>
            <family val="2"/>
          </rPr>
          <t xml:space="preserve">
Income from government grants under the Telstra Universal Service Obligation  Performance Agreement (TUSOPA)
20yr government contract to provide basic voice services over Telstra's fixed line copper network</t>
        </r>
      </text>
    </comment>
    <comment ref="B315" authorId="2" shapeId="0" xr:uid="{00000000-0006-0000-0200-000029000000}">
      <text>
        <r>
          <rPr>
            <b/>
            <sz val="9"/>
            <color indexed="81"/>
            <rFont val="Tahoma"/>
            <family val="2"/>
          </rPr>
          <t>Tan, Raymond (Research):</t>
        </r>
        <r>
          <rPr>
            <sz val="9"/>
            <color indexed="81"/>
            <rFont val="Tahoma"/>
            <family val="2"/>
          </rPr>
          <t xml:space="preserve">
Bigpond Movies</t>
        </r>
      </text>
    </comment>
    <comment ref="AF355" authorId="2" shapeId="0" xr:uid="{00000000-0006-0000-0200-00002A000000}">
      <text>
        <r>
          <rPr>
            <b/>
            <sz val="9"/>
            <color indexed="81"/>
            <rFont val="Tahoma"/>
            <family val="2"/>
          </rPr>
          <t>Tan, Raymond (Research):</t>
        </r>
        <r>
          <rPr>
            <sz val="9"/>
            <color indexed="81"/>
            <rFont val="Tahoma"/>
            <family val="2"/>
          </rPr>
          <t xml:space="preserve">
Mid-single digit revenue decline in FY21</t>
        </r>
      </text>
    </comment>
    <comment ref="AE389" authorId="2" shapeId="0" xr:uid="{00000000-0006-0000-0200-00002B000000}">
      <text>
        <r>
          <rPr>
            <b/>
            <sz val="9"/>
            <color indexed="81"/>
            <rFont val="Tahoma"/>
            <family val="2"/>
          </rPr>
          <t>Tan, Raymond (Research):</t>
        </r>
        <r>
          <rPr>
            <sz val="9"/>
            <color indexed="81"/>
            <rFont val="Tahoma"/>
            <family val="2"/>
          </rPr>
          <t xml:space="preserve">
Declined due to ethernet pricing pressures and a decline in transmission</t>
        </r>
      </text>
    </comment>
    <comment ref="AK455" authorId="0" shapeId="0" xr:uid="{00000000-0006-0000-0200-00002C000000}">
      <text>
        <r>
          <rPr>
            <b/>
            <sz val="9"/>
            <color indexed="81"/>
            <rFont val="Tahoma"/>
            <family val="2"/>
          </rPr>
          <t>Boulus, Chris (Research):</t>
        </r>
        <r>
          <rPr>
            <sz val="9"/>
            <color indexed="81"/>
            <rFont val="Tahoma"/>
            <family val="2"/>
          </rPr>
          <t xml:space="preserve">
expected to deliver $200m EBITDA contribution from FY26 - assumes high margin hence revenue of $300m</t>
        </r>
      </text>
    </comment>
    <comment ref="B461" authorId="2" shapeId="0" xr:uid="{00000000-0006-0000-0200-00002D000000}">
      <text>
        <r>
          <rPr>
            <b/>
            <sz val="9"/>
            <color indexed="81"/>
            <rFont val="Tahoma"/>
            <family val="2"/>
          </rPr>
          <t>Tan, Raymond (Research):</t>
        </r>
        <r>
          <rPr>
            <sz val="9"/>
            <color indexed="81"/>
            <rFont val="Tahoma"/>
            <family val="2"/>
          </rPr>
          <t xml:space="preserve">
Includes guidance adjustments (impairments, proceeds on sale of businesses, M&amp;A and spectrum purchases)</t>
        </r>
      </text>
    </comment>
    <comment ref="B467" authorId="2" shapeId="0" xr:uid="{00000000-0006-0000-0200-00002E000000}">
      <text>
        <r>
          <rPr>
            <b/>
            <sz val="9"/>
            <color indexed="81"/>
            <rFont val="Tahoma"/>
            <family val="2"/>
          </rPr>
          <t>Tan, Raymond (Research):</t>
        </r>
        <r>
          <rPr>
            <sz val="9"/>
            <color indexed="81"/>
            <rFont val="Tahoma"/>
            <family val="2"/>
          </rPr>
          <t xml:space="preserve">
One-off NBN Definitive Agreement
PSAA = Per Subscriber Address Amount 
Receives payment every time a customer is disconnected from the copper network … 18 month migration period after NBN passes through 90% of premises within the region </t>
        </r>
      </text>
    </comment>
    <comment ref="B468" authorId="2" shapeId="0" xr:uid="{00000000-0006-0000-0200-00002F000000}">
      <text>
        <r>
          <rPr>
            <b/>
            <sz val="9"/>
            <color indexed="81"/>
            <rFont val="Tahoma"/>
            <family val="2"/>
          </rPr>
          <t>Tan, Raymond (Research):</t>
        </r>
        <r>
          <rPr>
            <sz val="9"/>
            <color indexed="81"/>
            <rFont val="Tahoma"/>
            <family val="2"/>
          </rPr>
          <t xml:space="preserve">
ISA = Infrastructure Services Agreement
</t>
        </r>
      </text>
    </comment>
    <comment ref="B480" authorId="1" shapeId="0" xr:uid="{00000000-0006-0000-0200-000030000000}">
      <text>
        <r>
          <rPr>
            <b/>
            <sz val="8"/>
            <color indexed="81"/>
            <rFont val="Tahoma"/>
            <family val="2"/>
          </rPr>
          <t>goodrmar:</t>
        </r>
        <r>
          <rPr>
            <sz val="8"/>
            <color indexed="81"/>
            <rFont val="Tahoma"/>
            <family val="2"/>
          </rPr>
          <t xml:space="preserve">
this is the rev driver</t>
        </r>
      </text>
    </comment>
    <comment ref="T480" authorId="1" shapeId="0" xr:uid="{00000000-0006-0000-0200-000031000000}">
      <text>
        <r>
          <rPr>
            <b/>
            <sz val="8"/>
            <color indexed="81"/>
            <rFont val="Tahoma"/>
            <family val="2"/>
          </rPr>
          <t>goodrmar:</t>
        </r>
        <r>
          <rPr>
            <sz val="8"/>
            <color indexed="81"/>
            <rFont val="Tahoma"/>
            <family val="2"/>
          </rPr>
          <t xml:space="preserve">
split Mobile BB out</t>
        </r>
      </text>
    </comment>
    <comment ref="B496" authorId="1" shapeId="0" xr:uid="{00000000-0006-0000-0200-000032000000}">
      <text>
        <r>
          <rPr>
            <b/>
            <sz val="8"/>
            <color indexed="81"/>
            <rFont val="Tahoma"/>
            <family val="2"/>
          </rPr>
          <t>goodrmar:</t>
        </r>
        <r>
          <rPr>
            <sz val="8"/>
            <color indexed="81"/>
            <rFont val="Tahoma"/>
            <family val="2"/>
          </rPr>
          <t xml:space="preserve">
Sourced from Mobile Model</t>
        </r>
      </text>
    </comment>
    <comment ref="X496" authorId="1" shapeId="0" xr:uid="{00000000-0006-0000-0200-000033000000}">
      <text>
        <r>
          <rPr>
            <b/>
            <sz val="8"/>
            <color indexed="81"/>
            <rFont val="Tahoma"/>
            <family val="2"/>
          </rPr>
          <t>goodrmar:</t>
        </r>
        <r>
          <rPr>
            <sz val="8"/>
            <color indexed="81"/>
            <rFont val="Tahoma"/>
            <family val="2"/>
          </rPr>
          <t xml:space="preserve">
Large Uptick In penetration due to M2M growth
</t>
        </r>
      </text>
    </comment>
    <comment ref="B500" authorId="1" shapeId="0" xr:uid="{00000000-0006-0000-0200-000034000000}">
      <text>
        <r>
          <rPr>
            <b/>
            <sz val="8"/>
            <color indexed="81"/>
            <rFont val="Tahoma"/>
            <family val="2"/>
          </rPr>
          <t>goodrmar:</t>
        </r>
        <r>
          <rPr>
            <sz val="8"/>
            <color indexed="81"/>
            <rFont val="Tahoma"/>
            <family val="2"/>
          </rPr>
          <t xml:space="preserve">
Sourced from Mobile Model</t>
        </r>
      </text>
    </comment>
    <comment ref="B509" authorId="1" shapeId="0" xr:uid="{00000000-0006-0000-0200-000035000000}">
      <text>
        <r>
          <rPr>
            <b/>
            <sz val="8"/>
            <color indexed="81"/>
            <rFont val="Tahoma"/>
            <family val="2"/>
          </rPr>
          <t>goodrmar:</t>
        </r>
        <r>
          <rPr>
            <sz val="8"/>
            <color indexed="81"/>
            <rFont val="Tahoma"/>
            <family val="2"/>
          </rPr>
          <t xml:space="preserve">
Sourced from Broadband Model</t>
        </r>
      </text>
    </comment>
    <comment ref="Z509" authorId="1" shapeId="0" xr:uid="{00000000-0006-0000-0200-000036000000}">
      <text>
        <r>
          <rPr>
            <b/>
            <sz val="8"/>
            <color indexed="81"/>
            <rFont val="Tahoma"/>
            <family val="2"/>
          </rPr>
          <t>goodrmar:</t>
        </r>
        <r>
          <rPr>
            <sz val="8"/>
            <color indexed="81"/>
            <rFont val="Tahoma"/>
            <family val="2"/>
          </rPr>
          <t xml:space="preserve">
Telstye report estimates 50% penetration of tablets...http://www.telsyte.com.au/?p=1252</t>
        </r>
      </text>
    </comment>
    <comment ref="B517" authorId="1" shapeId="0" xr:uid="{00000000-0006-0000-0200-000037000000}">
      <text>
        <r>
          <rPr>
            <b/>
            <sz val="8"/>
            <color indexed="81"/>
            <rFont val="Tahoma"/>
            <family val="2"/>
          </rPr>
          <t>goodrmar:</t>
        </r>
        <r>
          <rPr>
            <sz val="8"/>
            <color indexed="81"/>
            <rFont val="Tahoma"/>
            <family val="2"/>
          </rPr>
          <t xml:space="preserve">
AMPS, Advanaced Mobile Phone System, an Analog mobile phone system, started in Aus in 1987 and closed down in 2000</t>
        </r>
      </text>
    </comment>
    <comment ref="B518" authorId="1" shapeId="0" xr:uid="{00000000-0006-0000-0200-000038000000}">
      <text>
        <r>
          <rPr>
            <b/>
            <sz val="8"/>
            <color indexed="81"/>
            <rFont val="Tahoma"/>
            <family val="2"/>
          </rPr>
          <t>goodrmar:</t>
        </r>
        <r>
          <rPr>
            <sz val="8"/>
            <color indexed="81"/>
            <rFont val="Tahoma"/>
            <family val="2"/>
          </rPr>
          <t xml:space="preserve">
CDMA, Code Division Mulitple Access</t>
        </r>
      </text>
    </comment>
    <comment ref="B519" authorId="1" shapeId="0" xr:uid="{00000000-0006-0000-0200-000039000000}">
      <text>
        <r>
          <rPr>
            <b/>
            <sz val="8"/>
            <color indexed="81"/>
            <rFont val="Tahoma"/>
            <family val="2"/>
          </rPr>
          <t>goodrmar:</t>
        </r>
        <r>
          <rPr>
            <sz val="8"/>
            <color indexed="81"/>
            <rFont val="Tahoma"/>
            <family val="2"/>
          </rPr>
          <t xml:space="preserve">
Global System for Mobile…2G mobiles</t>
        </r>
      </text>
    </comment>
    <comment ref="W538" authorId="1" shapeId="0" xr:uid="{00000000-0006-0000-0200-00003A000000}">
      <text>
        <r>
          <rPr>
            <b/>
            <sz val="8"/>
            <color indexed="81"/>
            <rFont val="Tahoma"/>
            <family val="2"/>
          </rPr>
          <t>goodrmar:</t>
        </r>
        <r>
          <rPr>
            <sz val="8"/>
            <color indexed="81"/>
            <rFont val="Tahoma"/>
            <family val="2"/>
          </rPr>
          <t xml:space="preserve">
3.262m at 1H12</t>
        </r>
      </text>
    </comment>
    <comment ref="N573" authorId="1" shapeId="0" xr:uid="{00000000-0006-0000-0200-00003B000000}">
      <text>
        <r>
          <rPr>
            <b/>
            <sz val="8"/>
            <color indexed="81"/>
            <rFont val="Tahoma"/>
            <family val="2"/>
          </rPr>
          <t>goodrmar:</t>
        </r>
        <r>
          <rPr>
            <sz val="8"/>
            <color indexed="81"/>
            <rFont val="Tahoma"/>
            <family val="2"/>
          </rPr>
          <t xml:space="preserve">
Adjustment for IP/ internet Rev</t>
        </r>
      </text>
    </comment>
    <comment ref="AA581" authorId="4" shapeId="0" xr:uid="{00000000-0006-0000-0200-00003C000000}">
      <text>
        <r>
          <rPr>
            <b/>
            <sz val="9"/>
            <color indexed="81"/>
            <rFont val="Tahoma"/>
            <family val="2"/>
          </rPr>
          <t>Lansky, Elise (Research):</t>
        </r>
        <r>
          <rPr>
            <sz val="9"/>
            <color indexed="81"/>
            <rFont val="Tahoma"/>
            <family val="2"/>
          </rPr>
          <t xml:space="preserve">
Included in other</t>
        </r>
      </text>
    </comment>
    <comment ref="B596" authorId="1" shapeId="0" xr:uid="{00000000-0006-0000-0200-00003D000000}">
      <text>
        <r>
          <rPr>
            <b/>
            <sz val="8"/>
            <color indexed="81"/>
            <rFont val="Tahoma"/>
            <family val="2"/>
          </rPr>
          <t>goodrmar:</t>
        </r>
        <r>
          <rPr>
            <sz val="8"/>
            <color indexed="81"/>
            <rFont val="Tahoma"/>
            <family val="2"/>
          </rPr>
          <t xml:space="preserve">
Internet Protocol</t>
        </r>
      </text>
    </comment>
    <comment ref="AA598" authorId="4" shapeId="0" xr:uid="{00000000-0006-0000-0200-00003E000000}">
      <text>
        <r>
          <rPr>
            <b/>
            <sz val="9"/>
            <color indexed="81"/>
            <rFont val="Tahoma"/>
            <family val="2"/>
          </rPr>
          <t>Includes A$423m Pacnet</t>
        </r>
      </text>
    </comment>
    <comment ref="Z603" authorId="5" shapeId="0" xr:uid="{00000000-0006-0000-0200-00003F000000}">
      <text>
        <r>
          <rPr>
            <b/>
            <sz val="9"/>
            <color indexed="81"/>
            <rFont val="Tahoma"/>
            <family val="2"/>
          </rPr>
          <t>Goodridge, Mark (Research):</t>
        </r>
        <r>
          <rPr>
            <sz val="9"/>
            <color indexed="81"/>
            <rFont val="Tahoma"/>
            <family val="2"/>
          </rPr>
          <t xml:space="preserve">
International NAS included in International here … changed in 1H16 result</t>
        </r>
      </text>
    </comment>
    <comment ref="B608" authorId="1" shapeId="0" xr:uid="{00000000-0006-0000-0200-000040000000}">
      <text>
        <r>
          <rPr>
            <b/>
            <sz val="8"/>
            <color indexed="81"/>
            <rFont val="Tahoma"/>
            <family val="2"/>
          </rPr>
          <t>goodrmar:</t>
        </r>
        <r>
          <rPr>
            <sz val="8"/>
            <color indexed="81"/>
            <rFont val="Tahoma"/>
            <family val="2"/>
          </rPr>
          <t xml:space="preserve">
Eg. Kaz</t>
        </r>
      </text>
    </comment>
    <comment ref="Y621" authorId="1" shapeId="0" xr:uid="{00000000-0006-0000-0200-000041000000}">
      <text>
        <r>
          <rPr>
            <b/>
            <sz val="8"/>
            <color indexed="81"/>
            <rFont val="Tahoma"/>
            <family val="2"/>
          </rPr>
          <t>goodrmar:</t>
        </r>
        <r>
          <rPr>
            <sz val="8"/>
            <color indexed="81"/>
            <rFont val="Tahoma"/>
            <family val="2"/>
          </rPr>
          <t xml:space="preserve">
deal to close in March 2014</t>
        </r>
      </text>
    </comment>
    <comment ref="B622" authorId="1" shapeId="0" xr:uid="{00000000-0006-0000-0200-000042000000}">
      <text>
        <r>
          <rPr>
            <b/>
            <sz val="8"/>
            <color indexed="81"/>
            <rFont val="Tahoma"/>
            <family val="2"/>
          </rPr>
          <t>goodrmar:</t>
        </r>
        <r>
          <rPr>
            <sz val="8"/>
            <color indexed="81"/>
            <rFont val="Tahoma"/>
            <family val="2"/>
          </rPr>
          <t xml:space="preserve">
Foxtel renting HFC 
</t>
        </r>
      </text>
    </comment>
    <comment ref="B644" authorId="2" shapeId="0" xr:uid="{00000000-0006-0000-0200-000043000000}">
      <text>
        <r>
          <rPr>
            <b/>
            <sz val="9"/>
            <color indexed="81"/>
            <rFont val="Tahoma"/>
            <family val="2"/>
          </rPr>
          <t>Tan, Raymond (Research):</t>
        </r>
        <r>
          <rPr>
            <sz val="9"/>
            <color indexed="81"/>
            <rFont val="Tahoma"/>
            <family val="2"/>
          </rPr>
          <t xml:space="preserve">
Includes NBN disconnection fees (PSAA), TUSOPA, </t>
        </r>
      </text>
    </comment>
    <comment ref="B646" authorId="6" shapeId="0" xr:uid="{00000000-0006-0000-0200-000044000000}">
      <text>
        <r>
          <rPr>
            <b/>
            <sz val="9"/>
            <color indexed="81"/>
            <rFont val="Tahoma"/>
            <family val="2"/>
          </rPr>
          <t>Michael, Joseph (Research):</t>
        </r>
        <r>
          <rPr>
            <sz val="9"/>
            <color indexed="81"/>
            <rFont val="Tahoma"/>
            <family val="2"/>
          </rPr>
          <t xml:space="preserve">
misc rev + Telstra Health + Telstra software
</t>
        </r>
      </text>
    </comment>
    <comment ref="B655" authorId="2" shapeId="0" xr:uid="{00000000-0006-0000-0200-000045000000}">
      <text>
        <r>
          <rPr>
            <b/>
            <sz val="9"/>
            <color indexed="81"/>
            <rFont val="Tahoma"/>
            <family val="2"/>
          </rPr>
          <t>Tan, Raymond (Research):</t>
        </r>
        <r>
          <rPr>
            <sz val="9"/>
            <color indexed="81"/>
            <rFont val="Tahoma"/>
            <family val="2"/>
          </rPr>
          <t xml:space="preserve">
Includes gains and losses on asset and investment sales (including assets transferred under the nbn definitive agreements, income from government grants, mobile blackspot government programs, income from nbn, network disconnection fees, subsidies and other misc</t>
        </r>
      </text>
    </comment>
    <comment ref="B658" authorId="1" shapeId="0" xr:uid="{00000000-0006-0000-0200-000046000000}">
      <text>
        <r>
          <rPr>
            <b/>
            <sz val="8"/>
            <color indexed="81"/>
            <rFont val="Tahoma"/>
            <family val="2"/>
          </rPr>
          <t>goodrmar:</t>
        </r>
        <r>
          <rPr>
            <sz val="8"/>
            <color indexed="81"/>
            <rFont val="Tahoma"/>
            <family val="2"/>
          </rPr>
          <t xml:space="preserve">
ISDN, Integrated Services Digital Network, a set of communications standards for simultaneous digital transmission of voice, video, data, and other network services over the traditional circuits of the public switched telephone network.</t>
        </r>
      </text>
    </comment>
    <comment ref="B697" authorId="1" shapeId="0" xr:uid="{00000000-0006-0000-0200-000047000000}">
      <text>
        <r>
          <rPr>
            <b/>
            <sz val="8"/>
            <color indexed="81"/>
            <rFont val="Tahoma"/>
            <family val="2"/>
          </rPr>
          <t>goodrmar:</t>
        </r>
        <r>
          <rPr>
            <sz val="8"/>
            <color indexed="81"/>
            <rFont val="Tahoma"/>
            <family val="2"/>
          </rPr>
          <t xml:space="preserve">
ISDN, Integrated Services Digital Network, a set of communications standards for simultaneous digital transmission of voice, video, data, and other network services over the traditional circuits of the public switched telephone network.</t>
        </r>
      </text>
    </comment>
    <comment ref="B701" authorId="2" shapeId="0" xr:uid="{00000000-0006-0000-0200-000048000000}">
      <text>
        <r>
          <rPr>
            <b/>
            <sz val="9"/>
            <color indexed="81"/>
            <rFont val="Tahoma"/>
            <family val="2"/>
          </rPr>
          <t>Tan, Raymond (Research):</t>
        </r>
        <r>
          <rPr>
            <sz val="9"/>
            <color indexed="81"/>
            <rFont val="Tahoma"/>
            <family val="2"/>
          </rPr>
          <t xml:space="preserve">
includes private networks and internet connections on TLS fibre, nbn, legacy copper and other fixed technologies</t>
        </r>
      </text>
    </comment>
    <comment ref="B706" authorId="2" shapeId="0" xr:uid="{00000000-0006-0000-0200-000049000000}">
      <text>
        <r>
          <rPr>
            <b/>
            <sz val="9"/>
            <color indexed="81"/>
            <rFont val="Tahoma"/>
            <family val="2"/>
          </rPr>
          <t>Tan, Raymond (Research):</t>
        </r>
        <r>
          <rPr>
            <sz val="9"/>
            <color indexed="81"/>
            <rFont val="Tahoma"/>
            <family val="2"/>
          </rPr>
          <t xml:space="preserve">
termination of ISDN by 2022. migration of associated voice services to NAS</t>
        </r>
      </text>
    </comment>
    <comment ref="B711" authorId="2" shapeId="0" xr:uid="{00000000-0006-0000-0200-00004A000000}">
      <text>
        <r>
          <rPr>
            <b/>
            <sz val="9"/>
            <color indexed="81"/>
            <rFont val="Tahoma"/>
            <family val="2"/>
          </rPr>
          <t>Tan, Raymond (Research):</t>
        </r>
        <r>
          <rPr>
            <sz val="9"/>
            <color indexed="81"/>
            <rFont val="Tahoma"/>
            <family val="2"/>
          </rPr>
          <t xml:space="preserve">
professional media solutions + security solutions</t>
        </r>
      </text>
    </comment>
    <comment ref="B717" authorId="2" shapeId="0" xr:uid="{00000000-0006-0000-0200-00004B000000}">
      <text>
        <r>
          <rPr>
            <b/>
            <sz val="9"/>
            <color indexed="81"/>
            <rFont val="Tahoma"/>
            <family val="2"/>
          </rPr>
          <t>Tan, Raymond (Research):</t>
        </r>
        <r>
          <rPr>
            <sz val="9"/>
            <color indexed="81"/>
            <rFont val="Tahoma"/>
            <family val="2"/>
          </rPr>
          <t xml:space="preserve">
Includes Classifieds &amp; Advertising revenue
</t>
        </r>
      </text>
    </comment>
    <comment ref="B720" authorId="2" shapeId="0" xr:uid="{00000000-0006-0000-0200-00004C000000}">
      <text>
        <r>
          <rPr>
            <b/>
            <sz val="9"/>
            <color indexed="81"/>
            <rFont val="Tahoma"/>
            <family val="2"/>
          </rPr>
          <t>Tan, Raymond (Research):</t>
        </r>
        <r>
          <rPr>
            <sz val="9"/>
            <color indexed="81"/>
            <rFont val="Tahoma"/>
            <family val="2"/>
          </rPr>
          <t xml:space="preserve">
Cable access revenue from Foxtel</t>
        </r>
      </text>
    </comment>
    <comment ref="S740" authorId="1" shapeId="0" xr:uid="{00000000-0006-0000-0200-00004D000000}">
      <text>
        <r>
          <rPr>
            <b/>
            <sz val="8"/>
            <color indexed="81"/>
            <rFont val="Tahoma"/>
            <family val="2"/>
          </rPr>
          <t>goodrmar:</t>
        </r>
        <r>
          <rPr>
            <sz val="8"/>
            <color indexed="81"/>
            <rFont val="Tahoma"/>
            <family val="2"/>
          </rPr>
          <t xml:space="preserve">
Backsolved to make growth rates and sums work</t>
        </r>
      </text>
    </comment>
    <comment ref="U763" authorId="1" shapeId="0" xr:uid="{00000000-0006-0000-0200-00004E000000}">
      <text>
        <r>
          <rPr>
            <b/>
            <sz val="8"/>
            <color indexed="81"/>
            <rFont val="Tahoma"/>
            <family val="2"/>
          </rPr>
          <t>goodrmar:</t>
        </r>
        <r>
          <rPr>
            <sz val="8"/>
            <color indexed="81"/>
            <rFont val="Tahoma"/>
            <family val="2"/>
          </rPr>
          <t xml:space="preserve">
Trading post print closed down</t>
        </r>
      </text>
    </comment>
    <comment ref="U771" authorId="1" shapeId="0" xr:uid="{00000000-0006-0000-0200-00004F000000}">
      <text>
        <r>
          <rPr>
            <b/>
            <sz val="8"/>
            <color indexed="81"/>
            <rFont val="Tahoma"/>
            <family val="2"/>
          </rPr>
          <t>goodrmar:</t>
        </r>
        <r>
          <rPr>
            <sz val="8"/>
            <color indexed="81"/>
            <rFont val="Tahoma"/>
            <family val="2"/>
          </rPr>
          <t xml:space="preserve">
Large increase due to the Octave business being transferred into this division</t>
        </r>
      </text>
    </comment>
    <comment ref="Y789" authorId="1" shapeId="0" xr:uid="{00000000-0006-0000-0200-000050000000}">
      <text>
        <r>
          <rPr>
            <b/>
            <sz val="8"/>
            <color indexed="81"/>
            <rFont val="Tahoma"/>
            <family val="2"/>
          </rPr>
          <t>goodrmar:</t>
        </r>
        <r>
          <rPr>
            <sz val="8"/>
            <color indexed="81"/>
            <rFont val="Tahoma"/>
            <family val="2"/>
          </rPr>
          <t xml:space="preserve">
A$70m will be from voice services the rest is share services</t>
        </r>
      </text>
    </comment>
    <comment ref="Y793" authorId="1" shapeId="0" xr:uid="{00000000-0006-0000-0200-000051000000}">
      <text>
        <r>
          <rPr>
            <b/>
            <sz val="8"/>
            <color indexed="81"/>
            <rFont val="Tahoma"/>
            <family val="2"/>
          </rPr>
          <t>goodrmar:</t>
        </r>
        <r>
          <rPr>
            <sz val="8"/>
            <color indexed="81"/>
            <rFont val="Tahoma"/>
            <family val="2"/>
          </rPr>
          <t xml:space="preserve">
Stated A$160m D&amp;A for full business and this is mostly for the directories business</t>
        </r>
      </text>
    </comment>
    <comment ref="M812" authorId="7" shapeId="0" xr:uid="{00000000-0006-0000-0200-000052000000}">
      <text>
        <r>
          <rPr>
            <b/>
            <sz val="8"/>
            <color indexed="81"/>
            <rFont val="Tahoma"/>
            <family val="2"/>
          </rPr>
          <t>mcleod:</t>
        </r>
        <r>
          <rPr>
            <sz val="8"/>
            <color indexed="81"/>
            <rFont val="Tahoma"/>
            <family val="2"/>
          </rPr>
          <t xml:space="preserve">
Foxtel year end subs 798k at 30 June 2002 … as per NCP Q4 F2002 earnings release.</t>
        </r>
      </text>
    </comment>
    <comment ref="N812" authorId="8" shapeId="0" xr:uid="{00000000-0006-0000-0200-000053000000}">
      <text>
        <r>
          <rPr>
            <b/>
            <sz val="8"/>
            <color indexed="81"/>
            <rFont val="Tahoma"/>
            <family val="2"/>
          </rPr>
          <t>Andrew McLeod:</t>
        </r>
        <r>
          <rPr>
            <sz val="8"/>
            <color indexed="81"/>
            <rFont val="Tahoma"/>
            <family val="2"/>
          </rPr>
          <t xml:space="preserve">
NWS F2003 result breaks out Foxtel has 835k subs + 223k wholesale Optus subs for 1058k subs in total</t>
        </r>
      </text>
    </comment>
    <comment ref="O812" authorId="8" shapeId="0" xr:uid="{00000000-0006-0000-0200-000054000000}">
      <text>
        <r>
          <rPr>
            <b/>
            <sz val="8"/>
            <color indexed="81"/>
            <rFont val="Tahoma"/>
            <family val="2"/>
          </rPr>
          <t>Andrew McLeod:</t>
        </r>
        <r>
          <rPr>
            <sz val="8"/>
            <color indexed="81"/>
            <rFont val="Tahoma"/>
            <family val="2"/>
          </rPr>
          <t xml:space="preserve">
NWS F2004 result breaks out Foxtel has 904k subs + 196k wholesale Optus subs for 1100k subs in total</t>
        </r>
      </text>
    </comment>
    <comment ref="P812" authorId="8" shapeId="0" xr:uid="{00000000-0006-0000-0200-000055000000}">
      <text>
        <r>
          <rPr>
            <b/>
            <sz val="8"/>
            <color indexed="81"/>
            <rFont val="Tahoma"/>
            <family val="2"/>
          </rPr>
          <t>Andrew McLeod:</t>
        </r>
        <r>
          <rPr>
            <sz val="8"/>
            <color indexed="81"/>
            <rFont val="Tahoma"/>
            <family val="2"/>
          </rPr>
          <t xml:space="preserve">
NWS F2005 result breaks out Foxtel has 1023k subs + 157k wholesale Optus subs for 1180k subs in total</t>
        </r>
      </text>
    </comment>
    <comment ref="N815" authorId="8" shapeId="0" xr:uid="{00000000-0006-0000-0200-000056000000}">
      <text>
        <r>
          <rPr>
            <b/>
            <sz val="8"/>
            <color indexed="81"/>
            <rFont val="Tahoma"/>
            <family val="2"/>
          </rPr>
          <t>Andrew McLeod:</t>
        </r>
        <r>
          <rPr>
            <sz val="8"/>
            <color indexed="81"/>
            <rFont val="Tahoma"/>
            <family val="2"/>
          </rPr>
          <t xml:space="preserve">
Foxtel disclosed it had 223k Optus wholesale customers at 30 June 2003</t>
        </r>
      </text>
    </comment>
    <comment ref="O815" authorId="8" shapeId="0" xr:uid="{00000000-0006-0000-0200-000057000000}">
      <text>
        <r>
          <rPr>
            <b/>
            <sz val="8"/>
            <color indexed="81"/>
            <rFont val="Tahoma"/>
            <family val="2"/>
          </rPr>
          <t>Andrew McLeod:</t>
        </r>
        <r>
          <rPr>
            <sz val="8"/>
            <color indexed="81"/>
            <rFont val="Tahoma"/>
            <family val="2"/>
          </rPr>
          <t xml:space="preserve">
Foxtel disclosed it had 196k Optus wholesale customers at 30 June 2004</t>
        </r>
      </text>
    </comment>
    <comment ref="P815" authorId="8" shapeId="0" xr:uid="{00000000-0006-0000-0200-000058000000}">
      <text>
        <r>
          <rPr>
            <b/>
            <sz val="8"/>
            <color indexed="81"/>
            <rFont val="Tahoma"/>
            <family val="2"/>
          </rPr>
          <t>Andrew McLeod:</t>
        </r>
        <r>
          <rPr>
            <sz val="8"/>
            <color indexed="81"/>
            <rFont val="Tahoma"/>
            <family val="2"/>
          </rPr>
          <t xml:space="preserve">
Foxtel disclosed it had 157k Optus wholesale customers at 30 June 2005</t>
        </r>
      </text>
    </comment>
    <comment ref="Q815" authorId="8" shapeId="0" xr:uid="{00000000-0006-0000-0200-000059000000}">
      <text>
        <r>
          <rPr>
            <b/>
            <sz val="8"/>
            <color indexed="81"/>
            <rFont val="Tahoma"/>
            <family val="2"/>
          </rPr>
          <t>Andrew McLeod:</t>
        </r>
        <r>
          <rPr>
            <sz val="8"/>
            <color indexed="81"/>
            <rFont val="Tahoma"/>
            <family val="2"/>
          </rPr>
          <t xml:space="preserve">
What I've built in for F2006 … is what FOXTEL say was the position at 31 Dec 2005 ie. 1074k wholly owned subs and  145k Optus wholesale subs.</t>
        </r>
      </text>
    </comment>
    <comment ref="N818" authorId="9" shapeId="0" xr:uid="{00000000-0006-0000-0200-00005A000000}">
      <text>
        <r>
          <rPr>
            <b/>
            <sz val="8"/>
            <color indexed="81"/>
            <rFont val="Tahoma"/>
            <family val="2"/>
          </rPr>
          <t>bholgate:</t>
        </r>
        <r>
          <rPr>
            <sz val="8"/>
            <color indexed="81"/>
            <rFont val="Tahoma"/>
            <family val="2"/>
          </rPr>
          <t xml:space="preserve">
from PBL FY03 results</t>
        </r>
      </text>
    </comment>
    <comment ref="O818" authorId="9" shapeId="0" xr:uid="{00000000-0006-0000-0200-00005B000000}">
      <text>
        <r>
          <rPr>
            <b/>
            <sz val="8"/>
            <color indexed="81"/>
            <rFont val="Tahoma"/>
            <family val="2"/>
          </rPr>
          <t>bholgate:</t>
        </r>
        <r>
          <rPr>
            <sz val="8"/>
            <color indexed="81"/>
            <rFont val="Tahoma"/>
            <family val="2"/>
          </rPr>
          <t xml:space="preserve">
from PBL FY04 results</t>
        </r>
      </text>
    </comment>
    <comment ref="P818" authorId="9" shapeId="0" xr:uid="{00000000-0006-0000-0200-00005C000000}">
      <text>
        <r>
          <rPr>
            <b/>
            <sz val="8"/>
            <color indexed="81"/>
            <rFont val="Tahoma"/>
            <family val="2"/>
          </rPr>
          <t>bholgate:</t>
        </r>
        <r>
          <rPr>
            <sz val="8"/>
            <color indexed="81"/>
            <rFont val="Tahoma"/>
            <family val="2"/>
          </rPr>
          <t xml:space="preserve">
from PBL FY05 results</t>
        </r>
      </text>
    </comment>
    <comment ref="K844" authorId="10" shapeId="0" xr:uid="{00000000-0006-0000-0200-00005D000000}">
      <text>
        <r>
          <rPr>
            <b/>
            <sz val="8"/>
            <color indexed="81"/>
            <rFont val="Tahoma"/>
            <family val="2"/>
          </rPr>
          <t>mcleoda:</t>
        </r>
        <r>
          <rPr>
            <sz val="8"/>
            <color indexed="81"/>
            <rFont val="Tahoma"/>
            <family val="2"/>
          </rPr>
          <t xml:space="preserve">
June 2001 subs of 635k is given in the NCP 2001 full year Earnings Release.</t>
        </r>
      </text>
    </comment>
    <comment ref="L844" authorId="10" shapeId="0" xr:uid="{00000000-0006-0000-0200-00005E000000}">
      <text>
        <r>
          <rPr>
            <b/>
            <sz val="8"/>
            <color indexed="81"/>
            <rFont val="Tahoma"/>
            <family val="2"/>
          </rPr>
          <t>mcleoda:</t>
        </r>
        <r>
          <rPr>
            <sz val="8"/>
            <color indexed="81"/>
            <rFont val="Tahoma"/>
            <family val="2"/>
          </rPr>
          <t xml:space="preserve">
June 2001 subs of 744k is given in the NCP 2001 full year Earnings Release.</t>
        </r>
      </text>
    </comment>
    <comment ref="M844" authorId="10" shapeId="0" xr:uid="{00000000-0006-0000-0200-00005F000000}">
      <text>
        <r>
          <rPr>
            <b/>
            <sz val="8"/>
            <color indexed="81"/>
            <rFont val="Tahoma"/>
            <family val="2"/>
          </rPr>
          <t>mcleoda:</t>
        </r>
        <r>
          <rPr>
            <sz val="8"/>
            <color indexed="81"/>
            <rFont val="Tahoma"/>
            <family val="2"/>
          </rPr>
          <t xml:space="preserve">
798k subs taken from NCP's full year F2002 Earnings Release - page 10. Release also gave satellite subs as 39% of total subs.</t>
        </r>
      </text>
    </comment>
    <comment ref="N868" authorId="7" shapeId="0" xr:uid="{00000000-0006-0000-0200-000060000000}">
      <text>
        <r>
          <rPr>
            <b/>
            <sz val="8"/>
            <color indexed="81"/>
            <rFont val="Tahoma"/>
            <family val="2"/>
          </rPr>
          <t>mcleod:</t>
        </r>
        <r>
          <rPr>
            <sz val="8"/>
            <color indexed="81"/>
            <rFont val="Tahoma"/>
            <family val="2"/>
          </rPr>
          <t xml:space="preserve">
OV had 230k paytv subs at 30 June 2003, number obtained from MS telco analyst Penny Butcher out of Singtel results pres.</t>
        </r>
      </text>
    </comment>
    <comment ref="O932" authorId="10" shapeId="0" xr:uid="{00000000-0006-0000-0200-000061000000}">
      <text>
        <r>
          <rPr>
            <b/>
            <sz val="8"/>
            <color indexed="81"/>
            <rFont val="Tahoma"/>
            <family val="2"/>
          </rPr>
          <t>mcleoda:</t>
        </r>
        <r>
          <rPr>
            <sz val="8"/>
            <color indexed="81"/>
            <rFont val="Tahoma"/>
            <family val="2"/>
          </rPr>
          <t xml:space="preserve">
Kleemann indicated jump in Fox Sports programming costs in F2004 would occur because of stronger A$, and this will flatten yoy NPAT contribution. Mtg with GK 26 May 2003</t>
        </r>
      </text>
    </comment>
    <comment ref="M988" authorId="7" shapeId="0" xr:uid="{00000000-0006-0000-0200-000062000000}">
      <text>
        <r>
          <rPr>
            <b/>
            <sz val="8"/>
            <color indexed="81"/>
            <rFont val="Tahoma"/>
            <family val="2"/>
          </rPr>
          <t>mcleod:</t>
        </r>
        <r>
          <rPr>
            <sz val="8"/>
            <color indexed="81"/>
            <rFont val="Tahoma"/>
            <family val="2"/>
          </rPr>
          <t xml:space="preserve">
Total Foxtel Subs 798k at year end 30 June 2002 as per NCP Q4 earnings release</t>
        </r>
      </text>
    </comment>
    <comment ref="N988" authorId="7" shapeId="0" xr:uid="{00000000-0006-0000-0200-000063000000}">
      <text>
        <r>
          <rPr>
            <b/>
            <sz val="8"/>
            <color indexed="81"/>
            <rFont val="Tahoma"/>
            <family val="2"/>
          </rPr>
          <t>mcleod:</t>
        </r>
        <r>
          <rPr>
            <sz val="8"/>
            <color indexed="81"/>
            <rFont val="Tahoma"/>
            <family val="2"/>
          </rPr>
          <t xml:space="preserve">
Total Foxtel Subs 1058k at year end 30 June 2003 as per NCP Q4 earnings release</t>
        </r>
      </text>
    </comment>
    <comment ref="M1038" authorId="10" shapeId="0" xr:uid="{00000000-0006-0000-0200-000064000000}">
      <text>
        <r>
          <rPr>
            <b/>
            <sz val="8"/>
            <color indexed="81"/>
            <rFont val="Tahoma"/>
            <family val="2"/>
          </rPr>
          <t>mcleoda:</t>
        </r>
        <r>
          <rPr>
            <sz val="8"/>
            <color indexed="81"/>
            <rFont val="Tahoma"/>
            <family val="2"/>
          </rPr>
          <t xml:space="preserve">
Foxtel CEO Kim Williams said churn was 19.7% in F2002, down from 28% in F2000. Quote from Australian newspaper 29 Nov 2002.</t>
        </r>
      </text>
    </comment>
    <comment ref="M1053" authorId="7" shapeId="0" xr:uid="{00000000-0006-0000-0200-000065000000}">
      <text>
        <r>
          <rPr>
            <b/>
            <sz val="8"/>
            <color indexed="81"/>
            <rFont val="Tahoma"/>
            <family val="2"/>
          </rPr>
          <t>mcleod:</t>
        </r>
        <r>
          <rPr>
            <sz val="8"/>
            <color indexed="81"/>
            <rFont val="Tahoma"/>
            <family val="2"/>
          </rPr>
          <t xml:space="preserve">
Total Foxtel revenue as per NCP Q4 F2002 release was $527mn</t>
        </r>
      </text>
    </comment>
    <comment ref="N1053" authorId="7" shapeId="0" xr:uid="{00000000-0006-0000-0200-000066000000}">
      <text>
        <r>
          <rPr>
            <b/>
            <sz val="8"/>
            <color indexed="81"/>
            <rFont val="Tahoma"/>
            <family val="2"/>
          </rPr>
          <t>mcleod:</t>
        </r>
        <r>
          <rPr>
            <sz val="8"/>
            <color indexed="81"/>
            <rFont val="Tahoma"/>
            <family val="2"/>
          </rPr>
          <t xml:space="preserve">
Total Foxtel revenue as per NCP Q4 F2003 release was $649mn</t>
        </r>
      </text>
    </comment>
    <comment ref="N1112" authorId="10" shapeId="0" xr:uid="{00000000-0006-0000-0200-000067000000}">
      <text>
        <r>
          <rPr>
            <b/>
            <sz val="8"/>
            <color indexed="81"/>
            <rFont val="Tahoma"/>
            <family val="2"/>
          </rPr>
          <t>mcleoda:</t>
        </r>
        <r>
          <rPr>
            <sz val="8"/>
            <color indexed="81"/>
            <rFont val="Tahoma"/>
            <family val="2"/>
          </rPr>
          <t xml:space="preserve">
satellite distribution deal signed with Optus for $900m over 15 years. We allow for $30m in F2003 and $60m in F2004 onwards. Post content sharing deal</t>
        </r>
      </text>
    </comment>
    <comment ref="T1169" authorId="9" shapeId="0" xr:uid="{00000000-0006-0000-0200-000068000000}">
      <text>
        <r>
          <rPr>
            <b/>
            <sz val="8"/>
            <color indexed="81"/>
            <rFont val="Tahoma"/>
            <family val="2"/>
          </rPr>
          <t>bholgate:</t>
        </r>
        <r>
          <rPr>
            <sz val="8"/>
            <color indexed="81"/>
            <rFont val="Tahoma"/>
            <family val="2"/>
          </rPr>
          <t xml:space="preserve">
leverage (debt) = 1.8x EBITDA (406) = 730</t>
        </r>
      </text>
    </comment>
    <comment ref="U1169" authorId="1" shapeId="0" xr:uid="{00000000-0006-0000-0200-000069000000}">
      <text>
        <r>
          <rPr>
            <b/>
            <sz val="8"/>
            <color indexed="81"/>
            <rFont val="Tahoma"/>
            <family val="2"/>
          </rPr>
          <t>goodrmar:</t>
        </r>
        <r>
          <rPr>
            <sz val="8"/>
            <color indexed="81"/>
            <rFont val="Tahoma"/>
            <family val="2"/>
          </rPr>
          <t xml:space="preserve">
1.5x debt to ebitda … 716m</t>
        </r>
      </text>
    </comment>
    <comment ref="V1169" authorId="1" shapeId="0" xr:uid="{00000000-0006-0000-0200-00006A000000}">
      <text>
        <r>
          <rPr>
            <b/>
            <sz val="8"/>
            <color indexed="81"/>
            <rFont val="Tahoma"/>
            <family val="2"/>
          </rPr>
          <t>goodrmar:</t>
        </r>
        <r>
          <rPr>
            <sz val="8"/>
            <color indexed="81"/>
            <rFont val="Tahoma"/>
            <family val="2"/>
          </rPr>
          <t xml:space="preserve">
1.3x Debt to EBITDA…hence 716…spoke with Silvo Barac…$620</t>
        </r>
      </text>
    </comment>
    <comment ref="T1180" authorId="9" shapeId="0" xr:uid="{00000000-0006-0000-0200-00006B000000}">
      <text>
        <r>
          <rPr>
            <b/>
            <sz val="8"/>
            <color indexed="81"/>
            <rFont val="Tahoma"/>
            <family val="2"/>
          </rPr>
          <t>mg:</t>
        </r>
        <r>
          <rPr>
            <sz val="8"/>
            <color indexed="81"/>
            <rFont val="Tahoma"/>
            <family val="2"/>
          </rPr>
          <t xml:space="preserve">
plug = $250m to get correct debt (730)</t>
        </r>
      </text>
    </comment>
    <comment ref="U1180" authorId="1" shapeId="0" xr:uid="{00000000-0006-0000-0200-00006C000000}">
      <text>
        <r>
          <rPr>
            <b/>
            <sz val="8"/>
            <color indexed="81"/>
            <rFont val="Tahoma"/>
            <family val="2"/>
          </rPr>
          <t>goodrmar:</t>
        </r>
        <r>
          <rPr>
            <sz val="8"/>
            <color indexed="81"/>
            <rFont val="Tahoma"/>
            <family val="2"/>
          </rPr>
          <t xml:space="preserve">
plug</t>
        </r>
      </text>
    </comment>
    <comment ref="Y1195" authorId="3" shapeId="0" xr:uid="{00000000-0006-0000-0200-00006D000000}">
      <text>
        <r>
          <rPr>
            <b/>
            <sz val="8"/>
            <color indexed="81"/>
            <rFont val="Tahoma"/>
            <family val="2"/>
          </rPr>
          <t>gohkin:</t>
        </r>
        <r>
          <rPr>
            <sz val="8"/>
            <color indexed="81"/>
            <rFont val="Tahoma"/>
            <family val="2"/>
          </rPr>
          <t xml:space="preserve">
NWS 1H14 - 2.5m Dec 31 2013… 5% increase vs, pcp due to increased digital platform subs</t>
        </r>
      </text>
    </comment>
    <comment ref="X1199" authorId="3" shapeId="0" xr:uid="{00000000-0006-0000-0200-00006E000000}">
      <text>
        <r>
          <rPr>
            <b/>
            <sz val="8"/>
            <color indexed="81"/>
            <rFont val="Tahoma"/>
            <family val="2"/>
          </rPr>
          <t>gohkin:</t>
        </r>
        <r>
          <rPr>
            <sz val="8"/>
            <color indexed="81"/>
            <rFont val="Tahoma"/>
            <family val="2"/>
          </rPr>
          <t xml:space="preserve">
NWS F2013 -$97</t>
        </r>
      </text>
    </comment>
    <comment ref="Y1199" authorId="4" shapeId="0" xr:uid="{00000000-0006-0000-0200-00006F000000}">
      <text>
        <r>
          <rPr>
            <b/>
            <sz val="9"/>
            <color indexed="81"/>
            <rFont val="Tahoma"/>
            <family val="2"/>
          </rPr>
          <t>Lansky, Elise (Research):</t>
        </r>
        <r>
          <rPr>
            <sz val="9"/>
            <color indexed="81"/>
            <rFont val="Tahoma"/>
            <family val="2"/>
          </rPr>
          <t xml:space="preserve">
NWSA $96 F14 and $93 F15</t>
        </r>
      </text>
    </comment>
    <comment ref="Z1203" authorId="4" shapeId="0" xr:uid="{00000000-0006-0000-0200-000070000000}">
      <text>
        <r>
          <rPr>
            <b/>
            <sz val="9"/>
            <color indexed="81"/>
            <rFont val="Tahoma"/>
            <family val="2"/>
          </rPr>
          <t xml:space="preserve">Lansky, Elise (Research)
</t>
        </r>
        <r>
          <rPr>
            <sz val="9"/>
            <color indexed="81"/>
            <rFont val="Tahoma"/>
            <family val="2"/>
          </rPr>
          <t>97m in May 15 - Roy Morgan</t>
        </r>
      </text>
    </comment>
    <comment ref="AA1203" authorId="4" shapeId="0" xr:uid="{00000000-0006-0000-0200-000071000000}">
      <text>
        <r>
          <rPr>
            <b/>
            <sz val="9"/>
            <color indexed="81"/>
            <rFont val="Tahoma"/>
            <family val="2"/>
          </rPr>
          <t>Lansky, Elise (Research):</t>
        </r>
        <r>
          <rPr>
            <sz val="9"/>
            <color indexed="81"/>
            <rFont val="Tahoma"/>
            <family val="2"/>
          </rPr>
          <t xml:space="preserve">
As at May 16 - Roy Morgan</t>
        </r>
      </text>
    </comment>
    <comment ref="AB1203" authorId="4" shapeId="0" xr:uid="{00000000-0006-0000-0200-000072000000}">
      <text>
        <r>
          <rPr>
            <b/>
            <sz val="9"/>
            <color indexed="81"/>
            <rFont val="Tahoma"/>
            <family val="2"/>
          </rPr>
          <t>Lansky, Elise (Research):</t>
        </r>
        <r>
          <rPr>
            <sz val="9"/>
            <color indexed="81"/>
            <rFont val="Tahoma"/>
            <family val="2"/>
          </rPr>
          <t xml:space="preserve">
Presto closed down in Jan 2017</t>
        </r>
      </text>
    </comment>
    <comment ref="AA1234" authorId="3" shapeId="0" xr:uid="{00000000-0006-0000-0200-000073000000}">
      <text>
        <r>
          <rPr>
            <b/>
            <sz val="8"/>
            <color indexed="81"/>
            <rFont val="Tahoma"/>
            <family val="2"/>
          </rPr>
          <t>gohkin:</t>
        </r>
        <r>
          <rPr>
            <sz val="8"/>
            <color indexed="81"/>
            <rFont val="Tahoma"/>
            <family val="2"/>
          </rPr>
          <t xml:space="preserve">
declining longer term to make capex = D&amp;A</t>
        </r>
      </text>
    </comment>
    <comment ref="AB1234" authorId="3" shapeId="0" xr:uid="{00000000-0006-0000-0200-000074000000}">
      <text>
        <r>
          <rPr>
            <b/>
            <sz val="8"/>
            <color indexed="81"/>
            <rFont val="Tahoma"/>
            <family val="2"/>
          </rPr>
          <t>gohkin:</t>
        </r>
        <r>
          <rPr>
            <sz val="8"/>
            <color indexed="81"/>
            <rFont val="Tahoma"/>
            <family val="2"/>
          </rPr>
          <t xml:space="preserve">
declining longer term to make capex = D&amp;A</t>
        </r>
      </text>
    </comment>
    <comment ref="T1238" authorId="9" shapeId="0" xr:uid="{00000000-0006-0000-0200-000075000000}">
      <text>
        <r>
          <rPr>
            <b/>
            <sz val="8"/>
            <color indexed="81"/>
            <rFont val="Tahoma"/>
            <family val="2"/>
          </rPr>
          <t>bholgate:</t>
        </r>
        <r>
          <rPr>
            <sz val="8"/>
            <color indexed="81"/>
            <rFont val="Tahoma"/>
            <family val="2"/>
          </rPr>
          <t xml:space="preserve">
guesstimate, based on AUN accounts (50% XYZ shareholder)</t>
        </r>
      </text>
    </comment>
    <comment ref="AA1238" authorId="4" shapeId="0" xr:uid="{00000000-0006-0000-0200-000076000000}">
      <text>
        <r>
          <rPr>
            <b/>
            <sz val="9"/>
            <color indexed="81"/>
            <rFont val="Tahoma"/>
            <family val="2"/>
          </rPr>
          <t>Lansky, Elise (Research):</t>
        </r>
        <r>
          <rPr>
            <sz val="9"/>
            <color indexed="81"/>
            <rFont val="Tahoma"/>
            <family val="2"/>
          </rPr>
          <t xml:space="preserve">
From NWSA accounts</t>
        </r>
      </text>
    </comment>
    <comment ref="AA1254" authorId="4" shapeId="0" xr:uid="{00000000-0006-0000-0200-000077000000}">
      <text>
        <r>
          <rPr>
            <b/>
            <sz val="9"/>
            <color indexed="81"/>
            <rFont val="Tahoma"/>
            <family val="2"/>
          </rPr>
          <t>Lansky, Elise (Research):</t>
        </r>
        <r>
          <rPr>
            <sz val="9"/>
            <color indexed="81"/>
            <rFont val="Tahoma"/>
            <family val="2"/>
          </rPr>
          <t xml:space="preserve">
Restructuring Charge</t>
        </r>
      </text>
    </comment>
    <comment ref="X1263" authorId="3" shapeId="0" xr:uid="{00000000-0006-0000-0200-000078000000}">
      <text>
        <r>
          <rPr>
            <b/>
            <sz val="8"/>
            <color indexed="81"/>
            <rFont val="Tahoma"/>
            <family val="2"/>
          </rPr>
          <t>gohkin:</t>
        </r>
        <r>
          <rPr>
            <sz val="8"/>
            <color indexed="81"/>
            <rFont val="Tahoma"/>
            <family val="2"/>
          </rPr>
          <t xml:space="preserve">
paid US$159m to NWS in F2013</t>
        </r>
      </text>
    </comment>
    <comment ref="B1273" authorId="1" shapeId="0" xr:uid="{00000000-0006-0000-0200-000079000000}">
      <text>
        <r>
          <rPr>
            <b/>
            <sz val="8"/>
            <color indexed="81"/>
            <rFont val="Tahoma"/>
            <family val="2"/>
          </rPr>
          <t>goodrmar:</t>
        </r>
        <r>
          <rPr>
            <sz val="8"/>
            <color indexed="81"/>
            <rFont val="Tahoma"/>
            <family val="2"/>
          </rPr>
          <t xml:space="preserve">
HK based wirelss business..TLS own 76%</t>
        </r>
      </text>
    </comment>
    <comment ref="AA1275" authorId="4" shapeId="0" xr:uid="{00000000-0006-0000-0200-00007A000000}">
      <text>
        <r>
          <rPr>
            <b/>
            <sz val="9"/>
            <color indexed="81"/>
            <rFont val="Tahoma"/>
            <family val="2"/>
          </rPr>
          <t>Lansky, Elise (Research):</t>
        </r>
        <r>
          <rPr>
            <sz val="9"/>
            <color indexed="81"/>
            <rFont val="Tahoma"/>
            <family val="2"/>
          </rPr>
          <t xml:space="preserve">
Autohome removed from F16 results. Sold June 16</t>
        </r>
      </text>
    </comment>
    <comment ref="Y1276" authorId="1" shapeId="0" xr:uid="{00000000-0006-0000-0200-00007B000000}">
      <text>
        <r>
          <rPr>
            <b/>
            <sz val="8"/>
            <color indexed="81"/>
            <rFont val="Tahoma"/>
            <family val="2"/>
          </rPr>
          <t>goodrmar:</t>
        </r>
        <r>
          <rPr>
            <sz val="8"/>
            <color indexed="81"/>
            <rFont val="Tahoma"/>
            <family val="2"/>
          </rPr>
          <t xml:space="preserve">
removed A$102m for M&amp;A across TLS</t>
        </r>
      </text>
    </comment>
    <comment ref="AA1277" authorId="4" shapeId="0" xr:uid="{00000000-0006-0000-0200-00007C000000}">
      <text>
        <r>
          <rPr>
            <b/>
            <sz val="9"/>
            <color indexed="81"/>
            <rFont val="Tahoma"/>
            <family val="2"/>
          </rPr>
          <t>Lansky, Elise (Research):</t>
        </r>
        <r>
          <rPr>
            <sz val="9"/>
            <color indexed="81"/>
            <rFont val="Tahoma"/>
            <family val="2"/>
          </rPr>
          <t xml:space="preserve">
Falls into IP &amp; Data "International NAS Revenue"</t>
        </r>
      </text>
    </comment>
    <comment ref="X1280" authorId="1" shapeId="0" xr:uid="{00000000-0006-0000-0200-00007D000000}">
      <text>
        <r>
          <rPr>
            <b/>
            <sz val="8"/>
            <color indexed="81"/>
            <rFont val="Tahoma"/>
            <family val="2"/>
          </rPr>
          <t>goodrmar:</t>
        </r>
        <r>
          <rPr>
            <sz val="8"/>
            <color indexed="81"/>
            <rFont val="Tahoma"/>
            <family val="2"/>
          </rPr>
          <t xml:space="preserve">
Sold to Vodafone 12 July 2012 … for A$660m</t>
        </r>
      </text>
    </comment>
    <comment ref="AA1285" authorId="4" shapeId="0" xr:uid="{00000000-0006-0000-0200-00007E000000}">
      <text>
        <r>
          <rPr>
            <sz val="9"/>
            <color indexed="81"/>
            <rFont val="Tahoma"/>
            <family val="2"/>
          </rPr>
          <t>includes -14 for M&amp;A controlled business… $64m Fixed services Adj for ACCC FAD pricing …. $356m for Mobile termination access service dertermination (MTAS FAD) adj.. $4m DTCS FAD</t>
        </r>
      </text>
    </comment>
    <comment ref="B1291" authorId="5" shapeId="0" xr:uid="{00000000-0006-0000-0200-00007F000000}">
      <text>
        <r>
          <rPr>
            <b/>
            <sz val="9"/>
            <color indexed="81"/>
            <rFont val="Tahoma"/>
            <family val="2"/>
          </rPr>
          <t>Goodridge, Mark (Research):</t>
        </r>
        <r>
          <rPr>
            <sz val="9"/>
            <color indexed="81"/>
            <rFont val="Tahoma"/>
            <family val="2"/>
          </rPr>
          <t xml:space="preserve">
Foxtel</t>
        </r>
      </text>
    </comment>
    <comment ref="Z1291" authorId="1" shapeId="0" xr:uid="{00000000-0006-0000-0200-000080000000}">
      <text>
        <r>
          <rPr>
            <b/>
            <sz val="8"/>
            <color indexed="81"/>
            <rFont val="Tahoma"/>
            <family val="2"/>
          </rPr>
          <t>goodrmar:</t>
        </r>
        <r>
          <rPr>
            <sz val="8"/>
            <color indexed="81"/>
            <rFont val="Tahoma"/>
            <family val="2"/>
          </rPr>
          <t xml:space="preserve">
A$30m for rental income…havent linked this in but for peoples forecasts</t>
        </r>
      </text>
    </comment>
    <comment ref="B1293" authorId="6" shapeId="0" xr:uid="{00000000-0006-0000-0200-000081000000}">
      <text>
        <r>
          <rPr>
            <b/>
            <sz val="9"/>
            <color indexed="81"/>
            <rFont val="Tahoma"/>
            <family val="2"/>
          </rPr>
          <t>Michael, Joseph (Research):</t>
        </r>
        <r>
          <rPr>
            <sz val="9"/>
            <color indexed="81"/>
            <rFont val="Tahoma"/>
            <family val="2"/>
          </rPr>
          <t xml:space="preserve">
PSAA (Disconnection) + ISA: ownership receipts + Comm agreements &amp; Govt. policy</t>
        </r>
      </text>
    </comment>
    <comment ref="W1293" authorId="1" shapeId="0" xr:uid="{00000000-0006-0000-0200-000082000000}">
      <text>
        <r>
          <rPr>
            <b/>
            <sz val="8"/>
            <color indexed="81"/>
            <rFont val="Tahoma"/>
            <family val="2"/>
          </rPr>
          <t>goodrmar:</t>
        </r>
        <r>
          <rPr>
            <sz val="8"/>
            <color indexed="81"/>
            <rFont val="Tahoma"/>
            <family val="2"/>
          </rPr>
          <t xml:space="preserve">
get rid of 12.5m at FY12 result</t>
        </r>
      </text>
    </comment>
    <comment ref="Y1293" authorId="5" shapeId="0" xr:uid="{00000000-0006-0000-0200-000083000000}">
      <text>
        <r>
          <rPr>
            <b/>
            <sz val="9"/>
            <color indexed="81"/>
            <rFont val="Tahoma"/>
            <family val="2"/>
          </rPr>
          <t>Goodridge, Mark (Research):</t>
        </r>
        <r>
          <rPr>
            <sz val="9"/>
            <color indexed="81"/>
            <rFont val="Tahoma"/>
            <family val="2"/>
          </rPr>
          <t xml:space="preserve">
Removed A$561m for sale of CSL</t>
        </r>
      </text>
    </comment>
    <comment ref="W1295" authorId="1" shapeId="0" xr:uid="{00000000-0006-0000-0200-000084000000}">
      <text>
        <r>
          <rPr>
            <b/>
            <sz val="8"/>
            <color indexed="81"/>
            <rFont val="Tahoma"/>
            <family val="2"/>
          </rPr>
          <t>goodrmar:</t>
        </r>
        <r>
          <rPr>
            <sz val="8"/>
            <color indexed="81"/>
            <rFont val="Tahoma"/>
            <family val="2"/>
          </rPr>
          <t xml:space="preserve">
1H year</t>
        </r>
      </text>
    </comment>
    <comment ref="AB1297" authorId="4" shapeId="0" xr:uid="{00000000-0006-0000-0200-000085000000}">
      <text>
        <r>
          <rPr>
            <b/>
            <sz val="9"/>
            <color indexed="81"/>
            <rFont val="Tahoma"/>
            <family val="2"/>
          </rPr>
          <t>To Be Allocated</t>
        </r>
      </text>
    </comment>
    <comment ref="V1305" authorId="1" shapeId="0" xr:uid="{00000000-0006-0000-0200-000086000000}">
      <text>
        <r>
          <rPr>
            <b/>
            <sz val="8"/>
            <color indexed="81"/>
            <rFont val="Tahoma"/>
            <family val="2"/>
          </rPr>
          <t>goodrmar:</t>
        </r>
        <r>
          <rPr>
            <sz val="8"/>
            <color indexed="81"/>
            <rFont val="Tahoma"/>
            <family val="2"/>
          </rPr>
          <t xml:space="preserve">
Check population clock</t>
        </r>
      </text>
    </comment>
    <comment ref="B1334" authorId="1" shapeId="0" xr:uid="{00000000-0006-0000-0200-000087000000}">
      <text>
        <r>
          <rPr>
            <b/>
            <sz val="8"/>
            <color indexed="81"/>
            <rFont val="Tahoma"/>
            <family val="2"/>
          </rPr>
          <t>goodrmar:</t>
        </r>
        <r>
          <rPr>
            <sz val="8"/>
            <color indexed="81"/>
            <rFont val="Tahoma"/>
            <family val="2"/>
          </rPr>
          <t xml:space="preserve">
Sourced from Mobile Model</t>
        </r>
      </text>
    </comment>
    <comment ref="B1341" authorId="1" shapeId="0" xr:uid="{00000000-0006-0000-0200-000088000000}">
      <text>
        <r>
          <rPr>
            <b/>
            <sz val="8"/>
            <color indexed="81"/>
            <rFont val="Tahoma"/>
            <family val="2"/>
          </rPr>
          <t>goodrmar:</t>
        </r>
        <r>
          <rPr>
            <sz val="8"/>
            <color indexed="81"/>
            <rFont val="Tahoma"/>
            <family val="2"/>
          </rPr>
          <t xml:space="preserve">
Sourced from Broadband Model</t>
        </r>
      </text>
    </comment>
    <comment ref="B1348" authorId="6" shapeId="0" xr:uid="{00000000-0006-0000-0200-000089000000}">
      <text>
        <r>
          <rPr>
            <b/>
            <sz val="9"/>
            <color indexed="81"/>
            <rFont val="Tahoma"/>
            <family val="2"/>
          </rPr>
          <t>Michael, Joseph (Research):</t>
        </r>
        <r>
          <rPr>
            <sz val="9"/>
            <color indexed="81"/>
            <rFont val="Tahoma"/>
            <family val="2"/>
          </rPr>
          <t xml:space="preserve">
misc rev + Telstra Health + Telstra software
</t>
        </r>
      </text>
    </comment>
    <comment ref="B1349" authorId="6" shapeId="0" xr:uid="{00000000-0006-0000-0200-00008A000000}">
      <text>
        <r>
          <rPr>
            <b/>
            <sz val="9"/>
            <color indexed="81"/>
            <rFont val="Tahoma"/>
            <family val="2"/>
          </rPr>
          <t>Michael, Joseph (Research):</t>
        </r>
        <r>
          <rPr>
            <sz val="9"/>
            <color indexed="81"/>
            <rFont val="Tahoma"/>
            <family val="2"/>
          </rPr>
          <t xml:space="preserve">
Go Mobile Swap lease income
</t>
        </r>
      </text>
    </comment>
    <comment ref="B1351" authorId="6" shapeId="0" xr:uid="{00000000-0006-0000-0200-00008B000000}">
      <text>
        <r>
          <rPr>
            <b/>
            <sz val="9"/>
            <color indexed="81"/>
            <rFont val="Tahoma"/>
            <family val="2"/>
          </rPr>
          <t>Michael, Joseph (Research):</t>
        </r>
        <r>
          <rPr>
            <sz val="9"/>
            <color indexed="81"/>
            <rFont val="Tahoma"/>
            <family val="2"/>
          </rPr>
          <t xml:space="preserve">
misc rev + Telstra Health + Telstra software
</t>
        </r>
      </text>
    </comment>
    <comment ref="B1352" authorId="1" shapeId="0" xr:uid="{00000000-0006-0000-0200-00008C000000}">
      <text>
        <r>
          <rPr>
            <b/>
            <sz val="8"/>
            <color indexed="81"/>
            <rFont val="Tahoma"/>
            <family val="2"/>
          </rPr>
          <t>goodrmar:</t>
        </r>
        <r>
          <rPr>
            <sz val="8"/>
            <color indexed="81"/>
            <rFont val="Tahoma"/>
            <family val="2"/>
          </rPr>
          <t xml:space="preserve">
ISDN, Integrated Services Digital Network, a set of communications standards for simultaneous digital transmission of voice, video, data, and other network services over the traditional circuits of the public switched telephone network.</t>
        </r>
      </text>
    </comment>
    <comment ref="T1362" authorId="1" shapeId="0" xr:uid="{00000000-0006-0000-0200-00008D000000}">
      <text>
        <r>
          <rPr>
            <b/>
            <sz val="8"/>
            <color indexed="81"/>
            <rFont val="Tahoma"/>
            <family val="2"/>
          </rPr>
          <t>goodrmar:</t>
        </r>
        <r>
          <rPr>
            <sz val="8"/>
            <color indexed="81"/>
            <rFont val="Tahoma"/>
            <family val="2"/>
          </rPr>
          <t xml:space="preserve">
Now no longer breaks out Call and Access Revenue</t>
        </r>
      </text>
    </comment>
    <comment ref="N1368" authorId="1" shapeId="0" xr:uid="{00000000-0006-0000-0200-00008E000000}">
      <text>
        <r>
          <rPr>
            <b/>
            <sz val="8"/>
            <color indexed="81"/>
            <rFont val="Tahoma"/>
            <family val="2"/>
          </rPr>
          <t>goodrmar:</t>
        </r>
        <r>
          <rPr>
            <sz val="8"/>
            <color indexed="81"/>
            <rFont val="Tahoma"/>
            <family val="2"/>
          </rPr>
          <t xml:space="preserve">
Now this is made up from 1.Data Call rev 2. Voice Call reveneu 3. fixed to mobile rev</t>
        </r>
      </text>
    </comment>
    <comment ref="T1405" authorId="1" shapeId="0" xr:uid="{00000000-0006-0000-0200-00008F000000}">
      <text>
        <r>
          <rPr>
            <b/>
            <sz val="8"/>
            <color indexed="81"/>
            <rFont val="Tahoma"/>
            <family val="2"/>
          </rPr>
          <t>goodrmar:</t>
        </r>
        <r>
          <rPr>
            <sz val="8"/>
            <color indexed="81"/>
            <rFont val="Tahoma"/>
            <family val="2"/>
          </rPr>
          <t xml:space="preserve">
Stopped reporting spearately</t>
        </r>
      </text>
    </comment>
    <comment ref="W1446" authorId="1" shapeId="0" xr:uid="{00000000-0006-0000-0200-000090000000}">
      <text>
        <r>
          <rPr>
            <b/>
            <sz val="8"/>
            <color indexed="81"/>
            <rFont val="Tahoma"/>
            <family val="2"/>
          </rPr>
          <t>goodrmar:</t>
        </r>
        <r>
          <rPr>
            <sz val="8"/>
            <color indexed="81"/>
            <rFont val="Tahoma"/>
            <family val="2"/>
          </rPr>
          <t xml:space="preserve">
http://www.accc.gov.au/content/item.phtml?itemId=853523&amp;nodeId=521ff07f3964e094d11e0fd289e1ccae&amp;fn=Snapshot%20of%20Telstra%27s%20customer%20access%20network%20-%20Jun%202012.pdf</t>
        </r>
      </text>
    </comment>
    <comment ref="X1456" authorId="1" shapeId="0" xr:uid="{00000000-0006-0000-0200-000091000000}">
      <text>
        <r>
          <rPr>
            <b/>
            <sz val="8"/>
            <color indexed="81"/>
            <rFont val="Tahoma"/>
            <family val="2"/>
          </rPr>
          <t>goodrmar:</t>
        </r>
        <r>
          <rPr>
            <sz val="8"/>
            <color indexed="81"/>
            <rFont val="Tahoma"/>
            <family val="2"/>
          </rPr>
          <t xml:space="preserve">
Increase in prices by 6% hene slow the ARPU decline</t>
        </r>
      </text>
    </comment>
    <comment ref="AI1492" authorId="5" shapeId="0" xr:uid="{00000000-0006-0000-0200-000092000000}">
      <text>
        <r>
          <rPr>
            <b/>
            <sz val="9"/>
            <color indexed="81"/>
            <rFont val="Tahoma"/>
            <family val="2"/>
          </rPr>
          <t>Goodridge, Mark (Research):</t>
        </r>
        <r>
          <rPr>
            <sz val="9"/>
            <color indexed="81"/>
            <rFont val="Tahoma"/>
            <family val="2"/>
          </rPr>
          <t xml:space="preserve">
Converges to A$20 calling ARPU</t>
        </r>
      </text>
    </comment>
    <comment ref="X1493" authorId="1" shapeId="0" xr:uid="{00000000-0006-0000-0200-000093000000}">
      <text>
        <r>
          <rPr>
            <b/>
            <sz val="8"/>
            <color indexed="81"/>
            <rFont val="Tahoma"/>
            <family val="2"/>
          </rPr>
          <t>goodrmar:</t>
        </r>
        <r>
          <rPr>
            <sz val="8"/>
            <color indexed="81"/>
            <rFont val="Tahoma"/>
            <family val="2"/>
          </rPr>
          <t xml:space="preserve">
Increase in prices by 6% hene slow the ARPU decline</t>
        </r>
      </text>
    </comment>
    <comment ref="B1503" authorId="1" shapeId="0" xr:uid="{00000000-0006-0000-0200-000094000000}">
      <text>
        <r>
          <rPr>
            <b/>
            <sz val="8"/>
            <color indexed="81"/>
            <rFont val="Tahoma"/>
            <family val="2"/>
          </rPr>
          <t>goodrmar:</t>
        </r>
        <r>
          <rPr>
            <sz val="8"/>
            <color indexed="81"/>
            <rFont val="Tahoma"/>
            <family val="2"/>
          </rPr>
          <t xml:space="preserve">
Note this revenue is included in BB numbers</t>
        </r>
      </text>
    </comment>
    <comment ref="S1534" authorId="1" shapeId="0" xr:uid="{00000000-0006-0000-0200-000095000000}">
      <text>
        <r>
          <rPr>
            <b/>
            <sz val="8"/>
            <color indexed="81"/>
            <rFont val="Tahoma"/>
            <family val="2"/>
          </rPr>
          <t>goodrmar:</t>
        </r>
        <r>
          <rPr>
            <sz val="8"/>
            <color indexed="81"/>
            <rFont val="Tahoma"/>
            <family val="2"/>
          </rPr>
          <t xml:space="preserve">
Not Disclosed</t>
        </r>
      </text>
    </comment>
    <comment ref="T1534" authorId="1" shapeId="0" xr:uid="{00000000-0006-0000-0200-000096000000}">
      <text>
        <r>
          <rPr>
            <b/>
            <sz val="8"/>
            <color indexed="81"/>
            <rFont val="Tahoma"/>
            <family val="2"/>
          </rPr>
          <t>goodrmar:</t>
        </r>
        <r>
          <rPr>
            <sz val="8"/>
            <color indexed="81"/>
            <rFont val="Tahoma"/>
            <family val="2"/>
          </rPr>
          <t xml:space="preserve">
Not Disclosed</t>
        </r>
      </text>
    </comment>
    <comment ref="U1534" authorId="1" shapeId="0" xr:uid="{00000000-0006-0000-0200-000097000000}">
      <text>
        <r>
          <rPr>
            <b/>
            <sz val="8"/>
            <color indexed="81"/>
            <rFont val="Tahoma"/>
            <family val="2"/>
          </rPr>
          <t>goodrmar:</t>
        </r>
        <r>
          <rPr>
            <sz val="8"/>
            <color indexed="81"/>
            <rFont val="Tahoma"/>
            <family val="2"/>
          </rPr>
          <t xml:space="preserve">
Not Disclosed</t>
        </r>
      </text>
    </comment>
    <comment ref="V1534" authorId="1" shapeId="0" xr:uid="{00000000-0006-0000-0200-000098000000}">
      <text>
        <r>
          <rPr>
            <b/>
            <sz val="8"/>
            <color indexed="81"/>
            <rFont val="Tahoma"/>
            <family val="2"/>
          </rPr>
          <t>goodrmar:</t>
        </r>
        <r>
          <rPr>
            <sz val="8"/>
            <color indexed="81"/>
            <rFont val="Tahoma"/>
            <family val="2"/>
          </rPr>
          <t xml:space="preserve">
Not Disclosed
</t>
        </r>
      </text>
    </comment>
    <comment ref="U1538" authorId="1" shapeId="0" xr:uid="{00000000-0006-0000-0200-000099000000}">
      <text>
        <r>
          <rPr>
            <b/>
            <sz val="8"/>
            <color indexed="81"/>
            <rFont val="Tahoma"/>
            <family val="2"/>
          </rPr>
          <t>goodrmar:</t>
        </r>
        <r>
          <rPr>
            <sz val="8"/>
            <color indexed="81"/>
            <rFont val="Tahoma"/>
            <family val="2"/>
          </rPr>
          <t xml:space="preserve">
Not disclosed</t>
        </r>
      </text>
    </comment>
    <comment ref="V1538" authorId="1" shapeId="0" xr:uid="{00000000-0006-0000-0200-00009A000000}">
      <text>
        <r>
          <rPr>
            <b/>
            <sz val="8"/>
            <color indexed="81"/>
            <rFont val="Tahoma"/>
            <family val="2"/>
          </rPr>
          <t>goodrmar:</t>
        </r>
        <r>
          <rPr>
            <sz val="8"/>
            <color indexed="81"/>
            <rFont val="Tahoma"/>
            <family val="2"/>
          </rPr>
          <t xml:space="preserve">
Not Disclosed</t>
        </r>
      </text>
    </comment>
    <comment ref="B1572" authorId="1" shapeId="0" xr:uid="{00000000-0006-0000-0200-00009B000000}">
      <text>
        <r>
          <rPr>
            <b/>
            <sz val="8"/>
            <color indexed="81"/>
            <rFont val="Tahoma"/>
            <family val="2"/>
          </rPr>
          <t>goodrmar:</t>
        </r>
        <r>
          <rPr>
            <sz val="8"/>
            <color indexed="81"/>
            <rFont val="Tahoma"/>
            <family val="2"/>
          </rPr>
          <t xml:space="preserve">
FY00 to FY05 these numbers were reported…now it is inferred
</t>
        </r>
      </text>
    </comment>
    <comment ref="B1609" authorId="1" shapeId="0" xr:uid="{00000000-0006-0000-0200-00009C000000}">
      <text>
        <r>
          <rPr>
            <b/>
            <sz val="8"/>
            <color indexed="81"/>
            <rFont val="Tahoma"/>
            <family val="2"/>
          </rPr>
          <t>goodrmar:</t>
        </r>
        <r>
          <rPr>
            <sz val="8"/>
            <color indexed="81"/>
            <rFont val="Tahoma"/>
            <family val="2"/>
          </rPr>
          <t xml:space="preserve">
Sourced From Broadband Model</t>
        </r>
      </text>
    </comment>
    <comment ref="AE1619" authorId="1" shapeId="0" xr:uid="{00000000-0006-0000-0200-00009D000000}">
      <text>
        <r>
          <rPr>
            <b/>
            <sz val="8"/>
            <color indexed="81"/>
            <rFont val="Tahoma"/>
            <family val="2"/>
          </rPr>
          <t>goodrmar:</t>
        </r>
        <r>
          <rPr>
            <sz val="8"/>
            <color indexed="81"/>
            <rFont val="Tahoma"/>
            <family val="2"/>
          </rPr>
          <t xml:space="preserve">
Independents Export report page 142…NBN plans at ~$50 per month</t>
        </r>
      </text>
    </comment>
    <comment ref="Z1620" authorId="1" shapeId="0" xr:uid="{00000000-0006-0000-0200-00009E000000}">
      <text>
        <r>
          <rPr>
            <b/>
            <sz val="8"/>
            <color indexed="81"/>
            <rFont val="Tahoma"/>
            <family val="2"/>
          </rPr>
          <t>goodrmar:</t>
        </r>
        <r>
          <rPr>
            <sz val="8"/>
            <color indexed="81"/>
            <rFont val="Tahoma"/>
            <family val="2"/>
          </rPr>
          <t xml:space="preserve">
NBN starting….more competitve market</t>
        </r>
      </text>
    </comment>
    <comment ref="B1629" authorId="1" shapeId="0" xr:uid="{00000000-0006-0000-0200-00009F000000}">
      <text>
        <r>
          <rPr>
            <b/>
            <sz val="8"/>
            <color indexed="81"/>
            <rFont val="Tahoma"/>
            <family val="2"/>
          </rPr>
          <t>goodrmar:</t>
        </r>
        <r>
          <rPr>
            <sz val="8"/>
            <color indexed="81"/>
            <rFont val="Tahoma"/>
            <family val="2"/>
          </rPr>
          <t xml:space="preserve">
Sourced From Broadband Model</t>
        </r>
      </text>
    </comment>
    <comment ref="B1649" authorId="1" shapeId="0" xr:uid="{00000000-0006-0000-0200-0000A0000000}">
      <text>
        <r>
          <rPr>
            <b/>
            <sz val="8"/>
            <color indexed="81"/>
            <rFont val="Tahoma"/>
            <family val="2"/>
          </rPr>
          <t>goodrmar:</t>
        </r>
        <r>
          <rPr>
            <sz val="8"/>
            <color indexed="81"/>
            <rFont val="Tahoma"/>
            <family val="2"/>
          </rPr>
          <t xml:space="preserve">
Sourced From Broadband Model</t>
        </r>
      </text>
    </comment>
    <comment ref="X1652" authorId="1" shapeId="0" xr:uid="{00000000-0006-0000-0200-0000A1000000}">
      <text>
        <r>
          <rPr>
            <b/>
            <sz val="8"/>
            <color indexed="81"/>
            <rFont val="Tahoma"/>
            <family val="2"/>
          </rPr>
          <t>goodrmar:</t>
        </r>
        <r>
          <rPr>
            <sz val="8"/>
            <color indexed="81"/>
            <rFont val="Tahoma"/>
            <family val="2"/>
          </rPr>
          <t xml:space="preserve">
Need to Link Back to NBN handover
</t>
        </r>
      </text>
    </comment>
    <comment ref="B1693" authorId="1" shapeId="0" xr:uid="{00000000-0006-0000-0200-0000A2000000}">
      <text>
        <r>
          <rPr>
            <b/>
            <sz val="8"/>
            <color indexed="81"/>
            <rFont val="Tahoma"/>
            <family val="2"/>
          </rPr>
          <t>goodrmar:</t>
        </r>
        <r>
          <rPr>
            <sz val="8"/>
            <color indexed="81"/>
            <rFont val="Tahoma"/>
            <family val="2"/>
          </rPr>
          <t xml:space="preserve">
Sourced From Broadband Model</t>
        </r>
      </text>
    </comment>
    <comment ref="T1723" authorId="1" shapeId="0" xr:uid="{00000000-0006-0000-0200-0000A3000000}">
      <text>
        <r>
          <rPr>
            <b/>
            <sz val="8"/>
            <color indexed="81"/>
            <rFont val="Tahoma"/>
            <family val="2"/>
          </rPr>
          <t>goodrmar:</t>
        </r>
        <r>
          <rPr>
            <sz val="8"/>
            <color indexed="81"/>
            <rFont val="Tahoma"/>
            <family val="2"/>
          </rPr>
          <t xml:space="preserve">
No longer reported…assumped</t>
        </r>
      </text>
    </comment>
    <comment ref="AA1734" authorId="5" shapeId="0" xr:uid="{00000000-0006-0000-0200-0000A4000000}">
      <text>
        <r>
          <rPr>
            <b/>
            <sz val="9"/>
            <color indexed="81"/>
            <rFont val="Tahoma"/>
            <family val="2"/>
          </rPr>
          <t>Goodridge, Mark (Research):</t>
        </r>
        <r>
          <rPr>
            <sz val="9"/>
            <color indexed="81"/>
            <rFont val="Tahoma"/>
            <family val="2"/>
          </rPr>
          <t xml:space="preserve">
Another change from TLS </t>
        </r>
      </text>
    </comment>
    <comment ref="V1743" authorId="1" shapeId="0" xr:uid="{00000000-0006-0000-0200-0000A5000000}">
      <text>
        <r>
          <rPr>
            <b/>
            <sz val="8"/>
            <color indexed="81"/>
            <rFont val="Tahoma"/>
            <family val="2"/>
          </rPr>
          <t>goodrmar:</t>
        </r>
        <r>
          <rPr>
            <sz val="8"/>
            <color indexed="81"/>
            <rFont val="Tahoma"/>
            <family val="2"/>
          </rPr>
          <t xml:space="preserve">
SouFun sold</t>
        </r>
      </text>
    </comment>
    <comment ref="Y1743" authorId="5" shapeId="0" xr:uid="{00000000-0006-0000-0200-0000A6000000}">
      <text>
        <r>
          <rPr>
            <b/>
            <sz val="9"/>
            <color indexed="81"/>
            <rFont val="Tahoma"/>
            <family val="2"/>
          </rPr>
          <t>Goodridge, Mark (Research):</t>
        </r>
        <r>
          <rPr>
            <sz val="9"/>
            <color indexed="81"/>
            <rFont val="Tahoma"/>
            <family val="2"/>
          </rPr>
          <t xml:space="preserve">
Autohome A$250m</t>
        </r>
      </text>
    </comment>
    <comment ref="Z1743" authorId="5" shapeId="0" xr:uid="{00000000-0006-0000-0200-0000A7000000}">
      <text>
        <r>
          <rPr>
            <b/>
            <sz val="9"/>
            <color indexed="81"/>
            <rFont val="Tahoma"/>
            <family val="2"/>
          </rPr>
          <t>Goodridge, Mark (Research):</t>
        </r>
        <r>
          <rPr>
            <sz val="9"/>
            <color indexed="81"/>
            <rFont val="Tahoma"/>
            <family val="2"/>
          </rPr>
          <t xml:space="preserve">
Autohome A$495</t>
        </r>
      </text>
    </comment>
    <comment ref="AB1743" authorId="5" shapeId="0" xr:uid="{00000000-0006-0000-0200-0000A8000000}">
      <text>
        <r>
          <rPr>
            <b/>
            <sz val="9"/>
            <color indexed="81"/>
            <rFont val="Tahoma"/>
            <family val="2"/>
          </rPr>
          <t>Goodridge, Mark (Research):</t>
        </r>
        <r>
          <rPr>
            <sz val="9"/>
            <color indexed="81"/>
            <rFont val="Tahoma"/>
            <family val="2"/>
          </rPr>
          <t xml:space="preserve">
Sold stake in Autohome 15th April 2016, deal expected to hit FY16 onwards</t>
        </r>
      </text>
    </comment>
    <comment ref="AB1747" authorId="5" shapeId="0" xr:uid="{00000000-0006-0000-0200-0000A9000000}">
      <text>
        <r>
          <rPr>
            <b/>
            <sz val="9"/>
            <color indexed="81"/>
            <rFont val="Tahoma"/>
            <family val="2"/>
          </rPr>
          <t>Goodridge, Mark (Research):</t>
        </r>
        <r>
          <rPr>
            <sz val="9"/>
            <color indexed="81"/>
            <rFont val="Tahoma"/>
            <family val="2"/>
          </rPr>
          <t xml:space="preserve">
Implied operatng cost from Autohome which are now removed</t>
        </r>
      </text>
    </comment>
    <comment ref="Y1754" authorId="1" shapeId="0" xr:uid="{00000000-0006-0000-0200-0000AA000000}">
      <text>
        <r>
          <rPr>
            <b/>
            <sz val="8"/>
            <color indexed="81"/>
            <rFont val="Tahoma"/>
            <family val="2"/>
          </rPr>
          <t>goodrmar:</t>
        </r>
        <r>
          <rPr>
            <sz val="8"/>
            <color indexed="81"/>
            <rFont val="Tahoma"/>
            <family val="2"/>
          </rPr>
          <t xml:space="preserve">
Sold business to HKT limited on 20th Dec 2013, for A$2.425bn</t>
        </r>
      </text>
    </comment>
    <comment ref="Z1754" authorId="1" shapeId="0" xr:uid="{00000000-0006-0000-0200-0000AB000000}">
      <text>
        <r>
          <rPr>
            <b/>
            <sz val="8"/>
            <color indexed="81"/>
            <rFont val="Tahoma"/>
            <family val="2"/>
          </rPr>
          <t>goodrmar:</t>
        </r>
        <r>
          <rPr>
            <sz val="8"/>
            <color indexed="81"/>
            <rFont val="Tahoma"/>
            <family val="2"/>
          </rPr>
          <t xml:space="preserve">
Sold business to HKT limited on 20th Dec 2013, for A$2.425bn</t>
        </r>
      </text>
    </comment>
    <comment ref="AA1754" authorId="1" shapeId="0" xr:uid="{00000000-0006-0000-0200-0000AC000000}">
      <text>
        <r>
          <rPr>
            <b/>
            <sz val="8"/>
            <color indexed="81"/>
            <rFont val="Tahoma"/>
            <family val="2"/>
          </rPr>
          <t>goodrmar:</t>
        </r>
        <r>
          <rPr>
            <sz val="8"/>
            <color indexed="81"/>
            <rFont val="Tahoma"/>
            <family val="2"/>
          </rPr>
          <t xml:space="preserve">
Sold business to HKT limited on 20th Dec 2013, for A$2.425bn</t>
        </r>
      </text>
    </comment>
    <comment ref="AB1754" authorId="1" shapeId="0" xr:uid="{00000000-0006-0000-0200-0000AD000000}">
      <text>
        <r>
          <rPr>
            <b/>
            <sz val="8"/>
            <color indexed="81"/>
            <rFont val="Tahoma"/>
            <family val="2"/>
          </rPr>
          <t>goodrmar:</t>
        </r>
        <r>
          <rPr>
            <sz val="8"/>
            <color indexed="81"/>
            <rFont val="Tahoma"/>
            <family val="2"/>
          </rPr>
          <t xml:space="preserve">
Sold business to HKT limited on 20th Dec 2013, for A$2.425bn</t>
        </r>
      </text>
    </comment>
    <comment ref="AC1754" authorId="1" shapeId="0" xr:uid="{00000000-0006-0000-0200-0000AE000000}">
      <text>
        <r>
          <rPr>
            <b/>
            <sz val="8"/>
            <color indexed="81"/>
            <rFont val="Tahoma"/>
            <family val="2"/>
          </rPr>
          <t>goodrmar:</t>
        </r>
        <r>
          <rPr>
            <sz val="8"/>
            <color indexed="81"/>
            <rFont val="Tahoma"/>
            <family val="2"/>
          </rPr>
          <t xml:space="preserve">
Sold business to HKT limited on 20th Dec 2013, for A$2.425bn</t>
        </r>
      </text>
    </comment>
    <comment ref="AD1754" authorId="1" shapeId="0" xr:uid="{00000000-0006-0000-0200-0000AF000000}">
      <text>
        <r>
          <rPr>
            <b/>
            <sz val="8"/>
            <color indexed="81"/>
            <rFont val="Tahoma"/>
            <family val="2"/>
          </rPr>
          <t>goodrmar:</t>
        </r>
        <r>
          <rPr>
            <sz val="8"/>
            <color indexed="81"/>
            <rFont val="Tahoma"/>
            <family val="2"/>
          </rPr>
          <t xml:space="preserve">
Sold business to HKT limited on 20th Dec 2013, for A$2.425bn</t>
        </r>
      </text>
    </comment>
    <comment ref="AE1754" authorId="1" shapeId="0" xr:uid="{00000000-0006-0000-0200-0000B0000000}">
      <text>
        <r>
          <rPr>
            <b/>
            <sz val="8"/>
            <color indexed="81"/>
            <rFont val="Tahoma"/>
            <family val="2"/>
          </rPr>
          <t>goodrmar:</t>
        </r>
        <r>
          <rPr>
            <sz val="8"/>
            <color indexed="81"/>
            <rFont val="Tahoma"/>
            <family val="2"/>
          </rPr>
          <t xml:space="preserve">
Sold business to HKT limited on 20th Dec 2013, for A$2.425bn</t>
        </r>
      </text>
    </comment>
    <comment ref="AF1754" authorId="1" shapeId="0" xr:uid="{00000000-0006-0000-0200-0000B1000000}">
      <text>
        <r>
          <rPr>
            <b/>
            <sz val="8"/>
            <color indexed="81"/>
            <rFont val="Tahoma"/>
            <family val="2"/>
          </rPr>
          <t>goodrmar:</t>
        </r>
        <r>
          <rPr>
            <sz val="8"/>
            <color indexed="81"/>
            <rFont val="Tahoma"/>
            <family val="2"/>
          </rPr>
          <t xml:space="preserve">
Sold business to HKT limited on 20th Dec 2013, for A$2.425bn</t>
        </r>
      </text>
    </comment>
    <comment ref="AG1754" authorId="1" shapeId="0" xr:uid="{00000000-0006-0000-0200-0000B2000000}">
      <text>
        <r>
          <rPr>
            <b/>
            <sz val="8"/>
            <color indexed="81"/>
            <rFont val="Tahoma"/>
            <family val="2"/>
          </rPr>
          <t>goodrmar:</t>
        </r>
        <r>
          <rPr>
            <sz val="8"/>
            <color indexed="81"/>
            <rFont val="Tahoma"/>
            <family val="2"/>
          </rPr>
          <t xml:space="preserve">
Sold business to HKT limited on 20th Dec 2013, for A$2.425bn</t>
        </r>
      </text>
    </comment>
    <comment ref="AH1754" authorId="1" shapeId="0" xr:uid="{00000000-0006-0000-0200-0000B3000000}">
      <text>
        <r>
          <rPr>
            <b/>
            <sz val="8"/>
            <color indexed="81"/>
            <rFont val="Tahoma"/>
            <family val="2"/>
          </rPr>
          <t>goodrmar:</t>
        </r>
        <r>
          <rPr>
            <sz val="8"/>
            <color indexed="81"/>
            <rFont val="Tahoma"/>
            <family val="2"/>
          </rPr>
          <t xml:space="preserve">
Sold business to HKT limited on 20th Dec 2013, for A$2.425bn</t>
        </r>
      </text>
    </comment>
    <comment ref="AI1754" authorId="1" shapeId="0" xr:uid="{00000000-0006-0000-0200-0000B4000000}">
      <text>
        <r>
          <rPr>
            <b/>
            <sz val="8"/>
            <color indexed="81"/>
            <rFont val="Tahoma"/>
            <family val="2"/>
          </rPr>
          <t>goodrmar:</t>
        </r>
        <r>
          <rPr>
            <sz val="8"/>
            <color indexed="81"/>
            <rFont val="Tahoma"/>
            <family val="2"/>
          </rPr>
          <t xml:space="preserve">
Sold business to HKT limited on 20th Dec 2013, for A$2.425bn</t>
        </r>
      </text>
    </comment>
    <comment ref="X1789" authorId="1" shapeId="0" xr:uid="{00000000-0006-0000-0200-0000B5000000}">
      <text>
        <r>
          <rPr>
            <b/>
            <sz val="8"/>
            <color indexed="81"/>
            <rFont val="Tahoma"/>
            <family val="2"/>
          </rPr>
          <t>goodrmar:</t>
        </r>
        <r>
          <rPr>
            <sz val="8"/>
            <color indexed="81"/>
            <rFont val="Tahoma"/>
            <family val="2"/>
          </rPr>
          <t xml:space="preserve">
Sold to Vodafone 12 July 2012 … for A$660m</t>
        </r>
      </text>
    </comment>
    <comment ref="T1801" authorId="5" shapeId="0" xr:uid="{00000000-0006-0000-0200-0000B6000000}">
      <text>
        <r>
          <rPr>
            <b/>
            <sz val="9"/>
            <color indexed="81"/>
            <rFont val="Tahoma"/>
            <family val="2"/>
          </rPr>
          <t>Goodridge, Mark (Research):</t>
        </r>
        <r>
          <rPr>
            <sz val="9"/>
            <color indexed="81"/>
            <rFont val="Tahoma"/>
            <family val="2"/>
          </rPr>
          <t xml:space="preserve">
http://infopub.sgx.com/FileOpen/Pacnet%20Limited%20-%20US$300,000,000%209.25%20percent%20Senior%20Secured%20Guaranteed%20Notes%20due%202015%20(02.11.2010).ashx?App=Prospectus&amp;FileID=10339</t>
        </r>
      </text>
    </comment>
    <comment ref="Z1807" authorId="5" shapeId="0" xr:uid="{00000000-0006-0000-0200-0000B7000000}">
      <text>
        <r>
          <rPr>
            <b/>
            <sz val="9"/>
            <color indexed="81"/>
            <rFont val="Tahoma"/>
            <family val="2"/>
          </rPr>
          <t>Goodridge, Mark (Research):</t>
        </r>
        <r>
          <rPr>
            <sz val="9"/>
            <color indexed="81"/>
            <rFont val="Tahoma"/>
            <family val="2"/>
          </rPr>
          <t xml:space="preserve">
Assume A$65 of synergies over 2 years … capex + opex … assume A$50 is opex … hence A$25m each year … used AUDUSD of .80</t>
        </r>
      </text>
    </comment>
    <comment ref="X1813" authorId="5" shapeId="0" xr:uid="{00000000-0006-0000-0200-0000B8000000}">
      <text>
        <r>
          <rPr>
            <b/>
            <sz val="9"/>
            <color indexed="81"/>
            <rFont val="Tahoma"/>
            <family val="2"/>
          </rPr>
          <t>Goodridge, Mark (Research):</t>
        </r>
        <r>
          <rPr>
            <sz val="9"/>
            <color indexed="81"/>
            <rFont val="Tahoma"/>
            <family val="2"/>
          </rPr>
          <t xml:space="preserve">
according to TLS asset lives changed dramatically</t>
        </r>
      </text>
    </comment>
    <comment ref="X1821" authorId="5" shapeId="0" xr:uid="{00000000-0006-0000-0200-0000B9000000}">
      <text>
        <r>
          <rPr>
            <b/>
            <sz val="9"/>
            <color indexed="81"/>
            <rFont val="Tahoma"/>
            <family val="2"/>
          </rPr>
          <t>Goodridge, Mark (Research):</t>
        </r>
        <r>
          <rPr>
            <sz val="9"/>
            <color indexed="81"/>
            <rFont val="Tahoma"/>
            <family val="2"/>
          </rPr>
          <t xml:space="preserve">
assume Sing corporate tax of 17%
</t>
        </r>
      </text>
    </comment>
    <comment ref="AA1822" authorId="5" shapeId="0" xr:uid="{00000000-0006-0000-0200-0000BA000000}">
      <text>
        <r>
          <rPr>
            <b/>
            <sz val="9"/>
            <color indexed="81"/>
            <rFont val="Tahoma"/>
            <family val="2"/>
          </rPr>
          <t>Goodridge, Mark (Research):</t>
        </r>
        <r>
          <rPr>
            <sz val="9"/>
            <color indexed="81"/>
            <rFont val="Tahoma"/>
            <family val="2"/>
          </rPr>
          <t xml:space="preserve">
Meets TLS principl e of EPS accretive by year 2 … asset cost US$697m and assume cost of debt at 4% then needs to generate US$28m by CY16</t>
        </r>
      </text>
    </comment>
    <comment ref="Y1825" authorId="5" shapeId="0" xr:uid="{00000000-0006-0000-0200-0000BB000000}">
      <text>
        <r>
          <rPr>
            <b/>
            <sz val="9"/>
            <color indexed="81"/>
            <rFont val="Tahoma"/>
            <family val="2"/>
          </rPr>
          <t>Goodridge, Mark (Research):</t>
        </r>
        <r>
          <rPr>
            <sz val="9"/>
            <color indexed="81"/>
            <rFont val="Tahoma"/>
            <family val="2"/>
          </rPr>
          <t xml:space="preserve">
from the TLS call</t>
        </r>
      </text>
    </comment>
    <comment ref="AB1825" authorId="5" shapeId="0" xr:uid="{00000000-0006-0000-0200-0000BC000000}">
      <text>
        <r>
          <rPr>
            <b/>
            <sz val="9"/>
            <color indexed="81"/>
            <rFont val="Tahoma"/>
            <family val="2"/>
          </rPr>
          <t>Goodridge, Mark (Research):</t>
        </r>
        <r>
          <rPr>
            <sz val="9"/>
            <color indexed="81"/>
            <rFont val="Tahoma"/>
            <family val="2"/>
          </rPr>
          <t xml:space="preserve">
US$350m of notes due 2018 … assumed these get refinanced</t>
        </r>
      </text>
    </comment>
    <comment ref="Y1829" authorId="5" shapeId="0" xr:uid="{00000000-0006-0000-0200-0000BD000000}">
      <text>
        <r>
          <rPr>
            <b/>
            <sz val="9"/>
            <color indexed="81"/>
            <rFont val="Tahoma"/>
            <family val="2"/>
          </rPr>
          <t>Goodridge, Mark (Research):</t>
        </r>
        <r>
          <rPr>
            <sz val="9"/>
            <color indexed="81"/>
            <rFont val="Tahoma"/>
            <family val="2"/>
          </rPr>
          <t xml:space="preserve">
from call</t>
        </r>
      </text>
    </comment>
    <comment ref="Z1835" authorId="4" shapeId="0" xr:uid="{00000000-0006-0000-0200-0000BE000000}">
      <text>
        <r>
          <rPr>
            <b/>
            <sz val="9"/>
            <color indexed="81"/>
            <rFont val="Tahoma"/>
            <family val="2"/>
          </rPr>
          <t>Lansky, Elise (Research):</t>
        </r>
        <r>
          <rPr>
            <sz val="9"/>
            <color indexed="81"/>
            <rFont val="Tahoma"/>
            <family val="2"/>
          </rPr>
          <t xml:space="preserve">
2mth A$83m May-June 15 annualised</t>
        </r>
      </text>
    </comment>
    <comment ref="V1863" authorId="1" shapeId="0" xr:uid="{00000000-0006-0000-0200-0000BF000000}">
      <text>
        <r>
          <rPr>
            <b/>
            <sz val="8"/>
            <color indexed="81"/>
            <rFont val="Tahoma"/>
            <family val="2"/>
          </rPr>
          <t>goodrmar:</t>
        </r>
        <r>
          <rPr>
            <sz val="8"/>
            <color indexed="81"/>
            <rFont val="Tahoma"/>
            <family val="2"/>
          </rPr>
          <t xml:space="preserve">
SouFun sold</t>
        </r>
      </text>
    </comment>
    <comment ref="T1870" authorId="1" shapeId="0" xr:uid="{00000000-0006-0000-0200-0000C0000000}">
      <text>
        <r>
          <rPr>
            <b/>
            <sz val="8"/>
            <color indexed="81"/>
            <rFont val="Tahoma"/>
            <family val="2"/>
          </rPr>
          <t>goodrmar:</t>
        </r>
        <r>
          <rPr>
            <sz val="8"/>
            <color indexed="81"/>
            <rFont val="Tahoma"/>
            <family val="2"/>
          </rPr>
          <t xml:space="preserve">
Stopped reporting along these lines</t>
        </r>
      </text>
    </comment>
    <comment ref="B1872" authorId="1" shapeId="0" xr:uid="{00000000-0006-0000-0200-0000C1000000}">
      <text>
        <r>
          <rPr>
            <b/>
            <sz val="8"/>
            <color indexed="81"/>
            <rFont val="Tahoma"/>
            <family val="2"/>
          </rPr>
          <t>goodrmar:</t>
        </r>
        <r>
          <rPr>
            <sz val="8"/>
            <color indexed="81"/>
            <rFont val="Tahoma"/>
            <family val="2"/>
          </rPr>
          <t xml:space="preserve">
Eg. Kaz</t>
        </r>
      </text>
    </comment>
    <comment ref="B1880" authorId="1" shapeId="0" xr:uid="{00000000-0006-0000-0200-0000C2000000}">
      <text>
        <r>
          <rPr>
            <b/>
            <sz val="8"/>
            <color indexed="81"/>
            <rFont val="Tahoma"/>
            <family val="2"/>
          </rPr>
          <t>goodrmar:</t>
        </r>
        <r>
          <rPr>
            <sz val="8"/>
            <color indexed="81"/>
            <rFont val="Tahoma"/>
            <family val="2"/>
          </rPr>
          <t xml:space="preserve">
UC is the integration of real-time communication services as instant messaging, IP telephone, video conference</t>
        </r>
      </text>
    </comment>
    <comment ref="X1880" authorId="1" shapeId="0" xr:uid="{00000000-0006-0000-0200-0000C3000000}">
      <text>
        <r>
          <rPr>
            <b/>
            <sz val="8"/>
            <color indexed="81"/>
            <rFont val="Tahoma"/>
            <family val="2"/>
          </rPr>
          <t>goodrmar:</t>
        </r>
        <r>
          <rPr>
            <sz val="8"/>
            <color indexed="81"/>
            <rFont val="Tahoma"/>
            <family val="2"/>
          </rPr>
          <t xml:space="preserve">
Note a forst and Sulliavan report state to look for 13.8% CAGR from 2011 to 2018</t>
        </r>
      </text>
    </comment>
    <comment ref="Z1880" authorId="5" shapeId="0" xr:uid="{00000000-0006-0000-0200-0000C4000000}">
      <text>
        <r>
          <rPr>
            <b/>
            <sz val="9"/>
            <color indexed="81"/>
            <rFont val="Tahoma"/>
            <family val="2"/>
          </rPr>
          <t>Goodridge, Mark (Research):</t>
        </r>
        <r>
          <rPr>
            <sz val="9"/>
            <color indexed="81"/>
            <rFont val="Tahoma"/>
            <family val="2"/>
          </rPr>
          <t xml:space="preserve">
1H15 $348m</t>
        </r>
      </text>
    </comment>
    <comment ref="B1882" authorId="1" shapeId="0" xr:uid="{00000000-0006-0000-0200-0000C5000000}">
      <text>
        <r>
          <rPr>
            <b/>
            <sz val="8"/>
            <color indexed="81"/>
            <rFont val="Tahoma"/>
            <family val="2"/>
          </rPr>
          <t>goodrmar:</t>
        </r>
        <r>
          <rPr>
            <sz val="8"/>
            <color indexed="81"/>
            <rFont val="Tahoma"/>
            <family val="2"/>
          </rPr>
          <t xml:space="preserve">
TLS Cloud mostly IaaS growth
</t>
        </r>
      </text>
    </comment>
    <comment ref="Z1884" authorId="5" shapeId="0" xr:uid="{00000000-0006-0000-0200-0000C6000000}">
      <text>
        <r>
          <rPr>
            <b/>
            <sz val="9"/>
            <color indexed="81"/>
            <rFont val="Tahoma"/>
            <family val="2"/>
          </rPr>
          <t>Goodridge, Mark (Research):</t>
        </r>
        <r>
          <rPr>
            <sz val="9"/>
            <color indexed="81"/>
            <rFont val="Tahoma"/>
            <family val="2"/>
          </rPr>
          <t xml:space="preserve">
1h15  539m (include industry solutions and integrated services</t>
        </r>
      </text>
    </comment>
    <comment ref="B1896" authorId="1" shapeId="0" xr:uid="{00000000-0006-0000-0200-0000C7000000}">
      <text>
        <r>
          <rPr>
            <b/>
            <sz val="8"/>
            <color indexed="81"/>
            <rFont val="Tahoma"/>
            <family val="2"/>
          </rPr>
          <t>goodrmar:</t>
        </r>
        <r>
          <rPr>
            <sz val="8"/>
            <color indexed="81"/>
            <rFont val="Tahoma"/>
            <family val="2"/>
          </rPr>
          <t xml:space="preserve">
From ABS Report Counts of Australian Businesses</t>
        </r>
      </text>
    </comment>
    <comment ref="W1898" authorId="1" shapeId="0" xr:uid="{00000000-0006-0000-0200-0000C8000000}">
      <text>
        <r>
          <rPr>
            <b/>
            <sz val="8"/>
            <color indexed="81"/>
            <rFont val="Tahoma"/>
            <family val="2"/>
          </rPr>
          <t>goodrmar:</t>
        </r>
        <r>
          <rPr>
            <sz val="8"/>
            <color indexed="81"/>
            <rFont val="Tahoma"/>
            <family val="2"/>
          </rPr>
          <t xml:space="preserve">
We assume TLS only has ~15% market share in this space with corporates
</t>
        </r>
      </text>
    </comment>
    <comment ref="B1904" authorId="1" shapeId="0" xr:uid="{00000000-0006-0000-0200-0000C9000000}">
      <text>
        <r>
          <rPr>
            <b/>
            <sz val="8"/>
            <color indexed="81"/>
            <rFont val="Tahoma"/>
            <family val="2"/>
          </rPr>
          <t>goodrmar:</t>
        </r>
        <r>
          <rPr>
            <sz val="8"/>
            <color indexed="81"/>
            <rFont val="Tahoma"/>
            <family val="2"/>
          </rPr>
          <t xml:space="preserve">
From ABS Report Counts of Australian Businesses</t>
        </r>
      </text>
    </comment>
    <comment ref="W1906" authorId="1" shapeId="0" xr:uid="{00000000-0006-0000-0200-0000CA000000}">
      <text>
        <r>
          <rPr>
            <b/>
            <sz val="8"/>
            <color indexed="81"/>
            <rFont val="Tahoma"/>
            <family val="2"/>
          </rPr>
          <t>goodrmar:</t>
        </r>
        <r>
          <rPr>
            <sz val="8"/>
            <color indexed="81"/>
            <rFont val="Tahoma"/>
            <family val="2"/>
          </rPr>
          <t xml:space="preserve">
Note: Paul Budde Teclo report, Australia - Cloud Computing, pg 6 states ~15% SME using cloud … lets assume 30% marketshare for TLS</t>
        </r>
      </text>
    </comment>
    <comment ref="B1910" authorId="1" shapeId="0" xr:uid="{00000000-0006-0000-0200-0000CB000000}">
      <text>
        <r>
          <rPr>
            <b/>
            <sz val="8"/>
            <color indexed="81"/>
            <rFont val="Tahoma"/>
            <family val="2"/>
          </rPr>
          <t>goodrmar:</t>
        </r>
        <r>
          <rPr>
            <sz val="8"/>
            <color indexed="81"/>
            <rFont val="Tahoma"/>
            <family val="2"/>
          </rPr>
          <t xml:space="preserve">
From the Aus Cloud Computing Forecasts for IDC June 2013</t>
        </r>
      </text>
    </comment>
    <comment ref="B1913" authorId="1" shapeId="0" xr:uid="{00000000-0006-0000-0200-0000CC000000}">
      <text>
        <r>
          <rPr>
            <b/>
            <sz val="8"/>
            <color indexed="81"/>
            <rFont val="Tahoma"/>
            <family val="2"/>
          </rPr>
          <t>goodrmar:</t>
        </r>
        <r>
          <rPr>
            <sz val="8"/>
            <color indexed="81"/>
            <rFont val="Tahoma"/>
            <family val="2"/>
          </rPr>
          <t xml:space="preserve">
These breakout are from the AsiaPac 2012-2016 Cloud Services forecast</t>
        </r>
      </text>
    </comment>
    <comment ref="B1918" authorId="1" shapeId="0" xr:uid="{00000000-0006-0000-0200-0000CD000000}">
      <text>
        <r>
          <rPr>
            <b/>
            <sz val="8"/>
            <color indexed="81"/>
            <rFont val="Tahoma"/>
            <family val="2"/>
          </rPr>
          <t>goodrmar:</t>
        </r>
        <r>
          <rPr>
            <sz val="8"/>
            <color indexed="81"/>
            <rFont val="Tahoma"/>
            <family val="2"/>
          </rPr>
          <t xml:space="preserve">
These breakout are from the AsiaPac 2012-2016 Cloud Services forecast</t>
        </r>
      </text>
    </comment>
    <comment ref="B1923" authorId="1" shapeId="0" xr:uid="{00000000-0006-0000-0200-0000CE000000}">
      <text>
        <r>
          <rPr>
            <b/>
            <sz val="8"/>
            <color indexed="81"/>
            <rFont val="Tahoma"/>
            <family val="2"/>
          </rPr>
          <t>goodrmar:</t>
        </r>
        <r>
          <rPr>
            <sz val="8"/>
            <color indexed="81"/>
            <rFont val="Tahoma"/>
            <family val="2"/>
          </rPr>
          <t xml:space="preserve">
These breakout are from the AsiaPac 2012-2016 Cloud Services forecast</t>
        </r>
      </text>
    </comment>
    <comment ref="T1928" authorId="1" shapeId="0" xr:uid="{00000000-0006-0000-0200-0000CF000000}">
      <text>
        <r>
          <rPr>
            <b/>
            <sz val="8"/>
            <color indexed="81"/>
            <rFont val="Tahoma"/>
            <family val="2"/>
          </rPr>
          <t>goodrmar:</t>
        </r>
        <r>
          <rPr>
            <sz val="8"/>
            <color indexed="81"/>
            <rFont val="Tahoma"/>
            <family val="2"/>
          </rPr>
          <t xml:space="preserve">
KAZ sold in April 2009</t>
        </r>
      </text>
    </comment>
    <comment ref="V1928" authorId="1" shapeId="0" xr:uid="{00000000-0006-0000-0200-0000D0000000}">
      <text>
        <r>
          <rPr>
            <b/>
            <sz val="8"/>
            <color indexed="81"/>
            <rFont val="Tahoma"/>
            <family val="2"/>
          </rPr>
          <t>goodrmar:</t>
        </r>
        <r>
          <rPr>
            <sz val="8"/>
            <color indexed="81"/>
            <rFont val="Tahoma"/>
            <family val="2"/>
          </rPr>
          <t xml:space="preserve">
699 of managed network services, 213 managed data network, 236 of commercial recovery and industrial works eg NBN</t>
        </r>
      </text>
    </comment>
    <comment ref="AF2017" authorId="2" shapeId="0" xr:uid="{00000000-0006-0000-0200-000001000000}">
      <text>
        <r>
          <rPr>
            <b/>
            <sz val="9"/>
            <color indexed="81"/>
            <rFont val="Tahoma"/>
            <family val="2"/>
          </rPr>
          <t>Tan, Raymond (Research):</t>
        </r>
        <r>
          <rPr>
            <sz val="9"/>
            <color indexed="81"/>
            <rFont val="Tahoma"/>
            <family val="2"/>
          </rPr>
          <t xml:space="preserve">
Mid single digit revenue decline in FY21</t>
        </r>
      </text>
    </comment>
    <comment ref="AI2017" authorId="2" shapeId="0" xr:uid="{00000000-0006-0000-0200-000002000000}">
      <text>
        <r>
          <rPr>
            <b/>
            <sz val="9"/>
            <color indexed="81"/>
            <rFont val="Tahoma"/>
            <family val="2"/>
          </rPr>
          <t>Tan, Raymond (Research):</t>
        </r>
        <r>
          <rPr>
            <sz val="9"/>
            <color indexed="81"/>
            <rFont val="Tahoma"/>
            <family val="2"/>
          </rPr>
          <t xml:space="preserve">
Return to growth by FY24E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Tan, Raymond (Research)</author>
    <author>Boulus, Chris (Research)</author>
    <author>Goodridge, Mark (Research)</author>
    <author>goodrmar</author>
    <author>Sutcliffe, Angela (Research)</author>
    <author>Lansky, Elise (Research)</author>
  </authors>
  <commentList>
    <comment ref="X21" authorId="0" shapeId="0" xr:uid="{00000000-0006-0000-0300-000001000000}">
      <text>
        <r>
          <rPr>
            <b/>
            <sz val="9"/>
            <color indexed="81"/>
            <rFont val="Tahoma"/>
            <family val="2"/>
          </rPr>
          <t>Tan, Raymond (Research):</t>
        </r>
        <r>
          <rPr>
            <sz val="9"/>
            <color indexed="81"/>
            <rFont val="Tahoma"/>
            <family val="2"/>
          </rPr>
          <t xml:space="preserve">
Restated
</t>
        </r>
      </text>
    </comment>
    <comment ref="AD39" authorId="1" shapeId="0" xr:uid="{00000000-0006-0000-0300-000008000000}">
      <text>
        <r>
          <rPr>
            <b/>
            <sz val="9"/>
            <color indexed="81"/>
            <rFont val="Tahoma"/>
            <family val="2"/>
          </rPr>
          <t>Boulus, Chris (Research):</t>
        </r>
        <r>
          <rPr>
            <sz val="9"/>
            <color indexed="81"/>
            <rFont val="Tahoma"/>
            <family val="2"/>
          </rPr>
          <t xml:space="preserve">
Infraco Fibre project - was originallyexpected to generate $200m EBITDA .. However in FY22 results was guided to be significant lower .. Have revised to 140m</t>
        </r>
      </text>
    </comment>
    <comment ref="AA49" authorId="0" shapeId="0" xr:uid="{00000000-0006-0000-0300-00000A000000}">
      <text>
        <r>
          <rPr>
            <b/>
            <sz val="9"/>
            <color indexed="81"/>
            <rFont val="Tahoma"/>
            <family val="2"/>
          </rPr>
          <t>Tan, Raymond (Research):</t>
        </r>
        <r>
          <rPr>
            <sz val="9"/>
            <color indexed="81"/>
            <rFont val="Tahoma"/>
            <family val="2"/>
          </rPr>
          <t xml:space="preserve">
Amibition to reach mid-teens by FY23</t>
        </r>
      </text>
    </comment>
    <comment ref="Z51" authorId="0" shapeId="0" xr:uid="{00000000-0006-0000-0300-00000B000000}">
      <text>
        <r>
          <rPr>
            <b/>
            <sz val="9"/>
            <color indexed="81"/>
            <rFont val="Tahoma"/>
            <family val="2"/>
          </rPr>
          <t>Tan, Raymond (Research):</t>
        </r>
        <r>
          <rPr>
            <sz val="9"/>
            <color indexed="81"/>
            <rFont val="Tahoma"/>
            <family val="2"/>
          </rPr>
          <t xml:space="preserve">
Guidance</t>
        </r>
      </text>
    </comment>
    <comment ref="T83" authorId="2" shapeId="0" xr:uid="{00000000-0006-0000-0600-000001000000}">
      <text>
        <r>
          <rPr>
            <b/>
            <sz val="9"/>
            <color indexed="81"/>
            <rFont val="Tahoma"/>
            <family val="2"/>
          </rPr>
          <t>Goodridge, Mark (Research):</t>
        </r>
        <r>
          <rPr>
            <sz val="9"/>
            <color indexed="81"/>
            <rFont val="Tahoma"/>
            <family val="2"/>
          </rPr>
          <t xml:space="preserve">
pacnet included</t>
        </r>
      </text>
    </comment>
    <comment ref="U83" authorId="2" shapeId="0" xr:uid="{00000000-0006-0000-0600-000002000000}">
      <text>
        <r>
          <rPr>
            <b/>
            <sz val="9"/>
            <color indexed="81"/>
            <rFont val="Tahoma"/>
            <family val="2"/>
          </rPr>
          <t>Goodridge, Mark (Research):</t>
        </r>
        <r>
          <rPr>
            <sz val="9"/>
            <color indexed="81"/>
            <rFont val="Tahoma"/>
            <family val="2"/>
          </rPr>
          <t xml:space="preserve">
pacnet included</t>
        </r>
      </text>
    </comment>
    <comment ref="V83" authorId="2" shapeId="0" xr:uid="{00000000-0006-0000-0600-000003000000}">
      <text>
        <r>
          <rPr>
            <b/>
            <sz val="9"/>
            <color indexed="81"/>
            <rFont val="Tahoma"/>
            <family val="2"/>
          </rPr>
          <t>Goodridge, Mark (Research):</t>
        </r>
        <r>
          <rPr>
            <sz val="9"/>
            <color indexed="81"/>
            <rFont val="Tahoma"/>
            <family val="2"/>
          </rPr>
          <t xml:space="preserve">
pacnet included</t>
        </r>
      </text>
    </comment>
    <comment ref="W83" authorId="2" shapeId="0" xr:uid="{00000000-0006-0000-0600-000004000000}">
      <text>
        <r>
          <rPr>
            <b/>
            <sz val="9"/>
            <color indexed="81"/>
            <rFont val="Tahoma"/>
            <family val="2"/>
          </rPr>
          <t>Goodridge, Mark (Research):</t>
        </r>
        <r>
          <rPr>
            <sz val="9"/>
            <color indexed="81"/>
            <rFont val="Tahoma"/>
            <family val="2"/>
          </rPr>
          <t xml:space="preserve">
pacnet included</t>
        </r>
      </text>
    </comment>
    <comment ref="Q115" authorId="3" shapeId="0" xr:uid="{00000000-0006-0000-0600-000005000000}">
      <text>
        <r>
          <rPr>
            <b/>
            <sz val="8"/>
            <color indexed="81"/>
            <rFont val="Tahoma"/>
            <family val="2"/>
          </rPr>
          <t>goodrmar:</t>
        </r>
        <r>
          <rPr>
            <sz val="8"/>
            <color indexed="81"/>
            <rFont val="Tahoma"/>
            <family val="2"/>
          </rPr>
          <t xml:space="preserve">
Guided to from TLS…for the 800Mhz renewal (642) and 161 for 1800MHz renewal</t>
        </r>
      </text>
    </comment>
    <comment ref="S115" authorId="3" shapeId="0" xr:uid="{00000000-0006-0000-0600-000006000000}">
      <text>
        <r>
          <rPr>
            <b/>
            <sz val="8"/>
            <color indexed="81"/>
            <rFont val="Tahoma"/>
            <family val="2"/>
          </rPr>
          <t>goodrmar:</t>
        </r>
        <r>
          <rPr>
            <sz val="8"/>
            <color indexed="81"/>
            <rFont val="Tahoma"/>
            <family val="2"/>
          </rPr>
          <t xml:space="preserve">
Spectrum payments only due at beginning of C2015</t>
        </r>
      </text>
    </comment>
    <comment ref="T115" authorId="3" shapeId="0" xr:uid="{00000000-0006-0000-0600-000007000000}">
      <text>
        <r>
          <rPr>
            <b/>
            <sz val="8"/>
            <color indexed="81"/>
            <rFont val="Tahoma"/>
            <family val="2"/>
          </rPr>
          <t>goodrmar:</t>
        </r>
        <r>
          <rPr>
            <sz val="8"/>
            <color indexed="81"/>
            <rFont val="Tahoma"/>
            <family val="2"/>
          </rPr>
          <t xml:space="preserve">
4Q15…to pay $384m at $0.63/MHz/pop…for 2.1 GHz Renewal</t>
        </r>
      </text>
    </comment>
    <comment ref="U115" authorId="2" shapeId="0" xr:uid="{00000000-0006-0000-0600-000008000000}">
      <text>
        <r>
          <rPr>
            <b/>
            <sz val="9"/>
            <color indexed="81"/>
            <rFont val="Tahoma"/>
            <family val="2"/>
          </rPr>
          <t>Goodridge, Mark (Research):</t>
        </r>
        <r>
          <rPr>
            <sz val="9"/>
            <color indexed="81"/>
            <rFont val="Tahoma"/>
            <family val="2"/>
          </rPr>
          <t xml:space="preserve">
1800Mhz regional bought in Feb 2016</t>
        </r>
      </text>
    </comment>
    <comment ref="X115" authorId="0" shapeId="0" xr:uid="{00000000-0006-0000-0600-000009000000}">
      <text>
        <r>
          <rPr>
            <b/>
            <sz val="9"/>
            <color indexed="81"/>
            <rFont val="Tahoma"/>
            <family val="2"/>
          </rPr>
          <t>Tan, Raymond (Research):</t>
        </r>
        <r>
          <rPr>
            <sz val="9"/>
            <color indexed="81"/>
            <rFont val="Tahoma"/>
            <family val="2"/>
          </rPr>
          <t xml:space="preserve">
Includes 
A$28m for renewal of spectrum licenses in 900 MHZ band
A$386m for acquisition of spectrum licenses in 3.6GHz band</t>
        </r>
      </text>
    </comment>
    <comment ref="AA115" authorId="1" shapeId="0" xr:uid="{00000000-0006-0000-0600-00000A000000}">
      <text>
        <r>
          <rPr>
            <b/>
            <sz val="9"/>
            <color indexed="81"/>
            <rFont val="Tahoma"/>
            <family val="2"/>
          </rPr>
          <t>Boulus, Chris (Research):</t>
        </r>
        <r>
          <rPr>
            <sz val="9"/>
            <color indexed="81"/>
            <rFont val="Tahoma"/>
            <family val="2"/>
          </rPr>
          <t xml:space="preserve">
$46m annual + $616m 3.5ghz due in 2024 - aproximates $250m per year</t>
        </r>
      </text>
    </comment>
    <comment ref="AB115" authorId="1" shapeId="0" xr:uid="{75675861-3A9E-477A-A9F1-CA41E93EDA76}">
      <text>
        <r>
          <rPr>
            <b/>
            <sz val="9"/>
            <color indexed="81"/>
            <rFont val="Tahoma"/>
            <family val="2"/>
          </rPr>
          <t>Boulus, Chris (Research):</t>
        </r>
        <r>
          <rPr>
            <sz val="9"/>
            <color indexed="81"/>
            <rFont val="Tahoma"/>
            <family val="2"/>
          </rPr>
          <t xml:space="preserve">
guides 1.3bn</t>
        </r>
      </text>
    </comment>
    <comment ref="AC115" authorId="4" shapeId="0" xr:uid="{B1697106-1AC5-45C7-8E5A-B748702CE3B6}">
      <text>
        <r>
          <rPr>
            <b/>
            <sz val="9"/>
            <color indexed="81"/>
            <rFont val="Tahoma"/>
            <family val="2"/>
          </rPr>
          <t>Sutcliffe, Angela (Research):</t>
        </r>
        <r>
          <rPr>
            <sz val="9"/>
            <color indexed="81"/>
            <rFont val="Tahoma"/>
            <family val="2"/>
          </rPr>
          <t xml:space="preserve">
no guidance provided
</t>
        </r>
      </text>
    </comment>
    <comment ref="T120" authorId="3" shapeId="0" xr:uid="{00000000-0006-0000-0600-00000B000000}">
      <text>
        <r>
          <rPr>
            <b/>
            <sz val="8"/>
            <color indexed="81"/>
            <rFont val="Tahoma"/>
            <family val="2"/>
          </rPr>
          <t>goodrmar:</t>
        </r>
        <r>
          <rPr>
            <sz val="8"/>
            <color indexed="81"/>
            <rFont val="Tahoma"/>
            <family val="2"/>
          </rPr>
          <t xml:space="preserve">
Pick up for Spectrum</t>
        </r>
      </text>
    </comment>
    <comment ref="U120" authorId="3" shapeId="0" xr:uid="{00000000-0006-0000-0600-00000C000000}">
      <text>
        <r>
          <rPr>
            <b/>
            <sz val="8"/>
            <color indexed="81"/>
            <rFont val="Tahoma"/>
            <family val="2"/>
          </rPr>
          <t>goodrmar:</t>
        </r>
        <r>
          <rPr>
            <sz val="8"/>
            <color indexed="81"/>
            <rFont val="Tahoma"/>
            <family val="2"/>
          </rPr>
          <t xml:space="preserve">
Pick up for Spectrum</t>
        </r>
      </text>
    </comment>
    <comment ref="V120" authorId="3" shapeId="0" xr:uid="{00000000-0006-0000-0600-00000D000000}">
      <text>
        <r>
          <rPr>
            <b/>
            <sz val="8"/>
            <color indexed="81"/>
            <rFont val="Tahoma"/>
            <family val="2"/>
          </rPr>
          <t>goodrmar:</t>
        </r>
        <r>
          <rPr>
            <sz val="8"/>
            <color indexed="81"/>
            <rFont val="Tahoma"/>
            <family val="2"/>
          </rPr>
          <t xml:space="preserve">
Pick up for Spectrum</t>
        </r>
      </text>
    </comment>
    <comment ref="W120" authorId="3" shapeId="0" xr:uid="{00000000-0006-0000-0600-00000E000000}">
      <text>
        <r>
          <rPr>
            <b/>
            <sz val="8"/>
            <color indexed="81"/>
            <rFont val="Tahoma"/>
            <family val="2"/>
          </rPr>
          <t>goodrmar:</t>
        </r>
        <r>
          <rPr>
            <sz val="8"/>
            <color indexed="81"/>
            <rFont val="Tahoma"/>
            <family val="2"/>
          </rPr>
          <t xml:space="preserve">
Pick up for Spectrum</t>
        </r>
      </text>
    </comment>
    <comment ref="B216" authorId="3" shapeId="0" xr:uid="{00000000-0006-0000-0300-000004000000}">
      <text>
        <r>
          <rPr>
            <b/>
            <sz val="8"/>
            <color indexed="81"/>
            <rFont val="Tahoma"/>
            <family val="2"/>
          </rPr>
          <t>goodrmar:</t>
        </r>
        <r>
          <rPr>
            <sz val="8"/>
            <color indexed="81"/>
            <rFont val="Tahoma"/>
            <family val="2"/>
          </rPr>
          <t xml:space="preserve">
TLS paying to use competitors networks</t>
        </r>
      </text>
    </comment>
    <comment ref="P239" authorId="3" shapeId="0" xr:uid="{00000000-0006-0000-0300-000005000000}">
      <text>
        <r>
          <rPr>
            <b/>
            <sz val="8"/>
            <color indexed="81"/>
            <rFont val="Tahoma"/>
            <family val="2"/>
          </rPr>
          <t>goodrmar:</t>
        </r>
        <r>
          <rPr>
            <sz val="8"/>
            <color indexed="81"/>
            <rFont val="Tahoma"/>
            <family val="2"/>
          </rPr>
          <t xml:space="preserve">
IIN report its group blended number is $34…hence assume TLS will be similar….note Independent experts report states $24</t>
        </r>
      </text>
    </comment>
    <comment ref="P246" authorId="3" shapeId="0" xr:uid="{00000000-0006-0000-0300-000006000000}">
      <text>
        <r>
          <rPr>
            <b/>
            <sz val="8"/>
            <color indexed="81"/>
            <rFont val="Tahoma"/>
            <family val="2"/>
          </rPr>
          <t>goodrmar:</t>
        </r>
        <r>
          <rPr>
            <sz val="8"/>
            <color indexed="81"/>
            <rFont val="Tahoma"/>
            <family val="2"/>
          </rPr>
          <t xml:space="preserve">
used this as aadjustment line
</t>
        </r>
      </text>
    </comment>
    <comment ref="R246" authorId="3" shapeId="0" xr:uid="{00000000-0006-0000-0300-000007000000}">
      <text>
        <r>
          <rPr>
            <b/>
            <sz val="8"/>
            <color indexed="81"/>
            <rFont val="Tahoma"/>
            <family val="2"/>
          </rPr>
          <t>goodrmar:</t>
        </r>
        <r>
          <rPr>
            <sz val="8"/>
            <color indexed="81"/>
            <rFont val="Tahoma"/>
            <family val="2"/>
          </rPr>
          <t xml:space="preserve">
Other Operating costs ex-NBN costs
</t>
        </r>
      </text>
    </comment>
    <comment ref="Z304" authorId="0" shapeId="0" xr:uid="{00000000-0006-0000-0300-00000C000000}">
      <text>
        <r>
          <rPr>
            <b/>
            <sz val="9"/>
            <color indexed="81"/>
            <rFont val="Tahoma"/>
            <family val="2"/>
          </rPr>
          <t>Tan, Raymond (Research):</t>
        </r>
        <r>
          <rPr>
            <sz val="9"/>
            <color indexed="81"/>
            <rFont val="Tahoma"/>
            <family val="2"/>
          </rPr>
          <t xml:space="preserve">
Enterprise to return to revenue and EBITDA growth by FY22</t>
        </r>
      </text>
    </comment>
    <comment ref="B333" authorId="0" shapeId="0" xr:uid="{00000000-0006-0000-0300-00000D000000}">
      <text>
        <r>
          <rPr>
            <b/>
            <sz val="9"/>
            <color indexed="81"/>
            <rFont val="Tahoma"/>
            <family val="2"/>
          </rPr>
          <t>Tan, Raymond (Research):</t>
        </r>
        <r>
          <rPr>
            <sz val="9"/>
            <color indexed="81"/>
            <rFont val="Tahoma"/>
            <family val="2"/>
          </rPr>
          <t xml:space="preserve">
= Intercarrier  + Media (ex-Sensis) + International (ex Pacnet) + International NAS</t>
        </r>
      </text>
    </comment>
    <comment ref="T333" authorId="5" shapeId="0" xr:uid="{00000000-0006-0000-0300-00000E000000}">
      <text>
        <r>
          <rPr>
            <b/>
            <sz val="9"/>
            <color indexed="81"/>
            <rFont val="Tahoma"/>
            <family val="2"/>
          </rPr>
          <t>International NAS in IP&amp;Data</t>
        </r>
      </text>
    </comment>
    <comment ref="U333" authorId="5" shapeId="0" xr:uid="{00000000-0006-0000-0300-00000F000000}">
      <text>
        <r>
          <rPr>
            <b/>
            <sz val="9"/>
            <color indexed="81"/>
            <rFont val="Tahoma"/>
            <family val="2"/>
          </rPr>
          <t>International NAS in IP&amp;Data</t>
        </r>
      </text>
    </comment>
    <comment ref="AA348" authorId="0" shapeId="0" xr:uid="{00000000-0006-0000-0300-000010000000}">
      <text>
        <r>
          <rPr>
            <b/>
            <sz val="9"/>
            <color indexed="81"/>
            <rFont val="Tahoma"/>
            <family val="2"/>
          </rPr>
          <t>Tan, Raymond (Research):</t>
        </r>
        <r>
          <rPr>
            <sz val="9"/>
            <color indexed="81"/>
            <rFont val="Tahoma"/>
            <family val="2"/>
          </rPr>
          <t xml:space="preserve">
Ambition for mid-teens NBN resale EBITDA margins by FY23
From higher tier plans. Assumes unchanged CVC cost structure
</t>
        </r>
      </text>
    </comment>
    <comment ref="W351" authorId="3" shapeId="0" xr:uid="{00000000-0006-0000-0300-000011000000}">
      <text>
        <r>
          <rPr>
            <b/>
            <sz val="8"/>
            <color indexed="81"/>
            <rFont val="Tahoma"/>
            <family val="2"/>
          </rPr>
          <t>goodrmar:</t>
        </r>
        <r>
          <rPr>
            <sz val="8"/>
            <color indexed="81"/>
            <rFont val="Tahoma"/>
            <family val="2"/>
          </rPr>
          <t xml:space="preserve">
guided to "mid teens" when mature</t>
        </r>
      </text>
    </comment>
    <comment ref="Y351" authorId="0" shapeId="0" xr:uid="{00000000-0006-0000-0300-000012000000}">
      <text>
        <r>
          <rPr>
            <b/>
            <sz val="9"/>
            <color indexed="81"/>
            <rFont val="Tahoma"/>
            <family val="2"/>
          </rPr>
          <t>Tan, Raymond (Research):</t>
        </r>
        <r>
          <rPr>
            <sz val="9"/>
            <color indexed="81"/>
            <rFont val="Tahoma"/>
            <family val="2"/>
          </rPr>
          <t xml:space="preserve">
Mid-teen EBITDA margins to continue</t>
        </r>
      </text>
    </comment>
    <comment ref="AB371" authorId="0" shapeId="0" xr:uid="{00000000-0006-0000-0300-000013000000}">
      <text>
        <r>
          <rPr>
            <b/>
            <sz val="9"/>
            <color indexed="81"/>
            <rFont val="Tahoma"/>
            <family val="2"/>
          </rPr>
          <t>Tan, Raymond (Research):</t>
        </r>
        <r>
          <rPr>
            <sz val="9"/>
            <color indexed="81"/>
            <rFont val="Tahoma"/>
            <family val="2"/>
          </rPr>
          <t xml:space="preserve">
Return to growth by FY24</t>
        </r>
      </text>
    </comment>
    <comment ref="AB372" authorId="0" shapeId="0" xr:uid="{00000000-0006-0000-0300-000014000000}">
      <text>
        <r>
          <rPr>
            <b/>
            <sz val="9"/>
            <color indexed="81"/>
            <rFont val="Tahoma"/>
            <family val="2"/>
          </rPr>
          <t>Tan, Raymond (Research):</t>
        </r>
        <r>
          <rPr>
            <sz val="9"/>
            <color indexed="81"/>
            <rFont val="Tahoma"/>
            <family val="2"/>
          </rPr>
          <t xml:space="preserve">
Continued growth</t>
        </r>
      </text>
    </comment>
    <comment ref="B374" authorId="0" shapeId="0" xr:uid="{00000000-0006-0000-0300-000015000000}">
      <text>
        <r>
          <rPr>
            <b/>
            <sz val="9"/>
            <color indexed="81"/>
            <rFont val="Tahoma"/>
            <family val="2"/>
          </rPr>
          <t>Tan, Raymond (Research):</t>
        </r>
        <r>
          <rPr>
            <sz val="9"/>
            <color indexed="81"/>
            <rFont val="Tahoma"/>
            <family val="2"/>
          </rPr>
          <t xml:space="preserve">
Media, nbn commercial works, telstra health and misc</t>
        </r>
      </text>
    </comment>
    <comment ref="AB394" authorId="2" shapeId="0" xr:uid="{00000000-0006-0000-0300-000016000000}">
      <text>
        <r>
          <rPr>
            <b/>
            <sz val="9"/>
            <color indexed="81"/>
            <rFont val="Tahoma"/>
            <family val="2"/>
          </rPr>
          <t>Goodridge, Mark (Research):</t>
        </r>
        <r>
          <rPr>
            <sz val="9"/>
            <color indexed="81"/>
            <rFont val="Tahoma"/>
            <family val="2"/>
          </rPr>
          <t xml:space="preserve">
Implies ¬A$1.5bn of productivity benefits</t>
        </r>
      </text>
    </comment>
    <comment ref="B419" authorId="3" shapeId="0" xr:uid="{00000000-0006-0000-0300-000017000000}">
      <text>
        <r>
          <rPr>
            <b/>
            <sz val="8"/>
            <color indexed="81"/>
            <rFont val="Tahoma"/>
            <family val="2"/>
          </rPr>
          <t>goodrmar:</t>
        </r>
        <r>
          <rPr>
            <sz val="8"/>
            <color indexed="81"/>
            <rFont val="Tahoma"/>
            <family val="2"/>
          </rPr>
          <t xml:space="preserve">
This includes: Other Fixed Line, Business Services &amp; Applications + Other Advertisng and Directors Revenue, Offshore Rev, Pay TV Revenue, Other Minor Items</t>
        </r>
      </text>
    </comment>
    <comment ref="Y443" authorId="0" shapeId="0" xr:uid="{00000000-0006-0000-0300-000018000000}">
      <text>
        <r>
          <rPr>
            <b/>
            <sz val="9"/>
            <color indexed="81"/>
            <rFont val="Tahoma"/>
            <family val="2"/>
          </rPr>
          <t>Tan, Raymond (Research):</t>
        </r>
        <r>
          <rPr>
            <sz val="9"/>
            <color indexed="81"/>
            <rFont val="Tahoma"/>
            <family val="2"/>
          </rPr>
          <t xml:space="preserve">
Expects EBITDA growth from 2H21</t>
        </r>
      </text>
    </comment>
    <comment ref="Z443" authorId="0" shapeId="0" xr:uid="{00000000-0006-0000-0300-000019000000}">
      <text>
        <r>
          <rPr>
            <b/>
            <sz val="9"/>
            <color indexed="81"/>
            <rFont val="Tahoma"/>
            <family val="2"/>
          </rPr>
          <t>Tan, Raymond (Research):</t>
        </r>
        <r>
          <rPr>
            <sz val="9"/>
            <color indexed="81"/>
            <rFont val="Tahoma"/>
            <family val="2"/>
          </rPr>
          <t xml:space="preserve">
Expects EBITDA growth from 2H21</t>
        </r>
      </text>
    </comment>
    <comment ref="Q455" authorId="3" shapeId="0" xr:uid="{00000000-0006-0000-0300-000002000000}">
      <text>
        <r>
          <rPr>
            <b/>
            <sz val="8"/>
            <color indexed="81"/>
            <rFont val="Tahoma"/>
            <family val="2"/>
          </rPr>
          <t>goodrmar:</t>
        </r>
        <r>
          <rPr>
            <sz val="8"/>
            <color indexed="81"/>
            <rFont val="Tahoma"/>
            <family val="2"/>
          </rPr>
          <t xml:space="preserve">
TelstraClear Sold To Vodafone 12 July 2012….Need to rmove this adjustment once FY13 results</t>
        </r>
      </text>
    </comment>
    <comment ref="R455" authorId="3" shapeId="0" xr:uid="{00000000-0006-0000-0300-000003000000}">
      <text>
        <r>
          <rPr>
            <b/>
            <sz val="8"/>
            <color indexed="81"/>
            <rFont val="Tahoma"/>
            <family val="2"/>
          </rPr>
          <t>goodrmar:</t>
        </r>
        <r>
          <rPr>
            <sz val="8"/>
            <color indexed="81"/>
            <rFont val="Tahoma"/>
            <family val="2"/>
          </rPr>
          <t xml:space="preserve">
CSL sold on 20th Dec 2013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Boulus, Chris (Research)</author>
    <author>goodrmar</author>
    <author>Tan, Raymond (Research)</author>
    <author>McLeod, Andrew (Research)</author>
  </authors>
  <commentList>
    <comment ref="AA21" authorId="0" shapeId="0" xr:uid="{00000000-0006-0000-0700-000001000000}">
      <text>
        <r>
          <rPr>
            <b/>
            <sz val="9"/>
            <color indexed="81"/>
            <rFont val="Tahoma"/>
            <family val="2"/>
          </rPr>
          <t>Boulus, Chris (Research):</t>
        </r>
        <r>
          <rPr>
            <sz val="9"/>
            <color indexed="81"/>
            <rFont val="Tahoma"/>
            <family val="2"/>
          </rPr>
          <t xml:space="preserve">
23-25B</t>
        </r>
      </text>
    </comment>
    <comment ref="D32" authorId="1" shapeId="0" xr:uid="{00000000-0006-0000-0700-000002000000}">
      <text>
        <r>
          <rPr>
            <b/>
            <sz val="8"/>
            <color indexed="81"/>
            <rFont val="Tahoma"/>
            <family val="2"/>
          </rPr>
          <t>goodrmar:</t>
        </r>
        <r>
          <rPr>
            <sz val="8"/>
            <color indexed="81"/>
            <rFont val="Tahoma"/>
            <family val="2"/>
          </rPr>
          <t xml:space="preserve">
734 - effect of SAB101 change</t>
        </r>
      </text>
    </comment>
    <comment ref="E32" authorId="1" shapeId="0" xr:uid="{00000000-0006-0000-0700-000003000000}">
      <text>
        <r>
          <rPr>
            <b/>
            <sz val="8"/>
            <color indexed="81"/>
            <rFont val="Tahoma"/>
            <family val="2"/>
          </rPr>
          <t>goodrmar:</t>
        </r>
        <r>
          <rPr>
            <sz val="8"/>
            <color indexed="81"/>
            <rFont val="Tahoma"/>
            <family val="2"/>
          </rPr>
          <t xml:space="preserve">
-573 - effect of SAB11 change</t>
        </r>
      </text>
    </comment>
    <comment ref="AA46" authorId="0" shapeId="0" xr:uid="{00000000-0006-0000-0700-000004000000}">
      <text>
        <r>
          <rPr>
            <b/>
            <sz val="9"/>
            <color indexed="81"/>
            <rFont val="Tahoma"/>
            <family val="2"/>
          </rPr>
          <t>Boulus, Chris (Research):</t>
        </r>
        <r>
          <rPr>
            <sz val="9"/>
            <color indexed="81"/>
            <rFont val="Tahoma"/>
            <family val="2"/>
          </rPr>
          <t xml:space="preserve">
7.8-8 bn</t>
        </r>
      </text>
    </comment>
    <comment ref="Y47" authorId="2" shapeId="0" xr:uid="{00000000-0006-0000-0700-000005000000}">
      <text>
        <r>
          <rPr>
            <b/>
            <sz val="9"/>
            <color indexed="81"/>
            <rFont val="Tahoma"/>
            <family val="2"/>
          </rPr>
          <t>Tan, Raymond (Research):</t>
        </r>
        <r>
          <rPr>
            <sz val="9"/>
            <color indexed="81"/>
            <rFont val="Tahoma"/>
            <family val="2"/>
          </rPr>
          <t xml:space="preserve">
Guidance A$0.7 - 1.0bn</t>
        </r>
      </text>
    </comment>
    <comment ref="Y55" authorId="2" shapeId="0" xr:uid="{00000000-0006-0000-0700-000006000000}">
      <text>
        <r>
          <rPr>
            <b/>
            <sz val="9"/>
            <color indexed="81"/>
            <rFont val="Tahoma"/>
            <family val="2"/>
          </rPr>
          <t>Tan, Raymond (Research):</t>
        </r>
        <r>
          <rPr>
            <sz val="9"/>
            <color indexed="81"/>
            <rFont val="Tahoma"/>
            <family val="2"/>
          </rPr>
          <t xml:space="preserve">
Analyst Preso pg 22</t>
        </r>
      </text>
    </comment>
    <comment ref="X86" authorId="2" shapeId="0" xr:uid="{00000000-0006-0000-0700-000007000000}">
      <text>
        <r>
          <rPr>
            <b/>
            <sz val="9"/>
            <color indexed="81"/>
            <rFont val="Tahoma"/>
            <family val="2"/>
          </rPr>
          <t>Tan, Raymond (Research):</t>
        </r>
        <r>
          <rPr>
            <sz val="9"/>
            <color indexed="81"/>
            <rFont val="Tahoma"/>
            <family val="2"/>
          </rPr>
          <t xml:space="preserve">
2796</t>
        </r>
      </text>
    </comment>
    <comment ref="X88" authorId="2" shapeId="0" xr:uid="{00000000-0006-0000-0700-000008000000}">
      <text>
        <r>
          <rPr>
            <b/>
            <sz val="9"/>
            <color indexed="81"/>
            <rFont val="Tahoma"/>
            <family val="2"/>
          </rPr>
          <t>Tan, Raymond (Research):</t>
        </r>
        <r>
          <rPr>
            <sz val="9"/>
            <color indexed="81"/>
            <rFont val="Tahoma"/>
            <family val="2"/>
          </rPr>
          <t xml:space="preserve">
1839</t>
        </r>
      </text>
    </comment>
    <comment ref="X91" authorId="2" shapeId="0" xr:uid="{00000000-0006-0000-0700-000009000000}">
      <text>
        <r>
          <rPr>
            <b/>
            <sz val="9"/>
            <color indexed="81"/>
            <rFont val="Tahoma"/>
            <family val="2"/>
          </rPr>
          <t>Tan, Raymond (Research):</t>
        </r>
        <r>
          <rPr>
            <sz val="9"/>
            <color indexed="81"/>
            <rFont val="Tahoma"/>
            <family val="2"/>
          </rPr>
          <t xml:space="preserve">
1819</t>
        </r>
      </text>
    </comment>
    <comment ref="R93" authorId="1" shapeId="0" xr:uid="{00000000-0006-0000-0700-00000A000000}">
      <text>
        <r>
          <rPr>
            <b/>
            <sz val="8"/>
            <color indexed="81"/>
            <rFont val="Tahoma"/>
            <family val="2"/>
          </rPr>
          <t>goodrmar:</t>
        </r>
        <r>
          <rPr>
            <sz val="8"/>
            <color indexed="81"/>
            <rFont val="Tahoma"/>
            <family val="2"/>
          </rPr>
          <t xml:space="preserve">
Sale of CSL on 20th Dec 2013 of A$600m and then a A$150m loss on sale of Sensis in 13th Jan 2013</t>
        </r>
      </text>
    </comment>
    <comment ref="P94" authorId="1" shapeId="0" xr:uid="{00000000-0006-0000-0700-00000B000000}">
      <text>
        <r>
          <rPr>
            <b/>
            <sz val="8"/>
            <color indexed="81"/>
            <rFont val="Tahoma"/>
            <family val="2"/>
          </rPr>
          <t>goodrmar:</t>
        </r>
        <r>
          <rPr>
            <sz val="8"/>
            <color indexed="81"/>
            <rFont val="Tahoma"/>
            <family val="2"/>
          </rPr>
          <t xml:space="preserve">
Impairment included</t>
        </r>
      </text>
    </comment>
    <comment ref="Q94" authorId="1" shapeId="0" xr:uid="{00000000-0006-0000-0700-00000C000000}">
      <text>
        <r>
          <rPr>
            <b/>
            <sz val="8"/>
            <color indexed="81"/>
            <rFont val="Tahoma"/>
            <family val="2"/>
          </rPr>
          <t>goodrmar:</t>
        </r>
        <r>
          <rPr>
            <sz val="8"/>
            <color indexed="81"/>
            <rFont val="Tahoma"/>
            <family val="2"/>
          </rPr>
          <t xml:space="preserve">
Impairment included…on sale of Telstra Clear</t>
        </r>
      </text>
    </comment>
    <comment ref="Q171" authorId="1" shapeId="0" xr:uid="{00000000-0006-0000-0700-000010000000}">
      <text>
        <r>
          <rPr>
            <b/>
            <sz val="8"/>
            <color indexed="81"/>
            <rFont val="Tahoma"/>
            <family val="2"/>
          </rPr>
          <t>goodrmar:</t>
        </r>
        <r>
          <rPr>
            <sz val="8"/>
            <color indexed="81"/>
            <rFont val="Tahoma"/>
            <family val="2"/>
          </rPr>
          <t xml:space="preserve">
FY13 Guidance is low single digit growth … but must remove TelstraClear numbers from the year before … if removed we have 1.2% growth</t>
        </r>
      </text>
    </comment>
    <comment ref="X171" authorId="2" shapeId="0" xr:uid="{00000000-0006-0000-0700-000011000000}">
      <text>
        <r>
          <rPr>
            <b/>
            <sz val="9"/>
            <color indexed="81"/>
            <rFont val="Tahoma"/>
            <family val="2"/>
          </rPr>
          <t>Tan, Raymond (Research):</t>
        </r>
        <r>
          <rPr>
            <sz val="9"/>
            <color indexed="81"/>
            <rFont val="Tahoma"/>
            <family val="2"/>
          </rPr>
          <t xml:space="preserve">
FY20 Guidance: 
25.3 - 27.3</t>
        </r>
      </text>
    </comment>
    <comment ref="Y171" authorId="3" shapeId="0" xr:uid="{00000000-0006-0000-0700-000012000000}">
      <text>
        <r>
          <rPr>
            <b/>
            <sz val="9"/>
            <color indexed="81"/>
            <rFont val="Tahoma"/>
            <family val="2"/>
          </rPr>
          <t>McLeod, Andrew (Research):</t>
        </r>
        <r>
          <rPr>
            <sz val="9"/>
            <color indexed="81"/>
            <rFont val="Tahoma"/>
            <family val="2"/>
          </rPr>
          <t xml:space="preserve">
23.2 to 25.1</t>
        </r>
      </text>
    </comment>
    <comment ref="X184" authorId="2" shapeId="0" xr:uid="{00000000-0006-0000-0700-000013000000}">
      <text>
        <r>
          <rPr>
            <b/>
            <sz val="9"/>
            <color indexed="81"/>
            <rFont val="Tahoma"/>
            <family val="2"/>
          </rPr>
          <t>Tan, Raymond (Research):</t>
        </r>
        <r>
          <rPr>
            <sz val="9"/>
            <color indexed="81"/>
            <rFont val="Tahoma"/>
            <family val="2"/>
          </rPr>
          <t xml:space="preserve">
FY20 Guidance:
7.4 - 7.9</t>
        </r>
      </text>
    </comment>
    <comment ref="Y184" authorId="2" shapeId="0" xr:uid="{00000000-0006-0000-0700-000014000000}">
      <text>
        <r>
          <rPr>
            <b/>
            <sz val="9"/>
            <color indexed="81"/>
            <rFont val="Tahoma"/>
            <family val="2"/>
          </rPr>
          <t>Tan, Raymond (Research):</t>
        </r>
        <r>
          <rPr>
            <sz val="9"/>
            <color indexed="81"/>
            <rFont val="Tahoma"/>
            <family val="2"/>
          </rPr>
          <t xml:space="preserve">
6.5 to 7</t>
        </r>
      </text>
    </comment>
    <comment ref="AA184" authorId="2" shapeId="0" xr:uid="{00000000-0006-0000-0700-000015000000}">
      <text>
        <r>
          <rPr>
            <b/>
            <sz val="9"/>
            <color indexed="81"/>
            <rFont val="Tahoma"/>
            <family val="2"/>
          </rPr>
          <t>Tan, Raymond (Research):</t>
        </r>
        <r>
          <rPr>
            <sz val="9"/>
            <color indexed="81"/>
            <rFont val="Tahoma"/>
            <family val="2"/>
          </rPr>
          <t xml:space="preserve">
ambition to achieve 7.5 to 8.5 by FY23</t>
        </r>
      </text>
    </comment>
    <comment ref="X185" authorId="2" shapeId="0" xr:uid="{00000000-0006-0000-0700-000016000000}">
      <text>
        <r>
          <rPr>
            <b/>
            <sz val="9"/>
            <color indexed="81"/>
            <rFont val="Tahoma"/>
            <family val="2"/>
          </rPr>
          <t>Tan, Raymond (Research):</t>
        </r>
        <r>
          <rPr>
            <sz val="9"/>
            <color indexed="81"/>
            <rFont val="Tahoma"/>
            <family val="2"/>
          </rPr>
          <t xml:space="preserve">
FY20 Guidance:
1.3 - 1.7</t>
        </r>
      </text>
    </comment>
    <comment ref="Y185" authorId="2" shapeId="0" xr:uid="{00000000-0006-0000-0700-000017000000}">
      <text>
        <r>
          <rPr>
            <b/>
            <sz val="9"/>
            <color indexed="81"/>
            <rFont val="Tahoma"/>
            <family val="2"/>
          </rPr>
          <t>Tan, Raymond (Research):</t>
        </r>
        <r>
          <rPr>
            <sz val="9"/>
            <color indexed="81"/>
            <rFont val="Tahoma"/>
            <family val="2"/>
          </rPr>
          <t xml:space="preserve">
0.7 to 1.0</t>
        </r>
      </text>
    </comment>
    <comment ref="P208" authorId="1" shapeId="0" xr:uid="{00000000-0006-0000-0700-00000D000000}">
      <text>
        <r>
          <rPr>
            <b/>
            <sz val="8"/>
            <color indexed="81"/>
            <rFont val="Tahoma"/>
            <family val="2"/>
          </rPr>
          <t>goodrmar:</t>
        </r>
        <r>
          <rPr>
            <sz val="8"/>
            <color indexed="81"/>
            <rFont val="Tahoma"/>
            <family val="2"/>
          </rPr>
          <t xml:space="preserve">
lose on asset sale of TelstraClear</t>
        </r>
      </text>
    </comment>
    <comment ref="D213" authorId="1" shapeId="0" xr:uid="{00000000-0006-0000-0700-00000E000000}">
      <text>
        <r>
          <rPr>
            <b/>
            <sz val="8"/>
            <color indexed="81"/>
            <rFont val="Tahoma"/>
            <family val="2"/>
          </rPr>
          <t>goodrmar:</t>
        </r>
        <r>
          <rPr>
            <sz val="8"/>
            <color indexed="81"/>
            <rFont val="Tahoma"/>
            <family val="2"/>
          </rPr>
          <t xml:space="preserve">
734 JORN costs</t>
        </r>
      </text>
    </comment>
    <comment ref="E213" authorId="1" shapeId="0" xr:uid="{00000000-0006-0000-0700-00000F000000}">
      <text>
        <r>
          <rPr>
            <b/>
            <sz val="8"/>
            <color indexed="81"/>
            <rFont val="Tahoma"/>
            <family val="2"/>
          </rPr>
          <t>goodrmar:</t>
        </r>
        <r>
          <rPr>
            <sz val="8"/>
            <color indexed="81"/>
            <rFont val="Tahoma"/>
            <family val="2"/>
          </rPr>
          <t xml:space="preserve">
-573 effect of SAB101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goodrmar</author>
    <author>Boulus, Chris (Research)</author>
    <author>Lansky, Elise (Research)</author>
    <author>Goodridge, Mark (Research)</author>
  </authors>
  <commentList>
    <comment ref="R18" authorId="0" shapeId="0" xr:uid="{00000000-0006-0000-0900-000001000000}">
      <text>
        <r>
          <rPr>
            <b/>
            <sz val="8"/>
            <color indexed="81"/>
            <rFont val="Tahoma"/>
            <family val="2"/>
          </rPr>
          <t>goodrmar:</t>
        </r>
        <r>
          <rPr>
            <sz val="8"/>
            <color indexed="81"/>
            <rFont val="Tahoma"/>
            <family val="2"/>
          </rPr>
          <t xml:space="preserve">
moving towards monthly tax recognition … hence pay 14 months of 12 months. … hence pay 14/12 * 30% … hence created a A$267.5m tax credit</t>
        </r>
      </text>
    </comment>
    <comment ref="AC24" authorId="1" shapeId="0" xr:uid="{82338CFC-023A-4C9B-ADD1-75167FDF3C0E}">
      <text>
        <r>
          <rPr>
            <b/>
            <sz val="9"/>
            <color indexed="81"/>
            <rFont val="Tahoma"/>
            <family val="2"/>
          </rPr>
          <t>Boulus, Chris (Research):</t>
        </r>
        <r>
          <rPr>
            <sz val="9"/>
            <color indexed="81"/>
            <rFont val="Tahoma"/>
            <family val="2"/>
          </rPr>
          <t xml:space="preserve">
guides BAU capex of 3.3bn</t>
        </r>
      </text>
    </comment>
    <comment ref="AB25" authorId="1" shapeId="0" xr:uid="{6EB0968B-E988-4C29-8337-2B961145E4B3}">
      <text>
        <r>
          <rPr>
            <b/>
            <sz val="9"/>
            <color indexed="81"/>
            <rFont val="Tahoma"/>
            <family val="2"/>
          </rPr>
          <t>Boulus, Chris (Research):</t>
        </r>
        <r>
          <rPr>
            <sz val="9"/>
            <color indexed="81"/>
            <rFont val="Tahoma"/>
            <family val="2"/>
          </rPr>
          <t xml:space="preserve">
expects 1.3bn spectrum</t>
        </r>
      </text>
    </comment>
    <comment ref="AC25" authorId="1" shapeId="0" xr:uid="{D0C1E48B-CC04-41CF-A806-FE515A7FCB71}">
      <text>
        <r>
          <rPr>
            <b/>
            <sz val="9"/>
            <color indexed="81"/>
            <rFont val="Tahoma"/>
            <family val="2"/>
          </rPr>
          <t>Boulus, Chris (Research):</t>
        </r>
        <r>
          <rPr>
            <sz val="9"/>
            <color indexed="81"/>
            <rFont val="Tahoma"/>
            <family val="2"/>
          </rPr>
          <t xml:space="preserve">
guides BAU capex of 3.3b</t>
        </r>
      </text>
    </comment>
    <comment ref="AA27" authorId="1" shapeId="0" xr:uid="{00000000-0006-0000-0900-000003000000}">
      <text>
        <r>
          <rPr>
            <b/>
            <sz val="9"/>
            <color indexed="81"/>
            <rFont val="Tahoma"/>
            <family val="2"/>
          </rPr>
          <t>Boulus, Chris (Research):</t>
        </r>
        <r>
          <rPr>
            <sz val="9"/>
            <color indexed="81"/>
            <rFont val="Tahoma"/>
            <family val="2"/>
          </rPr>
          <t xml:space="preserve">
3.5-3.7B</t>
        </r>
      </text>
    </comment>
    <comment ref="AB27" authorId="1" shapeId="0" xr:uid="{08F18C5B-C1E2-4A50-8EB3-3255D986C1CB}">
      <text>
        <r>
          <rPr>
            <b/>
            <sz val="9"/>
            <color indexed="81"/>
            <rFont val="Tahoma"/>
            <family val="2"/>
          </rPr>
          <t>Boulus, Chris (Research):</t>
        </r>
        <r>
          <rPr>
            <sz val="9"/>
            <color indexed="81"/>
            <rFont val="Tahoma"/>
            <family val="2"/>
          </rPr>
          <t xml:space="preserve">
guides 3.6-3.7</t>
        </r>
      </text>
    </comment>
    <comment ref="Q29" authorId="0" shapeId="0" xr:uid="{00000000-0006-0000-0900-000004000000}">
      <text>
        <r>
          <rPr>
            <b/>
            <sz val="8"/>
            <color indexed="81"/>
            <rFont val="Tahoma"/>
            <family val="2"/>
          </rPr>
          <t>goodrmar:</t>
        </r>
        <r>
          <rPr>
            <sz val="8"/>
            <color indexed="81"/>
            <rFont val="Tahoma"/>
            <family val="2"/>
          </rPr>
          <t xml:space="preserve">
Sale of TelstraClear to Vodafone for A$660</t>
        </r>
      </text>
    </comment>
    <comment ref="R29" authorId="0" shapeId="0" xr:uid="{00000000-0006-0000-0900-000005000000}">
      <text>
        <r>
          <rPr>
            <b/>
            <sz val="8"/>
            <color indexed="81"/>
            <rFont val="Tahoma"/>
            <family val="2"/>
          </rPr>
          <t>goodrmar:</t>
        </r>
        <r>
          <rPr>
            <sz val="8"/>
            <color indexed="81"/>
            <rFont val="Tahoma"/>
            <family val="2"/>
          </rPr>
          <t xml:space="preserve">
Cash on sale of CSL … sold 20th Dec 2013 and cash of sale of Sensis of A$454m 13th January 2013</t>
        </r>
      </text>
    </comment>
    <comment ref="T29" authorId="2" shapeId="0" xr:uid="{00000000-0006-0000-0900-000006000000}">
      <text>
        <r>
          <rPr>
            <b/>
            <sz val="9"/>
            <color indexed="81"/>
            <rFont val="Tahoma"/>
            <family val="2"/>
          </rPr>
          <t>Lansky, Elise (Research):</t>
        </r>
        <r>
          <rPr>
            <sz val="9"/>
            <color indexed="81"/>
            <rFont val="Tahoma"/>
            <family val="2"/>
          </rPr>
          <t xml:space="preserve">
Autohome</t>
        </r>
      </text>
    </comment>
    <comment ref="Q30" authorId="0" shapeId="0" xr:uid="{00000000-0006-0000-0900-000007000000}">
      <text>
        <r>
          <rPr>
            <b/>
            <sz val="8"/>
            <color indexed="81"/>
            <rFont val="Tahoma"/>
            <family val="2"/>
          </rPr>
          <t>goodrmar:</t>
        </r>
        <r>
          <rPr>
            <sz val="8"/>
            <color indexed="81"/>
            <rFont val="Tahoma"/>
            <family val="2"/>
          </rPr>
          <t xml:space="preserve">
Assume for acqusitions</t>
        </r>
      </text>
    </comment>
    <comment ref="R30" authorId="0" shapeId="0" xr:uid="{00000000-0006-0000-0900-000008000000}">
      <text>
        <r>
          <rPr>
            <b/>
            <sz val="8"/>
            <color indexed="81"/>
            <rFont val="Tahoma"/>
            <family val="2"/>
          </rPr>
          <t>goodrmar:</t>
        </r>
        <r>
          <rPr>
            <sz val="8"/>
            <color indexed="81"/>
            <rFont val="Tahoma"/>
            <family val="2"/>
          </rPr>
          <t xml:space="preserve">
</t>
        </r>
      </text>
    </comment>
    <comment ref="S30" authorId="3" shapeId="0" xr:uid="{00000000-0006-0000-0900-000009000000}">
      <text>
        <r>
          <rPr>
            <b/>
            <sz val="9"/>
            <color indexed="81"/>
            <rFont val="Tahoma"/>
            <family val="2"/>
          </rPr>
          <t>Goodridge, Mark (Research):</t>
        </r>
        <r>
          <rPr>
            <sz val="9"/>
            <color indexed="81"/>
            <rFont val="Tahoma"/>
            <family val="2"/>
          </rPr>
          <t xml:space="preserve">
Acquired Pacnet for US$697m at 0.82 rate therefore A$850m</t>
        </r>
      </text>
    </comment>
    <comment ref="AC36" authorId="1" shapeId="0" xr:uid="{BFF2D0BA-7EEA-4818-9378-6A04D0155D58}">
      <text>
        <r>
          <rPr>
            <b/>
            <sz val="9"/>
            <color indexed="81"/>
            <rFont val="Tahoma"/>
            <family val="2"/>
          </rPr>
          <t>Boulus, Chris (Research):</t>
        </r>
        <r>
          <rPr>
            <sz val="9"/>
            <color indexed="81"/>
            <rFont val="Tahoma"/>
            <family val="2"/>
          </rPr>
          <t xml:space="preserve">
guides higher end of 3.4bn</t>
        </r>
      </text>
    </comment>
    <comment ref="AD43" authorId="1" shapeId="0" xr:uid="{5A32B18D-EE4B-4A73-89FC-100B27266CC7}">
      <text>
        <r>
          <rPr>
            <b/>
            <sz val="9"/>
            <color indexed="81"/>
            <rFont val="Tahoma"/>
            <family val="2"/>
          </rPr>
          <t>Boulus, Chris (Research):</t>
        </r>
        <r>
          <rPr>
            <sz val="9"/>
            <color indexed="81"/>
            <rFont val="Tahoma"/>
            <family val="2"/>
          </rPr>
          <t xml:space="preserve">
up to 1.2 buyback</t>
        </r>
      </text>
    </comment>
    <comment ref="AE43" authorId="1" shapeId="0" xr:uid="{C09ACD15-8E59-413D-8848-180E94940F34}">
      <text>
        <r>
          <rPr>
            <b/>
            <sz val="9"/>
            <color indexed="81"/>
            <rFont val="Tahoma"/>
            <family val="2"/>
          </rPr>
          <t>Boulus, Chris (Research):</t>
        </r>
        <r>
          <rPr>
            <sz val="9"/>
            <color indexed="81"/>
            <rFont val="Tahoma"/>
            <family val="2"/>
          </rPr>
          <t xml:space="preserve">
up to 1.25bn  buy back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goodrmar</author>
  </authors>
  <commentList>
    <comment ref="N14" authorId="0" shapeId="0" xr:uid="{00000000-0006-0000-0B00-000001000000}">
      <text>
        <r>
          <rPr>
            <b/>
            <sz val="8"/>
            <color indexed="81"/>
            <rFont val="Tahoma"/>
            <family val="2"/>
          </rPr>
          <t>goodrmar:</t>
        </r>
        <r>
          <rPr>
            <sz val="8"/>
            <color indexed="81"/>
            <rFont val="Tahoma"/>
            <family val="2"/>
          </rPr>
          <t xml:space="preserve">
SouFun…held for sale</t>
        </r>
      </text>
    </comment>
    <comment ref="P58" authorId="0" shapeId="0" xr:uid="{00000000-0006-0000-0B00-000002000000}">
      <text>
        <r>
          <rPr>
            <b/>
            <sz val="8"/>
            <color indexed="81"/>
            <rFont val="Tahoma"/>
            <family val="2"/>
          </rPr>
          <t>goodrmar:</t>
        </r>
        <r>
          <rPr>
            <sz val="8"/>
            <color indexed="81"/>
            <rFont val="Tahoma"/>
            <family val="2"/>
          </rPr>
          <t xml:space="preserve">
Note just placed the Impairment from TelstraClear (annoucement on 11 July 2012) for FY12 &amp;13 here by adjusting net income cell</t>
        </r>
      </text>
    </comment>
    <comment ref="P88" authorId="0" shapeId="0" xr:uid="{00000000-0006-0000-0B00-000003000000}">
      <text>
        <r>
          <rPr>
            <b/>
            <sz val="8"/>
            <color indexed="81"/>
            <rFont val="Tahoma"/>
            <family val="2"/>
          </rPr>
          <t>goodrmar:</t>
        </r>
        <r>
          <rPr>
            <sz val="8"/>
            <color indexed="81"/>
            <rFont val="Tahoma"/>
            <family val="2"/>
          </rPr>
          <t xml:space="preserve">
found in note 22. Expenditure commintments</t>
        </r>
      </text>
    </comment>
    <comment ref="P89" authorId="0" shapeId="0" xr:uid="{00000000-0006-0000-0B00-000004000000}">
      <text>
        <r>
          <rPr>
            <b/>
            <sz val="8"/>
            <color indexed="81"/>
            <rFont val="Tahoma"/>
            <family val="2"/>
          </rPr>
          <t>goodrmar:</t>
        </r>
        <r>
          <rPr>
            <sz val="8"/>
            <color indexed="81"/>
            <rFont val="Tahoma"/>
            <family val="2"/>
          </rPr>
          <t xml:space="preserve">
found in expenses detail</t>
        </r>
      </text>
    </comment>
  </commentList>
</comments>
</file>

<file path=xl/sharedStrings.xml><?xml version="1.0" encoding="utf-8"?>
<sst xmlns="http://schemas.openxmlformats.org/spreadsheetml/2006/main" count="4897" uniqueCount="1898">
  <si>
    <t xml:space="preserve">  Other Government Payments - A$100m training spread over 8 years</t>
  </si>
  <si>
    <t>Other sales revenue</t>
  </si>
  <si>
    <t>Other income</t>
  </si>
  <si>
    <t>Free cash flow</t>
  </si>
  <si>
    <t>Reported Optus Wholesale Subscribers</t>
  </si>
  <si>
    <t>Foxtel Total Subscribers (Direct + Wholesale)</t>
  </si>
  <si>
    <t>Reported Foxtel Total Subscribers (Direct + Wholesale)</t>
  </si>
  <si>
    <t>Austar subscribers</t>
  </si>
  <si>
    <t>Total PayTV subscribers</t>
  </si>
  <si>
    <t>Total PayTV penetration in Australia</t>
  </si>
  <si>
    <t>Pay TV penetration in Metro Australian markets (i.e. Foxtel, OV)</t>
  </si>
  <si>
    <t>Australian PayTV Market</t>
  </si>
  <si>
    <t>TV Households in Australia</t>
  </si>
  <si>
    <t>mstag:netDisposalsAcquisitions</t>
  </si>
  <si>
    <t>Income Statement</t>
  </si>
  <si>
    <t>Profit &amp; Loss Ratio Analysis</t>
  </si>
  <si>
    <t>Net Profit Before Tax</t>
  </si>
  <si>
    <t>Total Operating Cash Flows</t>
  </si>
  <si>
    <t>Other investing</t>
  </si>
  <si>
    <t>Total Investing Cash Flows</t>
  </si>
  <si>
    <t>Financing Activities</t>
  </si>
  <si>
    <t>Purchase of PPE</t>
  </si>
  <si>
    <t xml:space="preserve">Net interest </t>
  </si>
  <si>
    <t>Income Tax</t>
  </si>
  <si>
    <t>Profit After Tax</t>
  </si>
  <si>
    <t>Weighted average shares - Diluted</t>
  </si>
  <si>
    <t>Net Debt/(Cash)</t>
  </si>
  <si>
    <t>Depreciation &amp; Amortisation</t>
  </si>
  <si>
    <t>Other</t>
  </si>
  <si>
    <t>Current Assets</t>
  </si>
  <si>
    <t>Property, Plant &amp; Equipment</t>
  </si>
  <si>
    <t>Total EBIT</t>
  </si>
  <si>
    <t>EV/EBITDA</t>
  </si>
  <si>
    <t>Reported Costs (ex D&amp;A)</t>
  </si>
  <si>
    <t>Non-Recurring Items (post-tax)</t>
  </si>
  <si>
    <t>$ actual</t>
  </si>
  <si>
    <t>Net change in cash</t>
  </si>
  <si>
    <t>Foxtel + Austar DTH Satellite Connections</t>
  </si>
  <si>
    <t>Total Foxtel + Austar Subscribers - fiscal year average</t>
  </si>
  <si>
    <t xml:space="preserve">        NBN Network payments</t>
  </si>
  <si>
    <t xml:space="preserve">        Other Network payments</t>
  </si>
  <si>
    <t>NBN Access Reveneue</t>
  </si>
  <si>
    <t>Global</t>
  </si>
  <si>
    <t xml:space="preserve">    Subs/commissions as % of Rev</t>
  </si>
  <si>
    <t>Local Mobile + Data + Fixed Revenue</t>
  </si>
  <si>
    <t>Other Operating Costs</t>
  </si>
  <si>
    <t xml:space="preserve">    Rental expense</t>
  </si>
  <si>
    <t>FY13</t>
  </si>
  <si>
    <t>FY14</t>
  </si>
  <si>
    <t>FY15</t>
  </si>
  <si>
    <t>FY16</t>
  </si>
  <si>
    <t>FY17</t>
  </si>
  <si>
    <t>FY18</t>
  </si>
  <si>
    <t>FY19</t>
  </si>
  <si>
    <t>FY20</t>
  </si>
  <si>
    <t>Gross Operating  Cashflow/EBITDA</t>
  </si>
  <si>
    <t>TLS</t>
  </si>
  <si>
    <t>Calc'd EBITDA</t>
  </si>
  <si>
    <t>Other Revenue</t>
  </si>
  <si>
    <t>Rental expense</t>
  </si>
  <si>
    <t>Full time equivalent employees (EOP)</t>
  </si>
  <si>
    <t>Full time equivalent employees (Average)</t>
  </si>
  <si>
    <t xml:space="preserve">OTHER FIXED TELEPHONY - Fixed Revenue </t>
  </si>
  <si>
    <t>(narrowband now included)</t>
  </si>
  <si>
    <t>Austar O&amp;O Subscriber Prices (Retail):</t>
  </si>
  <si>
    <t>Austar DTH satellite - monthly subscription fee</t>
  </si>
  <si>
    <t>Calculated Austar O&amp;O subscription revenue</t>
  </si>
  <si>
    <t>F2012</t>
  </si>
  <si>
    <t>Andrew McLeod +612-9770-1692</t>
  </si>
  <si>
    <t xml:space="preserve">Franking </t>
  </si>
  <si>
    <t>Shareholders Equity</t>
  </si>
  <si>
    <t>Non-Consolidated Assets + Investments</t>
  </si>
  <si>
    <t>Total Advertising &amp; Directories Revenue</t>
  </si>
  <si>
    <t xml:space="preserve">    CSL New World</t>
  </si>
  <si>
    <t xml:space="preserve">    TelstraClear</t>
  </si>
  <si>
    <t xml:space="preserve">    Offshore Revenue</t>
  </si>
  <si>
    <t>Total Offshore Carriage Revenue</t>
  </si>
  <si>
    <t>Wholesale Subscribers - fiscal year average</t>
  </si>
  <si>
    <t>OptusVision's Hollywood programming costs</t>
  </si>
  <si>
    <t>Calculated Hollywood Movie Costs</t>
  </si>
  <si>
    <t>Sports Programming Costs:</t>
  </si>
  <si>
    <t>Fox Sports channels 1 and 2 (RL, Union, Soccer, NBA, foreign cricket tours, major tennis &amp; golf)</t>
  </si>
  <si>
    <t>Wholesale Optus subscribers - fiscal year average</t>
  </si>
  <si>
    <t>Total Subscribers - fiscal year average</t>
  </si>
  <si>
    <t>Sell through rate per subscriber</t>
  </si>
  <si>
    <t>Total Fox Sports costs</t>
  </si>
  <si>
    <t>AFL rights (Foxtel's share)</t>
  </si>
  <si>
    <t>TOTAL GROUP REVENUE</t>
  </si>
  <si>
    <t>Cost Summary</t>
  </si>
  <si>
    <t xml:space="preserve">Costs </t>
  </si>
  <si>
    <t>Market Multiple F2015E</t>
  </si>
  <si>
    <t>Cost of Debt</t>
  </si>
  <si>
    <t>Value</t>
  </si>
  <si>
    <t>Fiscal Year Weighted Average DTH satellite subs</t>
  </si>
  <si>
    <t>Fiscal Year Weighted Average Foxtel subs</t>
  </si>
  <si>
    <t>Churn - annualised</t>
  </si>
  <si>
    <t>Foxtel IQ STB penetration of subs - at June</t>
  </si>
  <si>
    <t>Foxtel IQ HD STB</t>
  </si>
  <si>
    <t>units</t>
  </si>
  <si>
    <t>Foxtel share of viewing in pay TV homes</t>
  </si>
  <si>
    <t>Foxtel share of viewing in 5 cap city homes</t>
  </si>
  <si>
    <t>OptusVision PayTV Subscribers</t>
  </si>
  <si>
    <t>CY13</t>
  </si>
  <si>
    <t>CY14</t>
  </si>
  <si>
    <t>CY15</t>
  </si>
  <si>
    <t>CY16</t>
  </si>
  <si>
    <t>CY17</t>
  </si>
  <si>
    <t>CY18</t>
  </si>
  <si>
    <t>CY19</t>
  </si>
  <si>
    <t>CY20</t>
  </si>
  <si>
    <t>CY21</t>
  </si>
  <si>
    <t>CY22</t>
  </si>
  <si>
    <t>CY23</t>
  </si>
  <si>
    <t>CY24</t>
  </si>
  <si>
    <t>Annual Cost Synergies</t>
  </si>
  <si>
    <t>CY10</t>
  </si>
  <si>
    <t>CY11</t>
  </si>
  <si>
    <t>CY12</t>
  </si>
  <si>
    <t>CY9</t>
  </si>
  <si>
    <t>Interest Costs</t>
  </si>
  <si>
    <t xml:space="preserve">Tax </t>
  </si>
  <si>
    <t>GROSS DEBT</t>
  </si>
  <si>
    <t>CAPEX</t>
  </si>
  <si>
    <t>D+A as % of sales</t>
  </si>
  <si>
    <t>AUDUSD</t>
  </si>
  <si>
    <t xml:space="preserve">    Pacnet Revenue</t>
  </si>
  <si>
    <t xml:space="preserve">    Pacnet</t>
  </si>
  <si>
    <t>Market Multiple F2016E</t>
  </si>
  <si>
    <t>Subscriber Installation &amp; Management</t>
  </si>
  <si>
    <t>Subscribers - Period Average</t>
  </si>
  <si>
    <t>% of subscription revenue</t>
  </si>
  <si>
    <t>% sub revs</t>
  </si>
  <si>
    <t>% total rev</t>
  </si>
  <si>
    <t>Tax rate %</t>
  </si>
  <si>
    <t>FY07</t>
  </si>
  <si>
    <t>FY08</t>
  </si>
  <si>
    <t>FY09</t>
  </si>
  <si>
    <t>FY10</t>
  </si>
  <si>
    <t>FY11</t>
  </si>
  <si>
    <t>Foxtel DTH satellite subscribers - fiscal year end</t>
  </si>
  <si>
    <t>Total Foxtel O&amp;O Subscribers - fiscal year end</t>
  </si>
  <si>
    <t xml:space="preserve">         Sub-total</t>
  </si>
  <si>
    <t>($m)</t>
  </si>
  <si>
    <t>Public Switch Telephone Network (PSTN) - Other PSTN</t>
  </si>
  <si>
    <t>Total Other PSTN Revenue</t>
  </si>
  <si>
    <t xml:space="preserve">     Local calls</t>
  </si>
  <si>
    <t xml:space="preserve">     PSTN Value Added Services</t>
  </si>
  <si>
    <t xml:space="preserve">     National Long Distance</t>
  </si>
  <si>
    <t xml:space="preserve">     Fixed to mobile calls</t>
  </si>
  <si>
    <t xml:space="preserve">     International Direct</t>
  </si>
  <si>
    <t xml:space="preserve">     Fixed International Calls</t>
  </si>
  <si>
    <t xml:space="preserve">      Prepaid ARPU - reported</t>
  </si>
  <si>
    <t xml:space="preserve">Unique Prepaid Subs as % total </t>
  </si>
  <si>
    <t xml:space="preserve">   Prepaid handheld Revenue - Check </t>
  </si>
  <si>
    <t xml:space="preserve">    Sales Revenue</t>
  </si>
  <si>
    <t>(HK$m)</t>
  </si>
  <si>
    <t>Mobile Service Orientated Infrastructure (EOP)</t>
  </si>
  <si>
    <t>Mobile Service Orientated Infrastructure (Average)</t>
  </si>
  <si>
    <t>(HK$)</t>
  </si>
  <si>
    <t>Exchange Rate</t>
  </si>
  <si>
    <t xml:space="preserve">    AUDHKD</t>
  </si>
  <si>
    <t>Total CSL New World Revenue</t>
  </si>
  <si>
    <t>Actual</t>
  </si>
  <si>
    <t xml:space="preserve">    EBITDA</t>
  </si>
  <si>
    <t>EBITDA Margin</t>
  </si>
  <si>
    <t>Cash - year average</t>
  </si>
  <si>
    <t>Net interest bearing debt - year end</t>
  </si>
  <si>
    <t>Net interest bearing debt - year average</t>
  </si>
  <si>
    <t>Credit margin</t>
  </si>
  <si>
    <t>All-up cost of bank debt</t>
  </si>
  <si>
    <t>Interest Revenue</t>
  </si>
  <si>
    <t>Interest Expense</t>
  </si>
  <si>
    <t>F2014</t>
  </si>
  <si>
    <t>F2015</t>
  </si>
  <si>
    <t>F2016</t>
  </si>
  <si>
    <t>F2017</t>
  </si>
  <si>
    <t>FY19E</t>
  </si>
  <si>
    <t>FY20E</t>
  </si>
  <si>
    <t>Fixed</t>
  </si>
  <si>
    <t xml:space="preserve">         Other - Fixed Line + BAS</t>
  </si>
  <si>
    <t>m</t>
  </si>
  <si>
    <t>D+A</t>
  </si>
  <si>
    <t>Sydney 2000 Australia</t>
  </si>
  <si>
    <t>Non Current Liabilities</t>
  </si>
  <si>
    <t>unit</t>
  </si>
  <si>
    <t>F2005</t>
  </si>
  <si>
    <t>F2006</t>
  </si>
  <si>
    <t>F2007</t>
  </si>
  <si>
    <t>F2008</t>
  </si>
  <si>
    <t>F2009</t>
  </si>
  <si>
    <t>F2010</t>
  </si>
  <si>
    <t>F2011</t>
  </si>
  <si>
    <t>millions</t>
  </si>
  <si>
    <t>cents</t>
  </si>
  <si>
    <t>Cash at the end of the year</t>
  </si>
  <si>
    <t>Investing Activities</t>
  </si>
  <si>
    <t>Proceeds from Share Issues</t>
  </si>
  <si>
    <t>Debt drawn/(repaid)</t>
  </si>
  <si>
    <t>Cashflow Statement Analysis</t>
  </si>
  <si>
    <t>Total Tangible Assets</t>
  </si>
  <si>
    <t>Contributed Capital</t>
  </si>
  <si>
    <t>Foreign currency translation reserve</t>
  </si>
  <si>
    <t>Retained Profit</t>
  </si>
  <si>
    <t>EV/Revenue</t>
  </si>
  <si>
    <t xml:space="preserve">Depreciation </t>
  </si>
  <si>
    <t>Level 39, Chifley Tower, 2 Chifley Square</t>
  </si>
  <si>
    <t>Payments to suppliers and employees</t>
  </si>
  <si>
    <t>Total operating cashflow</t>
  </si>
  <si>
    <t>Share Price adjusted for Investments</t>
  </si>
  <si>
    <t>Dividends paid - Ord shares</t>
  </si>
  <si>
    <t>TLS.AX</t>
  </si>
  <si>
    <t>Telstra Corporation</t>
  </si>
  <si>
    <t>EV / EBITDA</t>
  </si>
  <si>
    <t>Interest paid</t>
  </si>
  <si>
    <t>Total</t>
  </si>
  <si>
    <t>Average Handset Price</t>
  </si>
  <si>
    <t>Calculated Total Foxtel Operating Costs</t>
  </si>
  <si>
    <t>Foxtel Depreciation &amp; Amortisation</t>
  </si>
  <si>
    <t>Depreciation - digital</t>
  </si>
  <si>
    <t>Total Depreciation</t>
  </si>
  <si>
    <t>Bank Interest Calculation</t>
  </si>
  <si>
    <t>Bank debt at the start of year</t>
  </si>
  <si>
    <t>Bank debt at the end of year</t>
  </si>
  <si>
    <t xml:space="preserve">Bank debt - fiscal year average </t>
  </si>
  <si>
    <t>3 year bond rate - Aust govt indicator rate</t>
  </si>
  <si>
    <t>Calculated Foxtel Net Interest Expense</t>
  </si>
  <si>
    <t>Free cash flow Calculation</t>
  </si>
  <si>
    <t>Capex - maintenance</t>
  </si>
  <si>
    <t>Interest rate</t>
  </si>
  <si>
    <t>Unit</t>
  </si>
  <si>
    <t>TOTAL</t>
  </si>
  <si>
    <t>Current Equity Value</t>
  </si>
  <si>
    <t>Current Enterprise Value</t>
  </si>
  <si>
    <t>Gross Operating Cashflow</t>
  </si>
  <si>
    <t>EPS</t>
  </si>
  <si>
    <t xml:space="preserve">EPS - Diluted Reported </t>
  </si>
  <si>
    <t>Sensis</t>
  </si>
  <si>
    <t>International</t>
  </si>
  <si>
    <t>Labour costs</t>
  </si>
  <si>
    <t>EBIT</t>
  </si>
  <si>
    <t xml:space="preserve">Telstra Marketshare of ULL </t>
  </si>
  <si>
    <t xml:space="preserve">   Intercarrier ARPU per month</t>
  </si>
  <si>
    <t>Intercarrier Revenue</t>
  </si>
  <si>
    <t>Other Fixed Revenue</t>
  </si>
  <si>
    <t>Total PSTN Lines</t>
  </si>
  <si>
    <t>Assumed Residential proportion of Wholesale</t>
  </si>
  <si>
    <t>Total Market of Residential PSTN Lines</t>
  </si>
  <si>
    <t>Telstra Residentials Retail Market Share</t>
  </si>
  <si>
    <t>Mobiles</t>
  </si>
  <si>
    <t>Proceeds from borrowings</t>
  </si>
  <si>
    <t>Financial Summary</t>
  </si>
  <si>
    <t xml:space="preserve">EPS - Basic Reported </t>
  </si>
  <si>
    <t>Net Debt/S'holders Equity</t>
  </si>
  <si>
    <t xml:space="preserve">        3G Subs</t>
  </si>
  <si>
    <t>Telstra Mobile Subscriber Numbers (EOP)</t>
  </si>
  <si>
    <t xml:space="preserve">      Average Subscriber Base</t>
  </si>
  <si>
    <t>Postpaid Subscribers (EOP)</t>
  </si>
  <si>
    <t>Average Postpaid Subscribers</t>
  </si>
  <si>
    <t>Prepaid Subscribers (EOP)</t>
  </si>
  <si>
    <t>Average Prepaid Subscribers</t>
  </si>
  <si>
    <t>Mobile Broadband Subscribers (EOP)</t>
  </si>
  <si>
    <t>Average Mobile Broadband Subscribers</t>
  </si>
  <si>
    <t>% break down of Mobile Subscribers</t>
  </si>
  <si>
    <t xml:space="preserve">       Mobile Broadband Subs</t>
  </si>
  <si>
    <t>Total Australian Mobiles</t>
  </si>
  <si>
    <t>Telstra Total Number of Mobiles</t>
  </si>
  <si>
    <t>Mobile</t>
  </si>
  <si>
    <t>Mobile Broadband</t>
  </si>
  <si>
    <t>Australian Mobile BB Market Penetration</t>
  </si>
  <si>
    <t>Total Australian Mobiles BB</t>
  </si>
  <si>
    <t>Telstra Total Number of Mobiles BB</t>
  </si>
  <si>
    <t>Telstra Marketshare of Mobile BB Market</t>
  </si>
  <si>
    <t>US$m</t>
  </si>
  <si>
    <t>Cash &amp; Cash Eq.</t>
  </si>
  <si>
    <t xml:space="preserve">    EBITDA/Net Interest</t>
  </si>
  <si>
    <t xml:space="preserve">    EBIT/Net Interest</t>
  </si>
  <si>
    <t>EV</t>
  </si>
  <si>
    <t xml:space="preserve">    Chinese content</t>
  </si>
  <si>
    <t xml:space="preserve">    Other (Balancing)</t>
  </si>
  <si>
    <t>Yellow pages</t>
  </si>
  <si>
    <t xml:space="preserve">     Print Revenue</t>
  </si>
  <si>
    <t>(A$m)</t>
  </si>
  <si>
    <t xml:space="preserve">     Online Revenue</t>
  </si>
  <si>
    <t xml:space="preserve">    TOTAL Yellow Revenue</t>
  </si>
  <si>
    <t>White pages</t>
  </si>
  <si>
    <t xml:space="preserve">    TOTAL White Revenue</t>
  </si>
  <si>
    <t>FY21</t>
  </si>
  <si>
    <t>FY22</t>
  </si>
  <si>
    <t>FY23</t>
  </si>
  <si>
    <t>FY24</t>
  </si>
  <si>
    <t>Transponder and transmission</t>
  </si>
  <si>
    <t>Borrowing costs</t>
  </si>
  <si>
    <t>EBITDA (reported)</t>
  </si>
  <si>
    <t>Number of Lines</t>
  </si>
  <si>
    <t xml:space="preserve">        % change</t>
  </si>
  <si>
    <t xml:space="preserve">    Domestic Wholesale</t>
  </si>
  <si>
    <t>Aus Population</t>
  </si>
  <si>
    <t>(000's)</t>
  </si>
  <si>
    <t>(m)</t>
  </si>
  <si>
    <t>No. of Households</t>
  </si>
  <si>
    <t>actual</t>
  </si>
  <si>
    <t>Population per household</t>
  </si>
  <si>
    <t xml:space="preserve">    Total Access Lines (EOP)</t>
  </si>
  <si>
    <t xml:space="preserve">    Business </t>
  </si>
  <si>
    <t xml:space="preserve">    Residential</t>
  </si>
  <si>
    <t>Average Revenue per User Per Month</t>
  </si>
  <si>
    <t>$</t>
  </si>
  <si>
    <t xml:space="preserve">   Total Average</t>
  </si>
  <si>
    <t xml:space="preserve">    Basic Access Revenue</t>
  </si>
  <si>
    <t>$m</t>
  </si>
  <si>
    <t>OTHER FIXED TELEPHONY - Payphones</t>
  </si>
  <si>
    <t>Payphones Revenue</t>
  </si>
  <si>
    <t>OTHER FIXED TELEPHONY - Customer Premises Equipment</t>
  </si>
  <si>
    <t>Customers Premises Equipment Revenue</t>
  </si>
  <si>
    <t>OTHER FIXED TELEPHONY - Intercarrier Revenue</t>
  </si>
  <si>
    <t>Frame Relay (inc ATM pre 2003)</t>
  </si>
  <si>
    <t>ATM</t>
  </si>
  <si>
    <t>Digital Data Services</t>
  </si>
  <si>
    <t>Leases lines</t>
  </si>
  <si>
    <t>International private lines</t>
  </si>
  <si>
    <t>Other Specialised Data</t>
  </si>
  <si>
    <t>Total Specialised Data Revenue</t>
  </si>
  <si>
    <t>IP &amp; Data - Global Products</t>
  </si>
  <si>
    <t>Total Global Products Revenue</t>
  </si>
  <si>
    <t>Marketing/Advertising</t>
  </si>
  <si>
    <t>General Admin</t>
  </si>
  <si>
    <t>Bad debts written off</t>
  </si>
  <si>
    <t>Service contracts</t>
  </si>
  <si>
    <t>Labour Costs</t>
  </si>
  <si>
    <t>Costs</t>
  </si>
  <si>
    <t>Mobile Services Revenue</t>
  </si>
  <si>
    <t>Public Switch Telephone Network (PSTN)</t>
  </si>
  <si>
    <t>Reported NPAT</t>
  </si>
  <si>
    <t>Net Assets</t>
  </si>
  <si>
    <t>Cash Flow Statement</t>
  </si>
  <si>
    <t>Profit Before Tax</t>
  </si>
  <si>
    <t>Interest received</t>
  </si>
  <si>
    <t>Minorities</t>
  </si>
  <si>
    <t>Borrowings</t>
  </si>
  <si>
    <t>GCFPS (%)</t>
  </si>
  <si>
    <t>Check balance</t>
  </si>
  <si>
    <t>Net interest</t>
  </si>
  <si>
    <t>Total D&amp;A</t>
  </si>
  <si>
    <t>Outside Equity Interests</t>
  </si>
  <si>
    <t>Total Shareholders Equity</t>
  </si>
  <si>
    <t>Balance Sheet Analysis</t>
  </si>
  <si>
    <t>Net Debt</t>
  </si>
  <si>
    <t>Intangibles</t>
  </si>
  <si>
    <t>Net Profit After Tax</t>
  </si>
  <si>
    <t>Morgan Stanley Australia Ltd</t>
  </si>
  <si>
    <t>Total Tangible Assets (Res Inc defn)</t>
  </si>
  <si>
    <t>Income taxes paid</t>
  </si>
  <si>
    <t>Cash &amp; cash equivalents</t>
  </si>
  <si>
    <t>Total Current Assets</t>
  </si>
  <si>
    <t>AFL production costs (Foxtel's share)</t>
  </si>
  <si>
    <t>Total AFL costs</t>
  </si>
  <si>
    <t>Calculated Sports Costs</t>
  </si>
  <si>
    <t>General Entertainment Costs:</t>
  </si>
  <si>
    <t>XYZ Entertainment (50% owned by Foxtel)</t>
  </si>
  <si>
    <t xml:space="preserve">  - Arena, Channel V, Discovery, Nickelodeon</t>
  </si>
  <si>
    <t>US$ actual/pm</t>
  </si>
  <si>
    <t xml:space="preserve">  - Lifestyle channel</t>
  </si>
  <si>
    <t>Difference</t>
  </si>
  <si>
    <t xml:space="preserve">     Wholesale Lines (EOP)</t>
  </si>
  <si>
    <t xml:space="preserve">     Wholesale Lines (Average)</t>
  </si>
  <si>
    <t xml:space="preserve">    Internet</t>
  </si>
  <si>
    <t xml:space="preserve">         Fixed retail Broadband &amp; Hardware</t>
  </si>
  <si>
    <t>Subscriber Numbers</t>
  </si>
  <si>
    <t xml:space="preserve">   Fixed Retail Broadband Subs (EOM)</t>
  </si>
  <si>
    <t xml:space="preserve">   Fixed Retail Broadband Subs (Average)</t>
  </si>
  <si>
    <t xml:space="preserve">   Fixed Retail Broadband ARPU per month</t>
  </si>
  <si>
    <t>Fixed Retail Broadband &amp; Hardware Revenue</t>
  </si>
  <si>
    <t>Australian Market Broadband Penetration (% of HH)</t>
  </si>
  <si>
    <t>Total Australian Broadband Subs</t>
  </si>
  <si>
    <t>Telstra Marketshare of BB</t>
  </si>
  <si>
    <t xml:space="preserve">    Residential + Business</t>
  </si>
  <si>
    <t xml:space="preserve">    Wholesale</t>
  </si>
  <si>
    <t xml:space="preserve">   Narrowband Subs (EOM)</t>
  </si>
  <si>
    <t xml:space="preserve">   Narrowband Subs (Average)</t>
  </si>
  <si>
    <t>Foxtel DTH satellite O&amp;O subscribers - fiscal year average</t>
  </si>
  <si>
    <t>Average Salary</t>
  </si>
  <si>
    <t>Tax</t>
  </si>
  <si>
    <t>Minority Interests</t>
  </si>
  <si>
    <t>Lines per household</t>
  </si>
  <si>
    <t>Foxtel Owned Subscribers - fiscal year average</t>
  </si>
  <si>
    <t xml:space="preserve">  - cost per sub per month (US$)</t>
  </si>
  <si>
    <t>US$ actual</t>
  </si>
  <si>
    <t xml:space="preserve">  - period average A$/US$ rate</t>
  </si>
  <si>
    <t>rate</t>
  </si>
  <si>
    <t xml:space="preserve">  - cost per sub per month (A$)</t>
  </si>
  <si>
    <t>A$ actual/pm</t>
  </si>
  <si>
    <t>Count</t>
  </si>
  <si>
    <t>Adjusted After Tax</t>
  </si>
  <si>
    <t>Non-Recurring Items (After-Tax)</t>
  </si>
  <si>
    <t>Inventory</t>
  </si>
  <si>
    <t>Revenue received in advance</t>
  </si>
  <si>
    <t>Prepayments</t>
  </si>
  <si>
    <t>Derivatives</t>
  </si>
  <si>
    <t>Share of Associates Profit (Loss)</t>
  </si>
  <si>
    <t>Fox Sports Revenue Assumptions</t>
  </si>
  <si>
    <t>Subscription Revenue</t>
  </si>
  <si>
    <t>(Increase)/Decrease in Working Capital</t>
  </si>
  <si>
    <t xml:space="preserve">Net Debt / (cash) </t>
  </si>
  <si>
    <t>Ordinary Shareholders Funds</t>
  </si>
  <si>
    <t xml:space="preserve">Working capital (incr.)/decr. </t>
  </si>
  <si>
    <t>Sales Revenue</t>
  </si>
  <si>
    <t>ROE</t>
  </si>
  <si>
    <t>Non Current Assets</t>
  </si>
  <si>
    <t>Total Assets</t>
  </si>
  <si>
    <t>Provisions</t>
  </si>
  <si>
    <t>Current Liabilities</t>
  </si>
  <si>
    <t>Share Option Reserve</t>
  </si>
  <si>
    <t>Market Capitalisation</t>
  </si>
  <si>
    <t>EV/EBIT</t>
  </si>
  <si>
    <t>Finance Lease payments</t>
  </si>
  <si>
    <t>GCFPS (¢)</t>
  </si>
  <si>
    <t>Total Costs</t>
  </si>
  <si>
    <t>Cash taxes paid</t>
  </si>
  <si>
    <t>Operating Activities</t>
  </si>
  <si>
    <t>Weighted average shares - Basic</t>
  </si>
  <si>
    <t>Total investing activities</t>
  </si>
  <si>
    <t>Total financing activities</t>
  </si>
  <si>
    <t>Effects of currency change on cash at beginning of year</t>
  </si>
  <si>
    <t>Telstra's 'bundled' Foxtel Subscriber Prices (Resold):</t>
  </si>
  <si>
    <t>Discount applied to Telstra's bundled subs</t>
  </si>
  <si>
    <t>Optus Subscriber Prices (Wholesale)</t>
  </si>
  <si>
    <t>Sensis Yellow/White Pages - TLS maintains a 30% stake in this business</t>
  </si>
  <si>
    <t>Depreciation + Amortization</t>
  </si>
  <si>
    <t xml:space="preserve">TLS stake </t>
  </si>
  <si>
    <t>F2021E</t>
  </si>
  <si>
    <t>F2022E</t>
  </si>
  <si>
    <t>F2023E</t>
  </si>
  <si>
    <t>Cable - Gross Connections</t>
  </si>
  <si>
    <t>Cable - Disconnects</t>
  </si>
  <si>
    <t>Incremental Foxtel Cable subs</t>
  </si>
  <si>
    <t>DTH Satellite connectable homes</t>
  </si>
  <si>
    <t>DTH Satellite Penetration</t>
  </si>
  <si>
    <t>DTH Satellite Subscribers</t>
  </si>
  <si>
    <t>DTH - Gross Connections</t>
  </si>
  <si>
    <t>DTH - Disconnects</t>
  </si>
  <si>
    <t>Incremental Foxtel DTH subs</t>
  </si>
  <si>
    <t>Payments for Intangibles</t>
  </si>
  <si>
    <t xml:space="preserve">   Narrowband ARPU per month</t>
  </si>
  <si>
    <t>Narrowband Revenue</t>
  </si>
  <si>
    <t>PBT</t>
  </si>
  <si>
    <t>Total IP Access Revenue</t>
  </si>
  <si>
    <t>IP &amp; Data - Wholesale Internet &amp; Data</t>
  </si>
  <si>
    <t>Subscriber revenue</t>
  </si>
  <si>
    <t>Advertising revenue</t>
  </si>
  <si>
    <t xml:space="preserve">    International NAS Revenue</t>
  </si>
  <si>
    <t xml:space="preserve">    International NAS</t>
  </si>
  <si>
    <t>FY12</t>
  </si>
  <si>
    <t>Total Foxtel + Austar + OptusVision Subscribers - Weighted Average - Fiscal Year end</t>
  </si>
  <si>
    <t>Total PayTV Penetration rate in Australia - Year End</t>
  </si>
  <si>
    <t>Total PayTV Penetration rate in Australia - Year Average</t>
  </si>
  <si>
    <t>Total Labour Costs</t>
  </si>
  <si>
    <t>Goods &amp; Services Purchased Costs</t>
  </si>
  <si>
    <t>per share</t>
  </si>
  <si>
    <t xml:space="preserve">  TUSMA Payments + Retraining</t>
  </si>
  <si>
    <t>Network Applications &amp; Services</t>
  </si>
  <si>
    <t>Total Network Applications &amp; Services Revenue</t>
  </si>
  <si>
    <t xml:space="preserve">    White pages</t>
  </si>
  <si>
    <t xml:space="preserve">    Yellow Pages</t>
  </si>
  <si>
    <t xml:space="preserve">    Emerging Business</t>
  </si>
  <si>
    <t xml:space="preserve">    Digital marketing</t>
  </si>
  <si>
    <t xml:space="preserve">    Voice services</t>
  </si>
  <si>
    <t>Total Subscribers</t>
  </si>
  <si>
    <t>Average channel sell rate per subscriber</t>
  </si>
  <si>
    <t>$ per month</t>
  </si>
  <si>
    <t>Fox Sports Subscription Revenue</t>
  </si>
  <si>
    <t>% of total Fox Sports revenues</t>
  </si>
  <si>
    <t>Advertising Revenue</t>
  </si>
  <si>
    <t>Advertising (% of subscriber revenue)</t>
  </si>
  <si>
    <t>Includes Hotels, Events</t>
  </si>
  <si>
    <t>MS Calculated Total Fox Sports revenues</t>
  </si>
  <si>
    <t>Total Foxtel Owned &amp; Operated Subs - Fiscal Year End (30 June)</t>
  </si>
  <si>
    <t>TLS Shares on issue</t>
  </si>
  <si>
    <t>Value per TLS share</t>
  </si>
  <si>
    <t>F2024E</t>
  </si>
  <si>
    <t>Capex as % of sales</t>
  </si>
  <si>
    <t>TOTAL REVENUE</t>
  </si>
  <si>
    <t>Foxtel's Hollywood programming costs</t>
  </si>
  <si>
    <t>Hollywood studio MSG (The Movie Network = Disney, Warner Bros, MGM, Dreamworks)</t>
  </si>
  <si>
    <t xml:space="preserve">    Total Fibre Lines (EOP)</t>
  </si>
  <si>
    <t>Total FIBRE Revenue</t>
  </si>
  <si>
    <t xml:space="preserve">       Postpaid Handheld Subs</t>
  </si>
  <si>
    <t xml:space="preserve">       Prepaid Handheld Subs</t>
  </si>
  <si>
    <t>Wholesale Subscribers (EOP)</t>
  </si>
  <si>
    <t>Average Wholesale Subscribers</t>
  </si>
  <si>
    <t>Target P/E Applied</t>
  </si>
  <si>
    <t>Market Multiple F2013E</t>
  </si>
  <si>
    <t>Asset Value (A$m)</t>
  </si>
  <si>
    <t>Operating Assets</t>
  </si>
  <si>
    <t>TLS's Ownership stake in Foxtel</t>
  </si>
  <si>
    <t>TLS's Dividend from Foxtel loss/profit (pre-tax)</t>
  </si>
  <si>
    <t>Capex - Subs Costs/Installation</t>
  </si>
  <si>
    <t>Assessed Valuation</t>
  </si>
  <si>
    <t>Unlisted Investments</t>
  </si>
  <si>
    <t>OptusVision Subs - Fiscal Year End (30 June)</t>
  </si>
  <si>
    <t>Incremental OptusVision subs added</t>
  </si>
  <si>
    <t>Normalized NPAT (pre-NRI)</t>
  </si>
  <si>
    <t>Deferred tax liabiliites</t>
  </si>
  <si>
    <t>ISO4217:AUD</t>
  </si>
  <si>
    <t>Other non-current assets</t>
  </si>
  <si>
    <t>Net Assets/Share</t>
  </si>
  <si>
    <t>LT Liab % of Capital</t>
  </si>
  <si>
    <t>Receivables</t>
  </si>
  <si>
    <t>Accounts Payable</t>
  </si>
  <si>
    <t>Total Liabilities</t>
  </si>
  <si>
    <t xml:space="preserve">                 - Proceeds from Borrowing</t>
  </si>
  <si>
    <t>FCF - Telstra Calculation</t>
  </si>
  <si>
    <t>6087289</t>
  </si>
  <si>
    <t>Market Multiple F2012E</t>
  </si>
  <si>
    <t>Dividends paid</t>
  </si>
  <si>
    <t>Telstra NBN Fibre Connections</t>
  </si>
  <si>
    <t>(A$)</t>
  </si>
  <si>
    <t>Blended Wholesale Price per month</t>
  </si>
  <si>
    <t>EV / EBIT</t>
  </si>
  <si>
    <t>EV / Revenue</t>
  </si>
  <si>
    <t xml:space="preserve">        NBN Access Revenue</t>
  </si>
  <si>
    <t>Net Debt (+ Operating Leases) / EBITDA</t>
  </si>
  <si>
    <t>x</t>
  </si>
  <si>
    <t>Operating Leases</t>
  </si>
  <si>
    <t>Operating Lease Expense</t>
  </si>
  <si>
    <t>Adjusted Net Debt</t>
  </si>
  <si>
    <t xml:space="preserve">Number of local Calls </t>
  </si>
  <si>
    <t>National long distance minutes</t>
  </si>
  <si>
    <t xml:space="preserve">Fixed to mobile minutes </t>
  </si>
  <si>
    <t>International minutes</t>
  </si>
  <si>
    <t>Basic Weighted average shares</t>
  </si>
  <si>
    <t>Weighted avg number of options</t>
  </si>
  <si>
    <t>Diluted Weighted average shares</t>
  </si>
  <si>
    <t>Balance Sheet Assumptions</t>
  </si>
  <si>
    <t>Working Capital Ratios:</t>
  </si>
  <si>
    <t>Days Receivable</t>
  </si>
  <si>
    <t>days</t>
  </si>
  <si>
    <t>Days Payables</t>
  </si>
  <si>
    <t>Working capital - change in acc receivable</t>
  </si>
  <si>
    <t>Working capital - change in accs payable</t>
  </si>
  <si>
    <t xml:space="preserve">Working Capital </t>
  </si>
  <si>
    <t>Change in WC on pcp</t>
  </si>
  <si>
    <t>Balance Sheet</t>
  </si>
  <si>
    <t>Net Exchange difference</t>
  </si>
  <si>
    <t>Receipts from customers</t>
  </si>
  <si>
    <t>Net Debt / Equity</t>
  </si>
  <si>
    <t>Net Tangible Assets</t>
  </si>
  <si>
    <t>NTA/Share</t>
  </si>
  <si>
    <t xml:space="preserve">ROA </t>
  </si>
  <si>
    <t>WC / Sales</t>
  </si>
  <si>
    <t>Debtors / Sales</t>
  </si>
  <si>
    <t>Inventories / Sales</t>
  </si>
  <si>
    <t>Creditors / Sales</t>
  </si>
  <si>
    <t>PPE Growth</t>
  </si>
  <si>
    <t>Depn / PPE</t>
  </si>
  <si>
    <t>AUD</t>
  </si>
  <si>
    <t>Market Multiple F2014E</t>
  </si>
  <si>
    <t xml:space="preserve">    Other Fixed Telephony</t>
  </si>
  <si>
    <t xml:space="preserve">         Payphones</t>
  </si>
  <si>
    <t xml:space="preserve">         Customers Premises Equipment</t>
  </si>
  <si>
    <t xml:space="preserve">         Intercarrier Services</t>
  </si>
  <si>
    <t xml:space="preserve">         Other Fixed Telephony</t>
  </si>
  <si>
    <t>Access Line Numbers</t>
  </si>
  <si>
    <t xml:space="preserve">   ISDN Access Lines (EOM)</t>
  </si>
  <si>
    <t xml:space="preserve">   ISDN Access Lines (Average)</t>
  </si>
  <si>
    <t>Access ARPU per month</t>
  </si>
  <si>
    <t>ISDN Access Revenue</t>
  </si>
  <si>
    <t>ISDN Call Revenue</t>
  </si>
  <si>
    <t>Call ARPU per month</t>
  </si>
  <si>
    <t xml:space="preserve">         Wholesale Broadband</t>
  </si>
  <si>
    <t xml:space="preserve">   Wholesale Subs (EOM)</t>
  </si>
  <si>
    <t xml:space="preserve">   Wholesale Subs (Average)</t>
  </si>
  <si>
    <t xml:space="preserve">   Wholesale ARPU per month</t>
  </si>
  <si>
    <t>Wholesale Revenue</t>
  </si>
  <si>
    <t>Telstra Marketshare of Wholesale BB</t>
  </si>
  <si>
    <t xml:space="preserve">   Spectrum Sharing Subs (EOM)</t>
  </si>
  <si>
    <t xml:space="preserve">   Spectrum Sharing Subs (Average)</t>
  </si>
  <si>
    <t>Gross interest bearing debt - year average</t>
  </si>
  <si>
    <t>Cash - year end</t>
  </si>
  <si>
    <t>TLS Equity NPAT … included in TLS EBITDA</t>
  </si>
  <si>
    <t>% of sensis sales</t>
  </si>
  <si>
    <t>Sensis Voice Services and Directory Assistance - TLS to hold 100% of this business</t>
  </si>
  <si>
    <t>Other Value Drivers</t>
  </si>
  <si>
    <t>Other financing</t>
  </si>
  <si>
    <t>.</t>
  </si>
  <si>
    <t>AUSTRALIAN TELECOM RESEARCH</t>
  </si>
  <si>
    <t>Calculated Advertising Revenue</t>
  </si>
  <si>
    <t>MS Calculated Total Foxtel Revenue</t>
  </si>
  <si>
    <t>Cross check:</t>
  </si>
  <si>
    <t>Foxtel revenues as per News Corp earnings release</t>
  </si>
  <si>
    <t>Foxtel cable O&amp;O subscribers - fiscal year end</t>
  </si>
  <si>
    <t>Foxtel DTH satellite O&amp;O subscribers - fiscal year end</t>
  </si>
  <si>
    <t>Foxtel cable O&amp;O subscribers - fiscal year average</t>
  </si>
  <si>
    <t>IP &amp; Data - Other (Revenue from Inbound Calling Products)</t>
  </si>
  <si>
    <t>Total Other Revenue</t>
  </si>
  <si>
    <t>Total Other Data and Calling Products Revenue</t>
  </si>
  <si>
    <t xml:space="preserve">    Other IP &amp; Data</t>
  </si>
  <si>
    <t>Foxtel + Austar Subs</t>
  </si>
  <si>
    <t>HFC reconnection (average)</t>
  </si>
  <si>
    <t>New Satellite connection fee (average)</t>
  </si>
  <si>
    <t>Satellite reconnection (average)</t>
  </si>
  <si>
    <t>Total Foxtel + Austar + OptusVision Subscribers - Fiscal Year end</t>
  </si>
  <si>
    <t xml:space="preserve">    Specialised Data</t>
  </si>
  <si>
    <t xml:space="preserve">    Global Products</t>
  </si>
  <si>
    <t xml:space="preserve">    Wholesale Internet &amp; Data</t>
  </si>
  <si>
    <t>IP &amp; Data - Specialised Data</t>
  </si>
  <si>
    <t>b) Telstra's 'bundled' Foxtel subscribers (Resold)</t>
  </si>
  <si>
    <t>As a % of Foxtel cable subscribers</t>
  </si>
  <si>
    <t>As a % of Foxtel satellite subscribers</t>
  </si>
  <si>
    <t>Telstra cable subscribers - fiscal year end</t>
  </si>
  <si>
    <t>Telstra DTH satellite subscribers - fiscal year end</t>
  </si>
  <si>
    <t>Revenue Summary</t>
  </si>
  <si>
    <t xml:space="preserve">    PSTN Products</t>
  </si>
  <si>
    <t xml:space="preserve">         Basic Access</t>
  </si>
  <si>
    <t xml:space="preserve">         Other PSTN</t>
  </si>
  <si>
    <t>% increase yoy</t>
  </si>
  <si>
    <t>incremental Foxtel subs yoy</t>
  </si>
  <si>
    <t xml:space="preserve"> </t>
  </si>
  <si>
    <t>% of total operating costs</t>
  </si>
  <si>
    <t>% of Fox Sports revenues</t>
  </si>
  <si>
    <t>Programming costs</t>
  </si>
  <si>
    <t>Programming</t>
  </si>
  <si>
    <t>Editing/Studio etc</t>
  </si>
  <si>
    <t>Calculated Total Programming costs</t>
  </si>
  <si>
    <t>General &amp; Admin overheads</t>
  </si>
  <si>
    <t>Other costs - rent, electricity, water</t>
  </si>
  <si>
    <t>MS Calculated Total Fox Sports costs</t>
  </si>
  <si>
    <t>Foxtel Revenue Assumptions</t>
  </si>
  <si>
    <t>Subscriber Volumes:</t>
  </si>
  <si>
    <t xml:space="preserve">Foxtel Subscribers </t>
  </si>
  <si>
    <t>Foxtel cable subscribers - fiscal year end</t>
  </si>
  <si>
    <t>Calculated Installation Revenue</t>
  </si>
  <si>
    <t>Advertising as a % of subscription revenue</t>
  </si>
  <si>
    <t>Hollywood studio MSG (PMP = Fox, Universal, Paramount, Columbia)</t>
  </si>
  <si>
    <t>F2013</t>
  </si>
  <si>
    <t>Total Telstra 'bundled' Foxtel subscribers - fiscal year end</t>
  </si>
  <si>
    <t>Mobile Satellite Subscribers (EOP)</t>
  </si>
  <si>
    <t>Dividends from Associates</t>
  </si>
  <si>
    <t xml:space="preserve">    Retail</t>
  </si>
  <si>
    <t>Foxtel "Associate" calculations</t>
  </si>
  <si>
    <t>TV</t>
  </si>
  <si>
    <t>ULL</t>
  </si>
  <si>
    <t>n.a.</t>
  </si>
  <si>
    <t>EBITDA margin</t>
  </si>
  <si>
    <t>EBIT margin</t>
  </si>
  <si>
    <t>Associate Entity Contributions (xyz, comedy channel)</t>
  </si>
  <si>
    <t>NPBT</t>
  </si>
  <si>
    <t>Taxation</t>
  </si>
  <si>
    <t>Other Income</t>
  </si>
  <si>
    <t xml:space="preserve">Statutory tax rate </t>
  </si>
  <si>
    <t>Effective Tax rate</t>
  </si>
  <si>
    <t>DPS</t>
  </si>
  <si>
    <t xml:space="preserve"> ¢</t>
  </si>
  <si>
    <t>DPS (Interim)</t>
  </si>
  <si>
    <t>DPS (Final)</t>
  </si>
  <si>
    <t>Franking</t>
  </si>
  <si>
    <t>Basic Shares on issue</t>
  </si>
  <si>
    <t>Dividends</t>
  </si>
  <si>
    <t>NAS</t>
  </si>
  <si>
    <t>Total Wholesale Revenue</t>
  </si>
  <si>
    <t>Foxtel cable subscribers - fiscal year average</t>
  </si>
  <si>
    <t>Foxtel DTH satellite subscribers - fiscal year average</t>
  </si>
  <si>
    <t xml:space="preserve">       Mobile M2M Subs</t>
  </si>
  <si>
    <t>TOTAL TV Revenue</t>
  </si>
  <si>
    <t>Media</t>
  </si>
  <si>
    <t>OLD REPORTING LINES - DO NOT DELETE STILL DRIVES SUBS NUMBERS</t>
  </si>
  <si>
    <t xml:space="preserve">    Total Access Lines (Average)</t>
  </si>
  <si>
    <t>Total PSTN Revenue</t>
  </si>
  <si>
    <t>Telstra Total Number of Mobiles BB (EOP)</t>
  </si>
  <si>
    <t>Total Australian Mobiles BB (EOP)</t>
  </si>
  <si>
    <t>Telstra Marketshare of Mobile Market</t>
  </si>
  <si>
    <t xml:space="preserve">        AMPS Subs</t>
  </si>
  <si>
    <t xml:space="preserve">        CDMA Subs</t>
  </si>
  <si>
    <t xml:space="preserve">        GSM Subs</t>
  </si>
  <si>
    <t>Derived Equity value</t>
  </si>
  <si>
    <t>Total Group Revenue</t>
  </si>
  <si>
    <t xml:space="preserve">    NBN TUSMA Costs</t>
  </si>
  <si>
    <t xml:space="preserve">    NBN Cost Savings</t>
  </si>
  <si>
    <t xml:space="preserve">    NBN Operating Costs</t>
  </si>
  <si>
    <t>TOTAL + Assoicates</t>
  </si>
  <si>
    <t>Total Other PSTN Revenue - Sourced From Accounts</t>
  </si>
  <si>
    <t xml:space="preserve">     Retail + Business Lines (EOP)</t>
  </si>
  <si>
    <t xml:space="preserve">     Retail + Business Lines (Average)</t>
  </si>
  <si>
    <t xml:space="preserve">Retail </t>
  </si>
  <si>
    <t>Wholesale</t>
  </si>
  <si>
    <t>ARPU</t>
  </si>
  <si>
    <t xml:space="preserve">    ARPU</t>
  </si>
  <si>
    <t xml:space="preserve">   TOTAL</t>
  </si>
  <si>
    <t>Operating costs</t>
  </si>
  <si>
    <t>Head count (FTE)</t>
  </si>
  <si>
    <t>Calculated Labour cost</t>
  </si>
  <si>
    <t xml:space="preserve">      and Wholesale Internet + Data</t>
  </si>
  <si>
    <t xml:space="preserve">    - includes Global Products, Specalised Data</t>
  </si>
  <si>
    <t>Total Assessed Value</t>
  </si>
  <si>
    <t xml:space="preserve">    -  debt</t>
  </si>
  <si>
    <t xml:space="preserve">   +  cash</t>
  </si>
  <si>
    <t xml:space="preserve">Fixed Line Summary </t>
  </si>
  <si>
    <t xml:space="preserve">    ULL</t>
  </si>
  <si>
    <t>Unbundled local loop (ULL) SIO (EOP)</t>
  </si>
  <si>
    <t>Unbundled local loop (ULL) SIO (Average)</t>
  </si>
  <si>
    <t>Calculated XYZ Programming Costs</t>
  </si>
  <si>
    <t>Discount applied to Optus cable subs resold</t>
  </si>
  <si>
    <t>Wholesale fee per sub per month</t>
  </si>
  <si>
    <t>Calculated Wholesale Revenue</t>
  </si>
  <si>
    <t>Calculated Total Foxtel Subscription Revenue</t>
  </si>
  <si>
    <t>Installation Revenue</t>
  </si>
  <si>
    <t>Connection volumes:</t>
  </si>
  <si>
    <t>Cable churn rate</t>
  </si>
  <si>
    <t>Cable churned subscribers</t>
  </si>
  <si>
    <t>DTH satellite churn rate</t>
  </si>
  <si>
    <t>DTH satellite churned subscribers</t>
  </si>
  <si>
    <t>Total churned subscribers</t>
  </si>
  <si>
    <t>Total churn rate</t>
  </si>
  <si>
    <t>Connection prices:</t>
  </si>
  <si>
    <t>New HFC connection fee (average)</t>
  </si>
  <si>
    <t>Market Multiple F2010E</t>
  </si>
  <si>
    <t>P/E Applied</t>
  </si>
  <si>
    <t>P/E Relative to ASX 200</t>
  </si>
  <si>
    <t>F2010E</t>
  </si>
  <si>
    <t>Calculated Total Foxtel Revenues</t>
  </si>
  <si>
    <t>Foxtel Cost Assumptions</t>
  </si>
  <si>
    <t>Programming Costs</t>
  </si>
  <si>
    <t>Hollywood Movie Costs:</t>
  </si>
  <si>
    <t>F2012E</t>
  </si>
  <si>
    <t>F2013E</t>
  </si>
  <si>
    <t>F2014E</t>
  </si>
  <si>
    <t>F2015E</t>
  </si>
  <si>
    <t>F2016E</t>
  </si>
  <si>
    <t>F2017E</t>
  </si>
  <si>
    <t>F2018E</t>
  </si>
  <si>
    <t>F2019E</t>
  </si>
  <si>
    <t>F2020E</t>
  </si>
  <si>
    <t>Revenue</t>
  </si>
  <si>
    <t>A$m</t>
  </si>
  <si>
    <t>%</t>
  </si>
  <si>
    <t>EBITDA</t>
  </si>
  <si>
    <t>Depreciation</t>
  </si>
  <si>
    <t>Capex</t>
  </si>
  <si>
    <t>Capex % sales</t>
  </si>
  <si>
    <t>Goodwill</t>
  </si>
  <si>
    <t>Amortisation</t>
  </si>
  <si>
    <t>Cash at the beginning of the year</t>
  </si>
  <si>
    <t>D&amp;A</t>
  </si>
  <si>
    <t>Total Non-Current Assets</t>
  </si>
  <si>
    <t>Total Current Liabilities</t>
  </si>
  <si>
    <t>Total Non-Current Liabilities</t>
  </si>
  <si>
    <t>Total Operating Expenses</t>
  </si>
  <si>
    <t>Other current liabilities</t>
  </si>
  <si>
    <t>Net Interest</t>
  </si>
  <si>
    <t>Foxtel Owned subscribers (excludes wholesale)</t>
  </si>
  <si>
    <t>thousands</t>
  </si>
  <si>
    <t>Reported Foxtel Direct Subscribers</t>
  </si>
  <si>
    <t>OptusVision subscribers</t>
  </si>
  <si>
    <t>NBN Access Payments</t>
  </si>
  <si>
    <t>Fiscal Year Weighted Average OptusVision Subs</t>
  </si>
  <si>
    <t>Total Foxtel Direct + Wholesale Subscribers - year end</t>
  </si>
  <si>
    <t>Austar PayTV Subscribers</t>
  </si>
  <si>
    <t>Fiscal Year (30 June) End Austar Subscribers</t>
  </si>
  <si>
    <t>Incremental Austar subs added</t>
  </si>
  <si>
    <t>% penetration of Foxtel connectable homes</t>
  </si>
  <si>
    <t>% of Cable as Foxtel subscribers</t>
  </si>
  <si>
    <t>% of Satellite as Foxtel subscribers</t>
  </si>
  <si>
    <t>Fiscal Year Weighted Average cable subs</t>
  </si>
  <si>
    <t xml:space="preserve">    Classifieds</t>
  </si>
  <si>
    <t>Total Australian Mobiles - Ex- M2M</t>
  </si>
  <si>
    <t>Australian Mobile Market Penetration - Ex M2M</t>
  </si>
  <si>
    <t>TOTAL Content Revenue</t>
  </si>
  <si>
    <t xml:space="preserve">    Offshore Carriage</t>
  </si>
  <si>
    <t xml:space="preserve">    Chinese on-line businesses</t>
  </si>
  <si>
    <t>Total International Revenue</t>
  </si>
  <si>
    <t>INTERNATIONAL - CSL New World</t>
  </si>
  <si>
    <t>INTERNATIONAL - Offshore Carriage</t>
  </si>
  <si>
    <t xml:space="preserve">    Other International Revenue</t>
  </si>
  <si>
    <t>A$</t>
  </si>
  <si>
    <t>Fiscal Year Weighted Average Austar Subs</t>
  </si>
  <si>
    <t>Total Foxtel + Austar Subscribers - Fiscal Year end</t>
  </si>
  <si>
    <t>Total Foxtel + Austar Subscribers - Weighted Average Fiscal Year end</t>
  </si>
  <si>
    <t>Total Wholesale Internet &amp; Data Revenue</t>
  </si>
  <si>
    <t xml:space="preserve">    Managed network services</t>
  </si>
  <si>
    <t xml:space="preserve">    IT Services</t>
  </si>
  <si>
    <t xml:space="preserve">    Business applications</t>
  </si>
  <si>
    <t xml:space="preserve">    Other</t>
  </si>
  <si>
    <t>Total Financing Cash Flows</t>
  </si>
  <si>
    <t>TOTAL INTERNATIONAL</t>
  </si>
  <si>
    <t>INTERNATIONAL - TelstraClear</t>
  </si>
  <si>
    <t xml:space="preserve">    TelstraClear Revenue</t>
  </si>
  <si>
    <t>TOTAL GROUP INCOME</t>
  </si>
  <si>
    <t xml:space="preserve">    Total Subs ex M2M</t>
  </si>
  <si>
    <t>Telstra Total Number of Mobiles (ex M2M)</t>
  </si>
  <si>
    <t>Telstra Marketshare of Mobile Market (ex M2M)</t>
  </si>
  <si>
    <t xml:space="preserve">    Marketing/Advertising</t>
  </si>
  <si>
    <t xml:space="preserve">    General Admin</t>
  </si>
  <si>
    <t xml:space="preserve">    Other one-off costs (eg. Writedowns)</t>
  </si>
  <si>
    <t>Accounts receiveable</t>
  </si>
  <si>
    <t>Telstra Fixed Line Market Share</t>
  </si>
  <si>
    <t>EBITDA - reported</t>
  </si>
  <si>
    <t>EBITDA Margin (HK$)</t>
  </si>
  <si>
    <t>EBITDA Margin (A$)</t>
  </si>
  <si>
    <t>Total Sensis Revenue</t>
  </si>
  <si>
    <t>Total Sensis EBITDA</t>
  </si>
  <si>
    <t>Interest Cover</t>
  </si>
  <si>
    <t>Net Debt / EBITDA</t>
  </si>
  <si>
    <t xml:space="preserve">    Sensis</t>
  </si>
  <si>
    <t>Operating Costs</t>
  </si>
  <si>
    <t>Payments for Property, Plant &amp; Equipment</t>
  </si>
  <si>
    <t xml:space="preserve">                 - Repayment of Borrowing</t>
  </si>
  <si>
    <t>Fox Sports Cost Assumptions</t>
  </si>
  <si>
    <t>Dividend</t>
  </si>
  <si>
    <t>Special</t>
  </si>
  <si>
    <t>Investments</t>
  </si>
  <si>
    <t>Proceeds from sale of assets</t>
  </si>
  <si>
    <t>Dividends received - Foxtel</t>
  </si>
  <si>
    <t>Other Investing Cashflows</t>
  </si>
  <si>
    <t xml:space="preserve">     Revenue - Asset Sales</t>
  </si>
  <si>
    <t>Mobile Penetration</t>
  </si>
  <si>
    <t>Revenue per person</t>
  </si>
  <si>
    <t>Total Income</t>
  </si>
  <si>
    <t>Total Foxtel O&amp;O Subscribers - fiscal year average</t>
  </si>
  <si>
    <t>Fixed Line</t>
  </si>
  <si>
    <t xml:space="preserve">   Spectrum Sharing ARPU per month</t>
  </si>
  <si>
    <t>Spectrum Sharing Revenue</t>
  </si>
  <si>
    <t xml:space="preserve">         Spectrum Sharing Broadband</t>
  </si>
  <si>
    <t xml:space="preserve">         Internet Value Added Services (VAS)</t>
  </si>
  <si>
    <t>INTERNET - Fixed Retail Broadband &amp; Hardware</t>
  </si>
  <si>
    <t>INTERNET - Narrowband</t>
  </si>
  <si>
    <t>INTERNET - Wholesale Broadband</t>
  </si>
  <si>
    <t>INTERNET - Spectrum Sharing (LSS)</t>
  </si>
  <si>
    <t>INTERNET - Internet VAS</t>
  </si>
  <si>
    <t>Internet VAS Revenue</t>
  </si>
  <si>
    <t>Number of local Calls per line</t>
  </si>
  <si>
    <t>National long distance minutes per line</t>
  </si>
  <si>
    <t>Fixed to mobile minutes per line</t>
  </si>
  <si>
    <t>International minutes per line</t>
  </si>
  <si>
    <t>Number of SMS sent</t>
  </si>
  <si>
    <t>Mobile Voice Minutes</t>
  </si>
  <si>
    <t>Post-Paid Churn</t>
  </si>
  <si>
    <t>Number of SMS sent per Sub (Pre + Post)</t>
  </si>
  <si>
    <t>Mobile Voice Minutes per Sub (Per + Post)</t>
  </si>
  <si>
    <t>Advertising and Marketing expenditure</t>
  </si>
  <si>
    <t>Overhead - SG&amp;A Cost</t>
  </si>
  <si>
    <t>Sales, General and Adminstration costs</t>
  </si>
  <si>
    <t>MS Calculated Total Foxtel Operating Costs</t>
  </si>
  <si>
    <t>Pay TV penetration in Regional Australian markets (i.e. Austar)</t>
  </si>
  <si>
    <t>Foxtel PayTV Subscribers</t>
  </si>
  <si>
    <t>Cable connectable homes</t>
  </si>
  <si>
    <t>Cable Penetration</t>
  </si>
  <si>
    <t>Cable Subscribers</t>
  </si>
  <si>
    <t>000's</t>
  </si>
  <si>
    <t>Statutory tax rate</t>
  </si>
  <si>
    <t>Effective tax rate</t>
  </si>
  <si>
    <t>Telstra cable subscribers - fiscal year average</t>
  </si>
  <si>
    <t>Telstra DTH satellite subscribers - fiscal year average</t>
  </si>
  <si>
    <t>Total Telstra 'bundled' Foxtel subscribers - fiscal year average</t>
  </si>
  <si>
    <t>Optus Subscribers (Wholesale)</t>
  </si>
  <si>
    <t>Optus cable subscribers - fiscal year end</t>
  </si>
  <si>
    <t>Optus cable subscribers - fiscal year average</t>
  </si>
  <si>
    <t>Total Foxtel Subscribers - fiscal year end</t>
  </si>
  <si>
    <t>Total Foxtel Subscribers - fiscal year average</t>
  </si>
  <si>
    <t>Subscriber Prices:</t>
  </si>
  <si>
    <t>Foxtel O&amp;O Subscriber Prices (Retail):</t>
  </si>
  <si>
    <t>Foxtel cable - monthly subscription fee</t>
  </si>
  <si>
    <t>Foxtel DTH satellite - monthly subscription fee</t>
  </si>
  <si>
    <t>Average Foxtel O&amp;O subscriber price</t>
  </si>
  <si>
    <t>Calculated Foxtel O&amp;O subscription revenue</t>
  </si>
  <si>
    <t xml:space="preserve">% using TLS cloud computing </t>
  </si>
  <si>
    <t xml:space="preserve">Total SME - revenue less than $2m </t>
  </si>
  <si>
    <t>SaaS Revenue</t>
  </si>
  <si>
    <t>IaaS Revenue</t>
  </si>
  <si>
    <t xml:space="preserve">Total SME - revenue more than $2m </t>
  </si>
  <si>
    <t>Monthly APRU</t>
  </si>
  <si>
    <t>Cloud Revenue</t>
  </si>
  <si>
    <t>Gross interest bearing debt - year end</t>
  </si>
  <si>
    <t>Sensis Margin</t>
  </si>
  <si>
    <t>TOTAL - Reported</t>
  </si>
  <si>
    <t>IDC Cloud Computing market</t>
  </si>
  <si>
    <t>Unified Comms</t>
  </si>
  <si>
    <t>Cloud</t>
  </si>
  <si>
    <t>Managed Network Services</t>
  </si>
  <si>
    <t>SaaS</t>
  </si>
  <si>
    <t>Iaas</t>
  </si>
  <si>
    <t>PaaS</t>
  </si>
  <si>
    <t>% growth</t>
  </si>
  <si>
    <t>% split of Cloud Computing</t>
  </si>
  <si>
    <t>% split of NAS</t>
  </si>
  <si>
    <t>New Revenue</t>
  </si>
  <si>
    <t>NPAT</t>
  </si>
  <si>
    <t>Net Profit distributed to partners</t>
  </si>
  <si>
    <t xml:space="preserve">   Call ISDN Revenue</t>
  </si>
  <si>
    <t xml:space="preserve">    Access ISDN Revenue</t>
  </si>
  <si>
    <t>Total ISDN Revenue</t>
  </si>
  <si>
    <t>OTHER FIXED TELEPHONY - Premium Calling Products</t>
  </si>
  <si>
    <t>Premium Calling Revenue</t>
  </si>
  <si>
    <t xml:space="preserve">         Premium Calling Products</t>
  </si>
  <si>
    <t xml:space="preserve">Mobile Summary </t>
  </si>
  <si>
    <t>Australian Mobile Market Penetration</t>
  </si>
  <si>
    <t>Effect of shares held by employee share plan trusts</t>
  </si>
  <si>
    <t>Days Inventory</t>
  </si>
  <si>
    <t>Working capital - change in Inventory</t>
  </si>
  <si>
    <t>churn</t>
  </si>
  <si>
    <t>subs period start beginning end</t>
  </si>
  <si>
    <t>accounts</t>
  </si>
  <si>
    <t>Subscribers - Period End</t>
  </si>
  <si>
    <t>Churn</t>
  </si>
  <si>
    <t>Subscribers - Period Beginning</t>
  </si>
  <si>
    <t>Gross Adds</t>
  </si>
  <si>
    <t>Bank debt - fiscal year end</t>
  </si>
  <si>
    <t>Dividend distributed</t>
  </si>
  <si>
    <t>FCF (OpCF less capex)</t>
  </si>
  <si>
    <t>Payout vs. NPAT</t>
  </si>
  <si>
    <t>Payout vs. FCF</t>
  </si>
  <si>
    <t>OpCF</t>
  </si>
  <si>
    <t>Working cap change</t>
  </si>
  <si>
    <t>$/mth</t>
  </si>
  <si>
    <t>'000</t>
  </si>
  <si>
    <t>Bank debt (Telstra debt) - fiscal year end</t>
  </si>
  <si>
    <t>a) Foxtel O&amp;O Subscribers (Retail)</t>
  </si>
  <si>
    <t xml:space="preserve">     Revenue - Superannuation writeback</t>
  </si>
  <si>
    <t xml:space="preserve">     Revenue - Other</t>
  </si>
  <si>
    <t>Total Abnormal Revenue</t>
  </si>
  <si>
    <t xml:space="preserve">     Expenses - Redunancy Costs</t>
  </si>
  <si>
    <t xml:space="preserve">     Expenses - Other Costs - Writedowns</t>
  </si>
  <si>
    <t>Total Abnormal Expenses</t>
  </si>
  <si>
    <t>Adjusted EBITDA</t>
  </si>
  <si>
    <t>Total Hardware/Handsets Revenue</t>
  </si>
  <si>
    <t>Mobile Handset Sales</t>
  </si>
  <si>
    <t>Handsets as a % of sales</t>
  </si>
  <si>
    <t>Other Entertainment Channels (not owned by Foxtel)</t>
  </si>
  <si>
    <t>Cost per sub per month</t>
  </si>
  <si>
    <t>Other Entertainment Channels</t>
  </si>
  <si>
    <t>Calculated General Entertainment Costs</t>
  </si>
  <si>
    <t>Total Programming Costs (Movies+Sport+Entertainment)</t>
  </si>
  <si>
    <t>Transponder &amp; Transmission Costs</t>
  </si>
  <si>
    <t>Transponder charge</t>
  </si>
  <si>
    <t>Telstra charge per Foxtel Cable sub</t>
  </si>
  <si>
    <t>Average Foxtel Cable subs</t>
  </si>
  <si>
    <t xml:space="preserve">Telstra charge </t>
  </si>
  <si>
    <t>Calculated Transponder &amp; Telstra Cable Costs</t>
  </si>
  <si>
    <t>Installation Costs</t>
  </si>
  <si>
    <t>Foxtel Cable Connections</t>
  </si>
  <si>
    <t>Installation cost per subscriber</t>
  </si>
  <si>
    <t>Calculated Installation Cost</t>
  </si>
  <si>
    <t>Subscriber Management Cost</t>
  </si>
  <si>
    <t>Cost per sub pa</t>
  </si>
  <si>
    <t>Calculated Subscriber Management Cost</t>
  </si>
  <si>
    <t>Advertising &amp; Marketing Cost</t>
  </si>
  <si>
    <t>Foxtel costs as per News Corp earnings release</t>
  </si>
  <si>
    <t>mn</t>
  </si>
  <si>
    <t xml:space="preserve">EPS - Reported, Basic </t>
  </si>
  <si>
    <t>¢</t>
  </si>
  <si>
    <t>EPS - Reported, Diluted</t>
  </si>
  <si>
    <t>Pacnet</t>
  </si>
  <si>
    <t>Hard Code this number to remove Cicrular Ref</t>
  </si>
  <si>
    <t>This is the cal to be hardcoded - needs to ZERO</t>
  </si>
  <si>
    <t>Total PSTN Revenue  + Fibre</t>
  </si>
  <si>
    <t xml:space="preserve">    Other - Fixed Line  + Media (ex-Sensis) + International (ex International NAS and Pacnet)</t>
  </si>
  <si>
    <t xml:space="preserve">PayTV company </t>
  </si>
  <si>
    <t>Market Multiple F2017E</t>
  </si>
  <si>
    <t>After tax NBN disconnection payments</t>
  </si>
  <si>
    <t>Other Sales - NBN Access Revenue</t>
  </si>
  <si>
    <t>2H18</t>
  </si>
  <si>
    <t>1H18</t>
  </si>
  <si>
    <t>NBN value</t>
  </si>
  <si>
    <t>DCF</t>
  </si>
  <si>
    <t>EPS (ex-NBN)</t>
  </si>
  <si>
    <t>Share of associates profit (loss) and minority interst</t>
  </si>
  <si>
    <t>P/E Valuation + NBN value</t>
  </si>
  <si>
    <t>Implied PE Multiple</t>
  </si>
  <si>
    <t xml:space="preserve">    Chinese on-line businesses - Autohome</t>
  </si>
  <si>
    <t xml:space="preserve">        Other Fixed - NBN Access Revenue</t>
  </si>
  <si>
    <t>Total Interconnection Revenue</t>
  </si>
  <si>
    <t>Pacnet - announced 24th Dec 2014. Closed Apr 15</t>
  </si>
  <si>
    <t xml:space="preserve">Subscribers - Presto Period Average </t>
  </si>
  <si>
    <t>Subscribers - Presto Period</t>
  </si>
  <si>
    <t>ARPU presto</t>
  </si>
  <si>
    <t xml:space="preserve">remove blue line. Copy all red and hard code into blue so all 0's in red models. </t>
  </si>
  <si>
    <t xml:space="preserve">   check</t>
  </si>
  <si>
    <t xml:space="preserve">   From NWSA Accounts</t>
  </si>
  <si>
    <t xml:space="preserve">FX and other gains (losses) on hedges </t>
  </si>
  <si>
    <t>Equity (losses) / earnings of affiliates</t>
  </si>
  <si>
    <t xml:space="preserve">  NBN Decommissoning Revenue</t>
  </si>
  <si>
    <t>Other Revenue (foxtel)</t>
  </si>
  <si>
    <t>PSAA Included in 'Other Income'</t>
  </si>
  <si>
    <t>Other minority (inc TLS Health, Software, etc)</t>
  </si>
  <si>
    <t>Other one-off adjustments (for guidance)</t>
  </si>
  <si>
    <t xml:space="preserve">  Other Minority</t>
  </si>
  <si>
    <t>Organic EBITDA (ex-NBN non recurring)</t>
  </si>
  <si>
    <t>Market Multiple F2018E</t>
  </si>
  <si>
    <t>Analyst Certification</t>
  </si>
  <si>
    <t>Global Research Conflict Management Policy</t>
  </si>
  <si>
    <t>STOCK RATINGS</t>
  </si>
  <si>
    <t>Global Stock Ratings Distribution</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</si>
  <si>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</si>
  <si>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</si>
  <si>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</si>
  <si>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</si>
  <si>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</si>
  <si>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</si>
  <si>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</si>
  <si>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</si>
  <si>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</si>
  <si>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</si>
  <si>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</si>
  <si>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</si>
  <si>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</si>
  <si>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</si>
  <si>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</si>
  <si>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</si>
  <si>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</si>
  <si>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Fixed other</t>
  </si>
  <si>
    <t xml:space="preserve">         Fixed Other</t>
  </si>
  <si>
    <t>1H19</t>
  </si>
  <si>
    <t>2H19</t>
  </si>
  <si>
    <t>1H20</t>
  </si>
  <si>
    <t>2H20</t>
  </si>
  <si>
    <t>Market Multiple F2019E</t>
  </si>
  <si>
    <t>OLD</t>
  </si>
  <si>
    <t>Foxtel ARPU</t>
  </si>
  <si>
    <t>Foxtel/FoxSports (35%)</t>
  </si>
  <si>
    <t>Labour</t>
  </si>
  <si>
    <t>Global Connectivity</t>
  </si>
  <si>
    <t xml:space="preserve">Total Revenue </t>
  </si>
  <si>
    <t>International / Other</t>
  </si>
  <si>
    <t>Other one-off</t>
  </si>
  <si>
    <t>Fixed voice lines</t>
  </si>
  <si>
    <t>Fixed Line - Other</t>
  </si>
  <si>
    <t>Other Fixed</t>
  </si>
  <si>
    <t>Net Cost to Connect (C2C)</t>
  </si>
  <si>
    <t>Fixed Line - PSTN</t>
  </si>
  <si>
    <t>Fixed Line - Internet</t>
  </si>
  <si>
    <t xml:space="preserve">Fixed excl. nbn C2C </t>
  </si>
  <si>
    <t xml:space="preserve">Recurring NBN DA </t>
  </si>
  <si>
    <t>Global connectivity</t>
  </si>
  <si>
    <t xml:space="preserve">Other core </t>
  </si>
  <si>
    <t xml:space="preserve">NAS </t>
  </si>
  <si>
    <t>Other Core</t>
  </si>
  <si>
    <t>Other revenue</t>
  </si>
  <si>
    <t xml:space="preserve">Other Income </t>
  </si>
  <si>
    <t>TUSOPA</t>
  </si>
  <si>
    <t>One-off ISA: Ownership receipts</t>
  </si>
  <si>
    <t>New businesses</t>
  </si>
  <si>
    <t>NBN one-off payments</t>
  </si>
  <si>
    <t>After tax NBN recurring payments</t>
  </si>
  <si>
    <t>Modelware EPS (pre NRI, ex all NBN payments)</t>
  </si>
  <si>
    <t xml:space="preserve">Data &amp; IP </t>
  </si>
  <si>
    <t>Implied</t>
  </si>
  <si>
    <t>P/E</t>
  </si>
  <si>
    <t>NBN one-off payments (DCF)</t>
  </si>
  <si>
    <t>NBN recurring payments (P/E)</t>
  </si>
  <si>
    <t>(cps)</t>
  </si>
  <si>
    <t>Net Debt/EBITDA (x)</t>
  </si>
  <si>
    <t>Underlying EBITDA</t>
  </si>
  <si>
    <t>D&amp;A - NBN one-off</t>
  </si>
  <si>
    <t>D&amp;A - NBN recurring</t>
  </si>
  <si>
    <t>D&amp;A - TLS Core</t>
  </si>
  <si>
    <t>EBIT - TLS Core</t>
  </si>
  <si>
    <t>EBIT - NBN one-off</t>
  </si>
  <si>
    <t>EBIT - NBN recurring</t>
  </si>
  <si>
    <t>Underlying EBIT</t>
  </si>
  <si>
    <t>Interest expense</t>
  </si>
  <si>
    <t>TLS Core</t>
  </si>
  <si>
    <t>NBN one-off</t>
  </si>
  <si>
    <t>NBN recurring</t>
  </si>
  <si>
    <t>NBN one-off (implied)</t>
  </si>
  <si>
    <t>TLS Core (P/E)</t>
  </si>
  <si>
    <t>TLS value per share</t>
  </si>
  <si>
    <t>Data &amp; IP</t>
  </si>
  <si>
    <t>Spectrum payments</t>
  </si>
  <si>
    <t>Prepaid ARPU</t>
  </si>
  <si>
    <t>FY25</t>
  </si>
  <si>
    <t>P&amp;L</t>
  </si>
  <si>
    <t>Restructuring</t>
  </si>
  <si>
    <t>One-off NBN DA less nbn net C2C</t>
  </si>
  <si>
    <t>Recurring nbn DA</t>
  </si>
  <si>
    <t>Other products</t>
  </si>
  <si>
    <t>Plus: NBN one-off payments (DCF)</t>
  </si>
  <si>
    <t>Plus: NBN recurring payments (P/E)</t>
  </si>
  <si>
    <t>Total TLS value per share</t>
  </si>
  <si>
    <t>Target P/E Applied to core TLS earnings</t>
  </si>
  <si>
    <t>Australian Market Multiple FY20E</t>
  </si>
  <si>
    <t>Comments</t>
  </si>
  <si>
    <t>Underlying</t>
  </si>
  <si>
    <t>Postpaid ARPU</t>
  </si>
  <si>
    <t>Bundles &amp; Standalone Data</t>
  </si>
  <si>
    <t>Subscriber (EOP)</t>
  </si>
  <si>
    <t>Subscribers (Average)</t>
  </si>
  <si>
    <t>Standalone voice</t>
  </si>
  <si>
    <t>Other Retail fixed</t>
  </si>
  <si>
    <t>NBN Connection (EOP)</t>
  </si>
  <si>
    <t>NBN % total subscribers</t>
  </si>
  <si>
    <t xml:space="preserve">Total EBIT </t>
  </si>
  <si>
    <t>ISDN Access Revenue - OLD</t>
  </si>
  <si>
    <t>ISDN Call Revenue - Old</t>
  </si>
  <si>
    <t>Integrated Services Digital Network (ISDN)</t>
  </si>
  <si>
    <t>IP Access</t>
  </si>
  <si>
    <t>Other Data and Calling Services</t>
  </si>
  <si>
    <t>(PayTV bundling + T-Box)</t>
  </si>
  <si>
    <t>Content</t>
  </si>
  <si>
    <t>Sensis + Content</t>
  </si>
  <si>
    <t>Cable</t>
  </si>
  <si>
    <t>combined into the below section</t>
  </si>
  <si>
    <t>% change</t>
  </si>
  <si>
    <t>Old</t>
  </si>
  <si>
    <t>INTERNATIONAL (OLD)</t>
  </si>
  <si>
    <t>Fixed Line (OLD)</t>
  </si>
  <si>
    <t>Total Non Current Liabilities</t>
  </si>
  <si>
    <t>Total Non Current Assets</t>
  </si>
  <si>
    <t>DCF Valuation</t>
  </si>
  <si>
    <t>PE Valuation</t>
  </si>
  <si>
    <t>% margin</t>
  </si>
  <si>
    <t>#</t>
  </si>
  <si>
    <t>Total Fixed Line</t>
  </si>
  <si>
    <t>Total Mobile</t>
  </si>
  <si>
    <t>Total IP &amp; Data</t>
  </si>
  <si>
    <t>Total Network Applications &amp; Services</t>
  </si>
  <si>
    <t>Total Media</t>
  </si>
  <si>
    <t>Total Global Connectivity</t>
  </si>
  <si>
    <t>Number of Lines (EOP)</t>
  </si>
  <si>
    <t>Average Number of Lines</t>
  </si>
  <si>
    <t>Number of Lines FIBRE (EOP)</t>
  </si>
  <si>
    <t>Average Number of FIBRE Lines</t>
  </si>
  <si>
    <t>Number of Lines COPPER (EOP)</t>
  </si>
  <si>
    <t>Average Number of COPPER Lines</t>
  </si>
  <si>
    <t>COPPER Average Revenue per User Per Month</t>
  </si>
  <si>
    <t>FIBRE Average Revenue per User Per Month</t>
  </si>
  <si>
    <r>
      <t xml:space="preserve">    Chinese on-line businesses </t>
    </r>
    <r>
      <rPr>
        <sz val="10"/>
        <color indexed="10"/>
        <rFont val="Calibri"/>
        <family val="2"/>
      </rPr>
      <t>(Not Included in Sensis Rev)</t>
    </r>
  </si>
  <si>
    <t>Goods &amp; Services Purchased</t>
  </si>
  <si>
    <t>Other Opex</t>
  </si>
  <si>
    <t>Removal Of Costs from Asset Sale</t>
  </si>
  <si>
    <t>Abnormal Expenses - Rendunacy Costs</t>
  </si>
  <si>
    <t># EBITDA</t>
  </si>
  <si>
    <t>Revenue (linked from Assumptions Tab)</t>
  </si>
  <si>
    <t>Total Revenue (from Income Statement)</t>
  </si>
  <si>
    <t>Check (Sales revenue from Income Statement)</t>
  </si>
  <si>
    <t>Operating Costs (Implied)</t>
  </si>
  <si>
    <t>Service Fees Growth rate</t>
  </si>
  <si>
    <t>Other Growth rate</t>
  </si>
  <si>
    <t>NBN Network payments</t>
  </si>
  <si>
    <t>Group Level</t>
  </si>
  <si>
    <t>Managed network services</t>
  </si>
  <si>
    <t>IT Services</t>
  </si>
  <si>
    <t>Business applications</t>
  </si>
  <si>
    <t>COGS % Total Group Revenue</t>
  </si>
  <si>
    <t>Network Payments % Domestic Telco Revenue</t>
  </si>
  <si>
    <t>Redundancy costs</t>
  </si>
  <si>
    <t>Normalised Labour costs</t>
  </si>
  <si>
    <t>Cost of goods sold</t>
  </si>
  <si>
    <t>Network payments</t>
  </si>
  <si>
    <t>Mobile Subsidies / Commissions</t>
  </si>
  <si>
    <t>Commercial Project Payments</t>
  </si>
  <si>
    <t>Service Fees</t>
  </si>
  <si>
    <t>Debts written off % of AR</t>
  </si>
  <si>
    <t xml:space="preserve">    Service Contracts % Domestic Telco Rev</t>
  </si>
  <si>
    <t>One-off nbn DA less nbn net C2C</t>
  </si>
  <si>
    <t>Recurring NBN DA</t>
  </si>
  <si>
    <t>Total EBITDA Guidance basis</t>
  </si>
  <si>
    <t>Check (from Income Statement)</t>
  </si>
  <si>
    <t>Total Reported EBITDA</t>
  </si>
  <si>
    <t>International NAS</t>
  </si>
  <si>
    <t>Other - Fixed Line  + Media (ex-Sensis) + International (ex International NAS and Pacnet)</t>
  </si>
  <si>
    <t>CSL New World</t>
  </si>
  <si>
    <t>TelstraClear</t>
  </si>
  <si>
    <t>Pactnet</t>
  </si>
  <si>
    <t>Total income</t>
  </si>
  <si>
    <t>Restructuring costs</t>
  </si>
  <si>
    <t>l</t>
  </si>
  <si>
    <t>% penetration</t>
  </si>
  <si>
    <t>Other guidance adjustments</t>
  </si>
  <si>
    <t>Reported</t>
  </si>
  <si>
    <t xml:space="preserve">DPS </t>
  </si>
  <si>
    <t>Valuation Summary</t>
  </si>
  <si>
    <t>SOTP</t>
  </si>
  <si>
    <t>PE</t>
  </si>
  <si>
    <t>Midpoint</t>
  </si>
  <si>
    <t>EBITDA Growth</t>
  </si>
  <si>
    <t>EBITDA (driver)</t>
  </si>
  <si>
    <t>EBITDA Margin Assumptions</t>
  </si>
  <si>
    <t>PPE</t>
  </si>
  <si>
    <t>Right of Use Asset</t>
  </si>
  <si>
    <t>Right of use asset</t>
  </si>
  <si>
    <t>Telstra Plus loyalty</t>
  </si>
  <si>
    <t>Australia Mobile Industry</t>
  </si>
  <si>
    <t>Data access &amp; connectivity</t>
  </si>
  <si>
    <t>Legacy calling (including ISDN)</t>
  </si>
  <si>
    <t>Connectivity services</t>
  </si>
  <si>
    <t>Data access &amp; connectivity Revenue</t>
  </si>
  <si>
    <t>Legacy calling (including ISDN) Revenue</t>
  </si>
  <si>
    <t>Connectivity services Revenue</t>
  </si>
  <si>
    <t>Other adjustments</t>
  </si>
  <si>
    <t>EBITDA (Guidance basis)</t>
  </si>
  <si>
    <t>EBITDA (post-NBN payments)</t>
  </si>
  <si>
    <t>Net Interest Calculation</t>
  </si>
  <si>
    <t>Cash rate</t>
  </si>
  <si>
    <t>Net Additions</t>
  </si>
  <si>
    <t>Gross Additions</t>
  </si>
  <si>
    <t>Mobile Broadband ARPU</t>
  </si>
  <si>
    <t>Mobile Satellite ARPU</t>
  </si>
  <si>
    <t>Postpaid handheld Revenue</t>
  </si>
  <si>
    <t>Prepaid handheld Revenue</t>
  </si>
  <si>
    <t>Mobile Broadband Revenue</t>
  </si>
  <si>
    <t>Satellite Revenue</t>
  </si>
  <si>
    <t>EBITDA (old)</t>
  </si>
  <si>
    <t>Contents</t>
  </si>
  <si>
    <t>Per share (A$m)</t>
  </si>
  <si>
    <t>Target Multiple</t>
  </si>
  <si>
    <t>Implied Multiples</t>
  </si>
  <si>
    <t>Morgan Stanley Telco, Media and Technology Team</t>
  </si>
  <si>
    <t>Average Mobile Satellite Subscribers</t>
  </si>
  <si>
    <t>% of sales</t>
  </si>
  <si>
    <t>2H21</t>
  </si>
  <si>
    <t>1H21</t>
  </si>
  <si>
    <t>IoT Revenue</t>
  </si>
  <si>
    <t>IoT ARPU</t>
  </si>
  <si>
    <t>IoT Subscribers (EOP)</t>
  </si>
  <si>
    <t>Average IoT Subscribers</t>
  </si>
  <si>
    <t>Postpaid ARPU (reported)</t>
  </si>
  <si>
    <t>Reported vs bottom up</t>
  </si>
  <si>
    <t>Prepaid ARPU (reported)</t>
  </si>
  <si>
    <t>Mobile Broadband ARPU (reported)</t>
  </si>
  <si>
    <t>Prepaid</t>
  </si>
  <si>
    <t>Postpaid</t>
  </si>
  <si>
    <t>IoT</t>
  </si>
  <si>
    <t>Wholesale ARPU</t>
  </si>
  <si>
    <t>Other mobile service revenues</t>
  </si>
  <si>
    <t>Total Mobile Service</t>
  </si>
  <si>
    <t>Total Mobile Service Revenue</t>
  </si>
  <si>
    <t>Retail Blended ARPU</t>
  </si>
  <si>
    <t>Total Retail Mobile Service Revenue</t>
  </si>
  <si>
    <t>Retail Mobile Subscribers (EOP)</t>
  </si>
  <si>
    <t>Total Retail Mobile Services</t>
  </si>
  <si>
    <t>Average Retail Mobile Subscribers</t>
  </si>
  <si>
    <t>Retail Mobile Subscribers (reported)</t>
  </si>
  <si>
    <t>Mobile Interconnet</t>
  </si>
  <si>
    <t>Hardware (Handsets)</t>
  </si>
  <si>
    <t>Media/Telstra Plus/Other</t>
  </si>
  <si>
    <t>Total Mobile Revenue</t>
  </si>
  <si>
    <t>Postpaid handheld</t>
  </si>
  <si>
    <t>Prepaid handheld</t>
  </si>
  <si>
    <t>Mobile broadband</t>
  </si>
  <si>
    <t>Mobile wholesale</t>
  </si>
  <si>
    <t>Total mobile services</t>
  </si>
  <si>
    <t>Hardware</t>
  </si>
  <si>
    <t>Mobile interconnect</t>
  </si>
  <si>
    <t>Media, Telstra Plus &amp; Other</t>
  </si>
  <si>
    <t>Wholesale Data &amp; IP</t>
  </si>
  <si>
    <t>Fixed Wholesale</t>
  </si>
  <si>
    <t>Data &amp; connectivity</t>
  </si>
  <si>
    <t>Legacy calling &amp; fixed</t>
  </si>
  <si>
    <t>Commercial &amp; recoverable works</t>
  </si>
  <si>
    <t>Segments</t>
  </si>
  <si>
    <t>Total Fixed (wholesale)</t>
  </si>
  <si>
    <t>Total Global</t>
  </si>
  <si>
    <t>Fixed (C&amp;SB)</t>
  </si>
  <si>
    <t>On-net fixed</t>
  </si>
  <si>
    <t>Off-net fixed</t>
  </si>
  <si>
    <t>Consumer content &amp; services</t>
  </si>
  <si>
    <t>Business applications &amp; services</t>
  </si>
  <si>
    <t>Interconnect, payphones &amp; E000</t>
  </si>
  <si>
    <t>Total Fixed (C&amp;SB)</t>
  </si>
  <si>
    <t>Calling applications</t>
  </si>
  <si>
    <t>Managed services &amp; maintenance</t>
  </si>
  <si>
    <t>Cloud applications</t>
  </si>
  <si>
    <t>Equipment sales</t>
  </si>
  <si>
    <t>Total NAS</t>
  </si>
  <si>
    <t>Total Fixed (enterprise)</t>
  </si>
  <si>
    <t>Belong fixed data SIOs</t>
  </si>
  <si>
    <t>C&amp;SB standalone voice SIOs</t>
  </si>
  <si>
    <t>Average C&amp;SB standalone fixed voice ARPU</t>
  </si>
  <si>
    <t>Data &amp; IP (OLD)</t>
  </si>
  <si>
    <t>One-off nbn DA (PSAA)</t>
  </si>
  <si>
    <t>Includes bundles and data, standalone voice, hardware, Telstra Plus, TUSOPA, business data &amp; connectivity and other one-off revenue</t>
  </si>
  <si>
    <t>Other product income</t>
  </si>
  <si>
    <t>One-off nbn DA and connection</t>
  </si>
  <si>
    <t>Includes guidance adjustments (impairments, proceeds on sale of businesses, M&amp;A and spectrum purchases)</t>
  </si>
  <si>
    <t>Includes gains and losses on asset and investment sales (including assets transferred under the nbn DA, income from government grants, mobile blackspot government programs, income from nbn, network disconnection fees, subsidies and other misc</t>
  </si>
  <si>
    <t>One-off NBN Definitive Agreement
PSAA = Per Subscriber Address Amount. Receives payment every time a customer is disconnected from the copper network</t>
  </si>
  <si>
    <t>ISA = Infrastructure Services Agreement. Long-term provision of access to 3 types of infrastructure by Telstra to NBN Co. Dark fibre links, rack spaces in exchanges, and ducts and associated duct infrastructure</t>
  </si>
  <si>
    <t>C&amp;SB bundles and standalone data SIOs</t>
  </si>
  <si>
    <t>Average C&amp;SB bundles and standalone data ARPU</t>
  </si>
  <si>
    <t>C&amp;SB bundles and standalone data revenue</t>
  </si>
  <si>
    <t>C&amp;SB standalone voice revenue</t>
  </si>
  <si>
    <t>C&amp;SB bundles and standalone data/voice revenue</t>
  </si>
  <si>
    <t>Total on-net and off-net fixed revenue</t>
  </si>
  <si>
    <t>On-net and off-net</t>
  </si>
  <si>
    <t>Total on-net and off-net revenue</t>
  </si>
  <si>
    <t>C&amp;SB bundles and standalone data SIOs (average)</t>
  </si>
  <si>
    <t>C&amp;SB standalone voice SIOs (average)</t>
  </si>
  <si>
    <t>Bottom Up</t>
  </si>
  <si>
    <t>Other (hardware, business data/connectivity, Telstra Plus)</t>
  </si>
  <si>
    <t>Fixed (OLD)</t>
  </si>
  <si>
    <t>Other income (OLD)</t>
  </si>
  <si>
    <t>Cable revenue</t>
  </si>
  <si>
    <t>Foxtel revenue</t>
  </si>
  <si>
    <t>Foxtel subscribers (EOP)</t>
  </si>
  <si>
    <t>Foxtel subscribers (average)</t>
  </si>
  <si>
    <t>IPTV subscribers (EOP)</t>
  </si>
  <si>
    <t>IPTV subscribers (average)</t>
  </si>
  <si>
    <t>IPTV ARPU</t>
  </si>
  <si>
    <t>IPTV revenue</t>
  </si>
  <si>
    <t>Mobility and other  revenue</t>
  </si>
  <si>
    <t>Cable access revenue from Foxtel</t>
  </si>
  <si>
    <t>Includes Classifieds &amp; Advertising revenue</t>
  </si>
  <si>
    <t>Foxtel and IPTV revenue</t>
  </si>
  <si>
    <t>Media (OLD)</t>
  </si>
  <si>
    <t>Foxtel - Aus PayTV (Telstra 50%, NWS 50%) (OLD)</t>
  </si>
  <si>
    <t>Consumer content &amp; services revenue</t>
  </si>
  <si>
    <t>Total Fixed (C&amp;SB) revenue</t>
  </si>
  <si>
    <t>Revenue Summary (OLD)</t>
  </si>
  <si>
    <t>Interconnect, payphone &amp; E000</t>
  </si>
  <si>
    <t>Total on-net fixed</t>
  </si>
  <si>
    <t>Professional services</t>
  </si>
  <si>
    <t>Data &amp; connectivity SIOs</t>
  </si>
  <si>
    <t>Data &amp; connectivity ARPU</t>
  </si>
  <si>
    <t>Data &amp; connectivity SIOs (average)</t>
  </si>
  <si>
    <t>Data &amp; connectivity revenue</t>
  </si>
  <si>
    <t>Revenue Assumptions</t>
  </si>
  <si>
    <t># change</t>
  </si>
  <si>
    <t>Legacy calling &amp; fixed SIOs</t>
  </si>
  <si>
    <t>Legacy calling &amp; fixed SIOs (average)</t>
  </si>
  <si>
    <t>Legacy calling &amp; fixed ARPU</t>
  </si>
  <si>
    <t>Legacy calling &amp; fixed revenue</t>
  </si>
  <si>
    <t>Underlying EBITDA (guidance basis)</t>
  </si>
  <si>
    <t>Fixed (Enterprise)</t>
  </si>
  <si>
    <t>Fixed (Wholesale)</t>
  </si>
  <si>
    <t>Fixed (Enterprise) - Data &amp; Connectivity</t>
  </si>
  <si>
    <t>Fixed (Enterprise) - NAS</t>
  </si>
  <si>
    <t xml:space="preserve">Fixed (Enterprise) </t>
  </si>
  <si>
    <t>Guidance adjustments</t>
  </si>
  <si>
    <t>Net one-off nbn DA less nbn net C2C</t>
  </si>
  <si>
    <t>Total EBITDA (reported lease adjusted)</t>
  </si>
  <si>
    <t>NM</t>
  </si>
  <si>
    <t>Net impairment losses on financial assets</t>
  </si>
  <si>
    <t>Depreciation (reported)</t>
  </si>
  <si>
    <t>CAPEX for PPE</t>
  </si>
  <si>
    <t>CAPEX for intangibles</t>
  </si>
  <si>
    <t>Includes spectrum payments</t>
  </si>
  <si>
    <t>PPE (EOP)</t>
  </si>
  <si>
    <t>PPE (BOP)</t>
  </si>
  <si>
    <t>Depreciation (calculated)</t>
  </si>
  <si>
    <t>% of average PPE</t>
  </si>
  <si>
    <t>Plus CAPEX</t>
  </si>
  <si>
    <t>Less Depreciation</t>
  </si>
  <si>
    <t>Right of Use Asset (EOP)</t>
  </si>
  <si>
    <t>Right of Use Asset (BOP)</t>
  </si>
  <si>
    <t>Mobile leases</t>
  </si>
  <si>
    <t>% of average Right of Use Asset</t>
  </si>
  <si>
    <t>Intangibles (BOP)</t>
  </si>
  <si>
    <t>Less Amortisation</t>
  </si>
  <si>
    <t>Intangibles (EOP)</t>
  </si>
  <si>
    <t>Amortisation (reported)</t>
  </si>
  <si>
    <t>Amortisation (calculated)</t>
  </si>
  <si>
    <t>% of average Intangibles</t>
  </si>
  <si>
    <t>Depreciation (PPE)</t>
  </si>
  <si>
    <t>Depreciation (Right of Use Asset)</t>
  </si>
  <si>
    <t>Revenue (old)</t>
  </si>
  <si>
    <t>Other OPEX</t>
  </si>
  <si>
    <t>Underlying EBITDA (reported)</t>
  </si>
  <si>
    <t>Underlying EBITDA (reported lease adjusted)</t>
  </si>
  <si>
    <t>One-off nbn DA and nbn C2C</t>
  </si>
  <si>
    <t>Underlying EBITDA (inc one-off NBN payments)</t>
  </si>
  <si>
    <t>Summary (A$)</t>
  </si>
  <si>
    <t>% YoY Growth</t>
  </si>
  <si>
    <t>Total Fixed (Enterprise)</t>
  </si>
  <si>
    <t>Total Fixed (Wholesale)</t>
  </si>
  <si>
    <t>Guidance: return to growth by FY22E</t>
  </si>
  <si>
    <t>Guidance: return to growth by FY24E</t>
  </si>
  <si>
    <t>Structurally declining</t>
  </si>
  <si>
    <t>Total CAPEX for intangibles</t>
  </si>
  <si>
    <t xml:space="preserve">Lease adjustments </t>
  </si>
  <si>
    <t>Fiscal year ended 30 June</t>
  </si>
  <si>
    <t>Telstra (TLS.AX)</t>
  </si>
  <si>
    <t>Cost Assumptions</t>
  </si>
  <si>
    <t>NBN Assumptions</t>
  </si>
  <si>
    <t>SoTP Valuation</t>
  </si>
  <si>
    <t>EBITDA Margin (Mobiles)</t>
  </si>
  <si>
    <t>EBITDA Margin (Group)</t>
  </si>
  <si>
    <t>c</t>
  </si>
  <si>
    <t>Basic EPS - Reported</t>
  </si>
  <si>
    <t xml:space="preserve">Diluted EPS - Reported </t>
  </si>
  <si>
    <t xml:space="preserve">EPS Growth - Basic, Reported </t>
  </si>
  <si>
    <t xml:space="preserve">EPS Diluted - Basic, Reported </t>
  </si>
  <si>
    <t xml:space="preserve">PER - Basic, Reported </t>
  </si>
  <si>
    <t xml:space="preserve">PER - Diluted, Reported </t>
  </si>
  <si>
    <t xml:space="preserve">PER - Basic, Adj for Investments </t>
  </si>
  <si>
    <t xml:space="preserve">PER - Diluted, Adj for Investments </t>
  </si>
  <si>
    <t xml:space="preserve">Payout </t>
  </si>
  <si>
    <t>Yield</t>
  </si>
  <si>
    <t>NPAT Margin</t>
  </si>
  <si>
    <t>Adjusted EBITDA Margin</t>
  </si>
  <si>
    <t>EBIT Margin</t>
  </si>
  <si>
    <t>+AS23</t>
  </si>
  <si>
    <t>+AT23</t>
  </si>
  <si>
    <t>+AU23</t>
  </si>
  <si>
    <t>+AV23</t>
  </si>
  <si>
    <t>+AW23</t>
  </si>
  <si>
    <t>+AX23</t>
  </si>
  <si>
    <t>+AY23</t>
  </si>
  <si>
    <t>+AZ23</t>
  </si>
  <si>
    <t>+BA23</t>
  </si>
  <si>
    <t>+BB23</t>
  </si>
  <si>
    <t>+BC23</t>
  </si>
  <si>
    <t>+BD23</t>
  </si>
  <si>
    <t>+BE23</t>
  </si>
  <si>
    <t>+BF23</t>
  </si>
  <si>
    <t>+BG23</t>
  </si>
  <si>
    <t>Off-net fixed revenue</t>
  </si>
  <si>
    <t>NBN bundle SIOs</t>
  </si>
  <si>
    <t>NBN bundle SIOs (average)</t>
  </si>
  <si>
    <t>Non-NBN SIOs</t>
  </si>
  <si>
    <t>Non-NBN bundle SIOs (average)</t>
  </si>
  <si>
    <t>On-net fixed revenue</t>
  </si>
  <si>
    <t>On-net and off-net fixed revenue</t>
  </si>
  <si>
    <t>Payments for intangibles ex Spectrum</t>
  </si>
  <si>
    <t>Total Capex ex Spectrum</t>
  </si>
  <si>
    <t>Upside / (downside)</t>
  </si>
  <si>
    <t>Digicel Services Revenue</t>
  </si>
  <si>
    <t>Exchange rate applied</t>
  </si>
  <si>
    <t>Other Global</t>
  </si>
  <si>
    <t>Digicel (PNG, Nauru, Vanuatu, Fiji, Samoa, Tonga)</t>
  </si>
  <si>
    <t>EBITDA growth rate</t>
  </si>
  <si>
    <t>D&amp;A as a % of Revenue</t>
  </si>
  <si>
    <t>Cost of debt</t>
  </si>
  <si>
    <t>Net Interest Expense</t>
  </si>
  <si>
    <t>Tax expense</t>
  </si>
  <si>
    <t>Effective Tax Rate</t>
  </si>
  <si>
    <t>Digicel - Key assumptions</t>
  </si>
  <si>
    <t>Plus: Digicel Net Interest Expense</t>
  </si>
  <si>
    <t>InfraCo + Mobile Towers</t>
  </si>
  <si>
    <t>FY25E</t>
  </si>
  <si>
    <t>FY26E</t>
  </si>
  <si>
    <t>Chris Boulus +612-9770-1529</t>
  </si>
  <si>
    <t>1H22</t>
  </si>
  <si>
    <t>2H22</t>
  </si>
  <si>
    <t>Current Trading Multiples</t>
  </si>
  <si>
    <t>CAPEX for intangibles (including mobile spectrum)</t>
  </si>
  <si>
    <t>Intangibles (including Mobile Spectrum)</t>
  </si>
  <si>
    <t>Explicit Spectrum Licence Payments</t>
  </si>
  <si>
    <t>Angela Sutcliffe +612-9770-1612</t>
  </si>
  <si>
    <t>Payments for fibre network</t>
  </si>
  <si>
    <t>Enterprise Value</t>
  </si>
  <si>
    <t>FCF - Yield - Incl. Spectrum Excl. Interest</t>
  </si>
  <si>
    <t>FCF - Incl. Spectrum Excl. Interest</t>
  </si>
  <si>
    <t>Fibre project</t>
  </si>
  <si>
    <t>InfraCo Fibre project</t>
  </si>
  <si>
    <t>InfraCo Fibre Project</t>
  </si>
  <si>
    <t>Revenue OLD</t>
  </si>
  <si>
    <t>Revenue NEW</t>
  </si>
  <si>
    <t>% Change</t>
  </si>
  <si>
    <t>Revenue VA Cons</t>
  </si>
  <si>
    <t>% vs Cons</t>
  </si>
  <si>
    <t>EBITDA OLD</t>
  </si>
  <si>
    <t>EBITDA NEW</t>
  </si>
  <si>
    <t>EBITDA VA Cons</t>
  </si>
  <si>
    <t>NPAT OLD</t>
  </si>
  <si>
    <t>NPAT NEW</t>
  </si>
  <si>
    <t>NPAT VA Cons</t>
  </si>
  <si>
    <t>Fixed (Active Wholesale)</t>
  </si>
  <si>
    <t>Eliminations</t>
  </si>
  <si>
    <t/>
  </si>
  <si>
    <t>InfraCo - Recurring nbn DA</t>
  </si>
  <si>
    <t>InfraCo - Other</t>
  </si>
  <si>
    <t>Amplitel</t>
  </si>
  <si>
    <t>Growth</t>
  </si>
  <si>
    <t>Infraco Fixed</t>
  </si>
  <si>
    <t>InfraCo Fixed</t>
  </si>
  <si>
    <t>InfraCo + Mobile Towers + fibre project</t>
  </si>
  <si>
    <t>EPS VA Cons</t>
  </si>
  <si>
    <t>Divisional EBITDA Margin</t>
  </si>
  <si>
    <t>Pospaid</t>
  </si>
  <si>
    <t>IOT</t>
  </si>
  <si>
    <t>Retail Blended</t>
  </si>
  <si>
    <t xml:space="preserve">TLS Model Update </t>
  </si>
  <si>
    <t>NBN Recurring Payments</t>
  </si>
  <si>
    <t>61x ebitda</t>
  </si>
  <si>
    <t>6x sales</t>
  </si>
  <si>
    <t>1H23</t>
  </si>
  <si>
    <t>2H23</t>
  </si>
  <si>
    <t>FY27E</t>
  </si>
  <si>
    <t>FY28E</t>
  </si>
  <si>
    <t>Australian Market Multiple FY25E</t>
  </si>
  <si>
    <t xml:space="preserve">EPS for consensus (pre-NRI) - Diluted Reported </t>
  </si>
  <si>
    <t>EPS for consensus (pre NRI, diluted share count)</t>
  </si>
  <si>
    <t>EPS for consensus (pre NRI, ex NBN discon payments)</t>
  </si>
  <si>
    <t>EPS for consensus OLD</t>
  </si>
  <si>
    <t>EPS for consensus NEW</t>
  </si>
  <si>
    <t>% of Revenue</t>
  </si>
  <si>
    <t>Other produce income</t>
  </si>
  <si>
    <t>P&amp;L Costs</t>
  </si>
  <si>
    <t>Working Capital</t>
  </si>
  <si>
    <t xml:space="preserve">Dividend Yield </t>
  </si>
  <si>
    <t>Last close price (14 Aug 2025)</t>
  </si>
  <si>
    <t>Reported Net Profit Attributable (net Associates)</t>
  </si>
  <si>
    <t>Underlying EBITDaL</t>
  </si>
  <si>
    <t xml:space="preserve">1 Austin Road West </t>
  </si>
  <si>
    <t xml:space="preserve">Kowloon </t>
  </si>
  <si>
    <t xml:space="preserve">Hong Kong </t>
  </si>
  <si>
    <t>Tel: +852 2848 5200</t>
  </si>
  <si>
    <t>Authors: Andrew McLeod</t>
  </si>
  <si>
    <t>Date: 20 Feb 2026</t>
  </si>
  <si>
    <t>Ticker: TLS.AX</t>
  </si>
  <si>
    <t>Stock Rating: Overweight</t>
  </si>
  <si>
    <t>Industry: Australia Telecoms</t>
  </si>
  <si>
    <t>Industry View: In-Line</t>
  </si>
  <si>
    <t>Price as of 20 Feb 2026: 5.08</t>
  </si>
  <si>
    <t>Target Price: 5.40</t>
  </si>
  <si>
    <t>e = Morgan Stanley Research estimates unless otherwise noted</t>
  </si>
  <si>
    <t>Source: Morgan Stanley Research unless otherwise noted</t>
  </si>
  <si>
    <t>Stocks ratings are relative to the analyst's industry coverage universe.</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</si>
  <si>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</si>
  <si>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</si>
  <si>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</si>
  <si>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</si>
  <si>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The information and opinions in Morgan Stanley Research were prepared or are disseminated by Morgan</t>
  </si>
  <si>
    <t>Stanley Asia Limited (which accepts the responsibility for its contents) and/or Morgan Stanley Asia</t>
  </si>
  <si>
    <t>(Singapore) Pte. (Registration number 199206298Z) and/or Morgan Stanley Asia (Singapore) Securities Pte</t>
  </si>
  <si>
    <t>Ltd (Registration number 200008434H), regulated by the Monetary Authority of Singapore (which accepts</t>
  </si>
  <si>
    <t>legal responsibility for its contents and should be contacted with respect to any matters arising from,</t>
  </si>
  <si>
    <t>or in connection with, Morgan Stanley Research), and/or Morgan Stanley Taiwan Limited and/or Morgan</t>
  </si>
  <si>
    <t>Stanley &amp; Co International plc, Seoul Branch, and/or Morgan Stanley Australia Limited (A.B.N. 67 003 734</t>
  </si>
  <si>
    <t>576, holder of Australian financial services license No. 233742, which accepts responsibility for its</t>
  </si>
  <si>
    <t>contents), and/or Morgan Stanley Wealth Management Australia Pty Ltd (A.B.N. 19 009 145 555, holder of</t>
  </si>
  <si>
    <t>Australian financial services license No. 240813, which accepts responsibility for its contents), and/or</t>
  </si>
  <si>
    <t>Morgan Stanley India Company Private Limited having Corporate Identification No (CIN)</t>
  </si>
  <si>
    <t>U22990MH1998PTC115305, regulated by the Securities and Exchange Board of India (“SEBI”) and holder of</t>
  </si>
  <si>
    <t>licenses as a Research Analyst (SEBI Registration No. INH000001105); Stock Broker (SEBI Stock Broker</t>
  </si>
  <si>
    <t>Registration No. INZ000244438), Merchant Banker (SEBI Registration No. INM000011203), and depository</t>
  </si>
  <si>
    <t>participant with National Securities Depository Limited (SEBI Registration No. IN-DP-NSDL-567-2021)</t>
  </si>
  <si>
    <t>having registered office at Altimus, Level 39 &amp; 40, Pandurang Budhkar Marg, Worli, Mumbai 400018, India;</t>
  </si>
  <si>
    <t>Telephone no. +91-22-61181000; Compliance Officer Details: Mr. Tejarshi Hardas, Tel. No.:</t>
  </si>
  <si>
    <t>+91-22-61181000 or Email: tejarshi.hardas@morganstanley.com; Grievance officer details: Mr. Tejarshi</t>
  </si>
  <si>
    <t>Hardas, Tel. No.: +91-22-61181000 or Email: msic-compliance@morganstanley.com which accepts the</t>
  </si>
  <si>
    <t>responsibility for its contents and should be contacted with respect to any matters arising from, or in</t>
  </si>
  <si>
    <t>connection with, Morgan Stanley Research, and their affiliates (collectively, "Morgan Stanley"). Morgan</t>
  </si>
  <si>
    <t>Stanley India Company Private Limited (MSICPL) may use AI tools in providing research services. All</t>
  </si>
  <si>
    <t>recommendations contained herein are made by the duly qualified research analysts.</t>
  </si>
  <si>
    <t>For important disclosures, stock price charts and equity rating histories regarding companies that are</t>
  </si>
  <si>
    <t>the subject of this report, please see the Morgan Stanley Research Disclosure Website at</t>
  </si>
  <si>
    <t>www.morganstanley.com/eqr/disclosures/webapp/generalresearch, or contact your investment representative</t>
  </si>
  <si>
    <t>or Morgan Stanley Research at 1585 Broadway, (Attention: Research Management), New York, NY, 10036 USA.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</si>
  <si>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</si>
  <si>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</si>
  <si>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</si>
  <si>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</si>
  <si>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</si>
  <si>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</si>
  <si>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</si>
  <si>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</si>
  <si>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</si>
  <si>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Andrew McLeod.</t>
  </si>
  <si>
    <t>Morgan Stanley Research has been published in accordance with our conflict management policy, which is</t>
  </si>
  <si>
    <t>available at www.morganstanley.com/institutional/research/conflictpolicies. A Portuguese version of the</t>
  </si>
  <si>
    <t>policy can be found at www.morganstanley.com.br</t>
  </si>
  <si>
    <t>Important Regulatory Disclosures on Subject Companies</t>
  </si>
  <si>
    <t>In the next 3 months, Morgan Stanley expects to receive or intends to seek compensation for investment</t>
  </si>
  <si>
    <t>banking services from Telstra Corporation.</t>
  </si>
  <si>
    <t>Within the last 12 months, Morgan Stanley has received compensation for products and services other than</t>
  </si>
  <si>
    <t>investment banking services from Telstra Corporation.</t>
  </si>
  <si>
    <t>Within the last 12 months, Morgan Stanley has provided or is providing investment banking services to,</t>
  </si>
  <si>
    <t>or has an investment banking client relationship with, the following company: Telstra Corporation.</t>
  </si>
  <si>
    <t>Within the last 12 months, Morgan Stanley has either provided or is providing non-investment banking,</t>
  </si>
  <si>
    <t>securities-related services to and/or in the past has entered into an agreement to provide services or</t>
  </si>
  <si>
    <t>has a client relationship with the following company: Telstra Corporation.</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</si>
  <si>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</si>
  <si>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</si>
  <si>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</si>
  <si>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</si>
  <si>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</si>
  <si>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particular trading desks.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</si>
  <si>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</si>
  <si>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</si>
  <si>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</si>
  <si>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</si>
  <si>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</si>
  <si>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</si>
  <si>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</si>
  <si>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Certain disclosures listed above are also for compliance with applicable regulations in non-US</t>
  </si>
  <si>
    <t>jurisdictions.</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</si>
  <si>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</si>
  <si>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</si>
  <si>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</si>
  <si>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</si>
  <si>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</si>
  <si>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</si>
  <si>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t>
  </si>
  <si>
    <t>upon as investment advice. An investor's decision to buy or sell a stock should depend on individual</t>
  </si>
  <si>
    <t>circumstances (such as the investor's existing holdings) and other considerations.</t>
  </si>
  <si>
    <t>(as of January 31, 2026)</t>
  </si>
  <si>
    <t>The Stock Ratings described below apply to Morgan Stanley's Fundamental Equity Research and do not apply</t>
  </si>
  <si>
    <t>to Debt Research produced by the Firm.</t>
  </si>
  <si>
    <t>For disclosure purposes only (in accordance with FINRA requirements), we include the category headings</t>
  </si>
  <si>
    <t>of Buy, Hold, and Sell alongside our ratings of Overweight, Equal-weight, Not-Rated and Underweight.</t>
  </si>
  <si>
    <t>Morgan Stanley does not assign ratings of Buy, Hold or Sell to the stocks we cover. Overweight,</t>
  </si>
  <si>
    <t>Equal-weight, Not-Rated and Underweight are not the equivalent of buy, hold, and sell but represent</t>
  </si>
  <si>
    <t>recommended relative weightings (see definitions below). To satisfy regulatory requirements, we</t>
  </si>
  <si>
    <t>correspond Overweight, our most positive stock rating, with a buy recommendation; we correspond</t>
  </si>
  <si>
    <t>Equal-weight and Not-Rated to hold and Underweight to sell recommendations, respectively.</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</si>
  <si>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</si>
  <si>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</si>
  <si>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</si>
  <si>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</si>
  <si>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Overweight (O). The stock's total return is expected to exceed the average total return of the analyst's</t>
  </si>
  <si>
    <t>industry (or industry team's) coverage universe, 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</si>
  <si>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</si>
  <si>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</si>
  <si>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</si>
  <si>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</si>
  <si>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</si>
  <si>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</si>
  <si>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Underweight (U). The stock's total return is expected to be below the average total return of the</t>
  </si>
  <si>
    <t>analyst's industry (or industry team's) coverage universe, on a risk-adjusted basis, over the next 12-18</t>
  </si>
  <si>
    <t>months.</t>
  </si>
  <si>
    <t>Unless otherwise specified, the time frame for price targets included in Morgan Stanley Research is 12</t>
  </si>
  <si>
    <t>to 18 months.</t>
  </si>
  <si>
    <t>Attractive (A): The analyst expects the performance of his or her industry coverage universe over the</t>
  </si>
  <si>
    <t>next 12-18 months to be attractive vs. the relevant broad market benchmark, as indicated below.</t>
  </si>
  <si>
    <t>In-Line (I): The analyst expects the performance of his or her industry coverage universe over the next</t>
  </si>
  <si>
    <t>12-18 months to be in line with the relevant broad market benchmark, as indicated below.</t>
  </si>
  <si>
    <t>Cautious (C): The analyst views the performance of his or her industry coverage universe over the next</t>
  </si>
  <si>
    <t>12-18 months with caution vs. the relevant broad market benchmark, as indicated below.</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</si>
  <si>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</si>
  <si>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</si>
  <si>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</si>
  <si>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Important disclosures regarding any material conflict of interest that can reasonably be expected to</t>
  </si>
  <si>
    <t>have influenced Morgan Stanley Smith Barney LLC's choice of a third-party research provider or the</t>
  </si>
  <si>
    <t>subject company of a third-party research report, are available on the Morgan Stanley Wealth Management</t>
  </si>
  <si>
    <t>disclosure website at www.morganstanley.com/online/researchdisclosures. For Morgan Stanley specific</t>
  </si>
  <si>
    <t>disclosures, you may refer to https://www.morganstanley.com/eqr/disclosures/webapp/generalresearch.</t>
  </si>
  <si>
    <t>Each Morgan Stanley research report is reviewed and approved on behalf of Morgan Stanley Smith Barney</t>
  </si>
  <si>
    <t>LLC. This review and approval is conducted by the same person who reviews the research report on behalf</t>
  </si>
  <si>
    <t>of Morgan Stanley. This could create a conflict of interest.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</si>
  <si>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</si>
  <si>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</si>
  <si>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</si>
  <si>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</si>
  <si>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</si>
  <si>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</si>
  <si>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</si>
  <si>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</si>
  <si>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</si>
  <si>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</si>
  <si>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</si>
  <si>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</si>
  <si>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</si>
  <si>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</si>
  <si>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</si>
  <si>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</si>
  <si>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</si>
  <si>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</si>
  <si>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</si>
  <si>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</si>
  <si>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</si>
  <si>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</si>
  <si>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</si>
  <si>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</si>
  <si>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</si>
  <si>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</si>
  <si>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</si>
  <si>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</si>
  <si>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</si>
  <si>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</si>
  <si>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 Please use the provided link to review the Terms and</t>
  </si>
  <si>
    <t>Conditions and Most Important Terms and Conditions for Morgan Stanley India Company Private Limited</t>
  </si>
  <si>
    <t>(https://www.morganstanley.com/assets/pdfs/about-us-global-offices/india/Terms_and_conditions.pdf) and</t>
  </si>
  <si>
    <t>the following link to review the audit report</t>
  </si>
  <si>
    <t>(https://www.morganstanley.com/assets/pdfs/about-us-global-offices/india/Research_Audit_Report.pdf).</t>
  </si>
  <si>
    <t>If you do not agree to our Terms of Use and/or if you do not wish to provide your consent to Morgan</t>
  </si>
  <si>
    <t>Stanley processing your personal data or using cookies please do not access our research.</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</si>
  <si>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</si>
  <si>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</si>
  <si>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</si>
  <si>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</si>
  <si>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</si>
  <si>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</si>
  <si>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</si>
  <si>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</si>
  <si>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</si>
  <si>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</si>
  <si>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</si>
  <si>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</si>
  <si>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</si>
  <si>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</si>
  <si>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</si>
  <si>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</si>
  <si>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</si>
  <si>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</si>
  <si>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</si>
  <si>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</si>
  <si>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</si>
  <si>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</si>
  <si>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The "Important Regulatory Disclosures on Subject Companies" section in Morgan Stanley Research lists all</t>
  </si>
  <si>
    <t>companies mentioned where Morgan Stanley owns 1% or more of a class of common equity securities of the</t>
  </si>
  <si>
    <t>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</si>
  <si>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</si>
  <si>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</si>
  <si>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</si>
  <si>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</si>
  <si>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</si>
  <si>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</si>
  <si>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</si>
  <si>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</si>
  <si>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</si>
  <si>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</si>
  <si>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</si>
  <si>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</si>
  <si>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</si>
  <si>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Morgan Stanley Research personnel may participate in company events such as site visits and are</t>
  </si>
  <si>
    <t>generally prohibited from accepting payment by the company of associated expenses unless pre-approved by</t>
  </si>
  <si>
    <t>authorized members of Research management.</t>
  </si>
  <si>
    <t>Morgan Stanley may make investment decisions that are inconsistent with the recommendations or views in</t>
  </si>
  <si>
    <t>this report.</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</si>
  <si>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</si>
  <si>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</si>
  <si>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</si>
  <si>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</si>
  <si>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</si>
  <si>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</si>
  <si>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</si>
  <si>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</si>
  <si>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</si>
  <si>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</si>
  <si>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</si>
  <si>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</si>
  <si>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</si>
  <si>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Certain information in Morgan Stanley Research was sourced by employees of the Shanghai Representative</t>
  </si>
  <si>
    <t>Office of Morgan Stanley Asia Limited for the use of Morgan Stanley Asia Limited.</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</si>
  <si>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</si>
  <si>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</si>
  <si>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</si>
  <si>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</si>
  <si>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</si>
  <si>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</si>
  <si>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</si>
  <si>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</si>
  <si>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Morgan Stanley Research is disseminated in Brazil by Morgan Stanley C.T.V.M. S.A. located at Av.</t>
  </si>
  <si>
    <t>Brigadeiro Faria Lima, 3600, 6th floor, São Paulo - SP, Brazil; and is regulated by the Comissão de</t>
  </si>
  <si>
    <t>Valores Mobiliários; in Mexico by Morgan Stanley México, Casa de Bolsa, S.A. de C.V which is regulated</t>
  </si>
  <si>
    <t>by Comision Nacional Bancaria y de Valores. Paseo de los Tamarindos 90, Torre 1, Col. Bosques de las</t>
  </si>
  <si>
    <t>Lomas Floor 29, 05120 Mexico City; in Japan by Morgan Stanley MUFG Securities Co., Ltd. and, for</t>
  </si>
  <si>
    <t>Commodities related research reports only, Morgan Stanley Capital Group Japan Co., Ltd; in Hong Kong by</t>
  </si>
  <si>
    <t>Morgan Stanley Asia Limited (which accepts responsibility for its contents) and by Morgan Stanley Bank</t>
  </si>
  <si>
    <t>Asia Limited; in Singapore by Morgan Stanley Asia (Singapore) Pte. (Registration number 199206298Z)</t>
  </si>
  <si>
    <t>and/or Morgan Stanley Asia (Singapore) Securities Pte Ltd (Registration number 200008434H), regulated by</t>
  </si>
  <si>
    <t>the Monetary Authority of Singapore (which accepts legal responsibility for its contents and should be</t>
  </si>
  <si>
    <t>contacted with respect to any matters arising from, or in connection with, Morgan Stanley Research) and</t>
  </si>
  <si>
    <t>by Morgan Stanley Bank Asia Limited, Singapore Branch (Registration number T14FC0118J);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</si>
  <si>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</si>
  <si>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</si>
  <si>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</si>
  <si>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</si>
  <si>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</si>
  <si>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</si>
  <si>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having Corporate Identification No (CIN) U22990MH1998PTC115305,</t>
  </si>
  <si>
    <t>regulated by the Securities and Exchange Board of India (“SEBI”) and holder of licenses as a Research</t>
  </si>
  <si>
    <t>Analyst (SEBI Registration No. INH000001105); Stock Broker (SEBI Stock Broker Registration No.</t>
  </si>
  <si>
    <t>INZ000244438), Merchant Banker (SEBI Registration No. INM000011203), and depository participant with</t>
  </si>
  <si>
    <t>National Securities Depository Limited (SEBI Registration No. IN-DP-NSDL-567-2021) having registered</t>
  </si>
  <si>
    <t>office at Altimus, Level 39 &amp; 40, Pandurang Budhkar Marg, Worli, Mumbai 400018, India; Telephone no.</t>
  </si>
  <si>
    <t>+91-22-61181000; Compliance Officer Details: Mr. Tejarshi Hardas, Tel. No.: +91-22-61181000 or Email:</t>
  </si>
  <si>
    <t>tejarshi.hardas@morganstanley.com; Grievance officer details: Mr. Tejarshi Hardas, Tel. No.:</t>
  </si>
  <si>
    <t>+91-22-61181000 or Email: msic-compliance@morganstanley.com. Morgan Stanley India Company Private</t>
  </si>
  <si>
    <t>Limited (MSICPL) may use AI tools in providing research services. All recommendations contained herein</t>
  </si>
  <si>
    <t>are made by the duly qualified research analysts; in Canada by Morgan Stanley Canada Limited; in Germany</t>
  </si>
  <si>
    <t>and the European Economic Area where required by Morgan Stanley Europe S.E., authorised and regulated by</t>
  </si>
  <si>
    <t>Bundesanstalt fuer Finanzdienstleistungsaufsicht (BaFin) under the reference number 149169; in the US by</t>
  </si>
  <si>
    <t>Morgan Stanley &amp; Co. LLC, which accepts responsibility for its contents. Morgan Stanley &amp; Co.</t>
  </si>
  <si>
    <t>International plc, authorized by the Prudential Regulation Authority and regulated by the Financial</t>
  </si>
  <si>
    <t>Conduct Authority and the Prudential Regulation Authority, disseminates in the UK research that it has</t>
  </si>
  <si>
    <t>prepared, and research which has been prepared by any of its affiliates, only to persons who (i) are</t>
  </si>
  <si>
    <t>investment professionals falling within Article 19(5) of the Financial Services and Markets Act 2000</t>
  </si>
  <si>
    <t>(Financial Promotion) Order 2005 (as amended, the “Order”); (ii) are persons who are high net worth</t>
  </si>
  <si>
    <t>entities falling within Article 49(2)(a) to (d) of the Order; or (iii) are persons to whom an invitation</t>
  </si>
  <si>
    <t>or inducement to engage in investment activity (within the meaning of section 21 of the Financial</t>
  </si>
  <si>
    <t>Services and Markets Act 2000, as amended) may otherwise lawfully be communicated or caused to be</t>
  </si>
  <si>
    <t>communicated. RMB Morgan Stanley Proprietary Limited is a member of the JSE Limited and A2X (Pty) Ltd.</t>
  </si>
  <si>
    <t>RMB Morgan Stanley Proprietary Limited is a joint venture owned equally by Morgan Stanley International</t>
  </si>
  <si>
    <t>Holdings Inc. and RMB Investment Advisory (Proprietary) Limited, which is wholly owned by FirstRand</t>
  </si>
  <si>
    <t>Limited. The information in Morgan Stanley Research is being disseminated by Morgan Stanley Saudi</t>
  </si>
  <si>
    <t>Arabia, regulated by the Capital Market Authority in the Kingdom of Saudi Arabia, and is directed at</t>
  </si>
  <si>
    <t>Sophisticated investors only.</t>
  </si>
  <si>
    <t>The information in Morgan Stanley Research is being communicated by Morgan Stanley &amp; Co. International</t>
  </si>
  <si>
    <t>plc (DIFC Branch), regulated by the Dubai Financial Services Authority (the DFSA) or by Morgan Stanley &amp;</t>
  </si>
  <si>
    <t>Co. International plc (ADGM Branch), regulated by the Financial Services Regulatory Authority Abu Dhabi</t>
  </si>
  <si>
    <t>(the FSRA), and is directed at Professional Clients only, as defined by the DFSA or the FSRA,</t>
  </si>
  <si>
    <t>respectively. The financial products or financial services to which this research relates will only be</t>
  </si>
  <si>
    <t>made available to a customer who we are satisfied meets the regulatory criteria of a Professional</t>
  </si>
  <si>
    <t>Client. A distribution of the different MS Research ratings or recommendations, in percentage terms for</t>
  </si>
  <si>
    <t>Investments in each sector covered, is available upon request from your sales representative.</t>
  </si>
  <si>
    <t>plc (QFC Branch), regulated by the Qatar Financial Centre Regulatory Authority (the QFCRA), and is</t>
  </si>
  <si>
    <t>directed at business customers and market counterparties only and is not intended for Retail Customers</t>
  </si>
  <si>
    <t>as defined by the QFCRA.</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</si>
  <si>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</si>
  <si>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</si>
  <si>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</si>
  <si>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</si>
  <si>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</si>
  <si>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</si>
  <si>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</si>
  <si>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</si>
  <si>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</si>
  <si>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</si>
  <si>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</si>
  <si>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Morgan Stanley Research, or any portion thereof may not be reprinted, sold or redistributed without the</t>
  </si>
  <si>
    <t>written consent of Morgan Stanley.</t>
  </si>
  <si>
    <t>Indicators and trackers referenced in Morgan Stanley Research may not be used as, or treated as, a</t>
  </si>
  <si>
    <t>benchmark under Regulation EU 2016/1011, or any other similar framework.</t>
  </si>
  <si>
    <t>The issuers and/or fixed income products recommended or discussed in certain fixed income research</t>
  </si>
  <si>
    <t>reports may not be continuously followed. Accordingly, investors should regard those fixed income</t>
  </si>
  <si>
    <t>research reports as providing stand-alone analysis and should not expect continuing analysis or</t>
  </si>
  <si>
    <t>additional reports relating to such issuers and/or individual fixed income products.</t>
  </si>
  <si>
    <t>Morgan Stanley may hold, from time to time, material financial and commercial interests regarding the</t>
  </si>
  <si>
    <t>company subject to the Research report.</t>
  </si>
  <si>
    <t>Registration granted by SEBI and certification from the National Institute of Securities Markets (NISM)</t>
  </si>
  <si>
    <t>in no way guarantee performance of the intermediary or provide any assurance of returns to investors.</t>
  </si>
  <si>
    <t>Investment in securities market are subject to market risks. Read all the related documents carefully</t>
  </si>
  <si>
    <t>before investing.</t>
  </si>
  <si>
    <t>© Copyright 2026 Morgan Stanley</t>
  </si>
  <si>
    <t>MacroVersion</t>
  </si>
  <si>
    <t>6.10</t>
  </si>
  <si>
    <t>PublishDate</t>
  </si>
  <si>
    <t>02/20/26 11:20</t>
  </si>
  <si>
    <t>Discipline</t>
  </si>
  <si>
    <t>Research</t>
  </si>
  <si>
    <t>ResearchTopic</t>
  </si>
  <si>
    <t>Company</t>
  </si>
  <si>
    <t>DocType</t>
  </si>
  <si>
    <t>Model</t>
  </si>
  <si>
    <t>SubjectCode</t>
  </si>
  <si>
    <t>Description</t>
  </si>
  <si>
    <t>KeepVersions</t>
  </si>
  <si>
    <t>All</t>
  </si>
  <si>
    <t>Rating</t>
  </si>
  <si>
    <t>Overweight / In-Line</t>
  </si>
  <si>
    <t>CurrYearTotalRevenue*</t>
  </si>
  <si>
    <t>CurrYearEPS*</t>
  </si>
  <si>
    <t>NextYearTotalRevenue*</t>
  </si>
  <si>
    <t>NextYearEPS*</t>
  </si>
  <si>
    <t>FollowingYearTotalRevenue*</t>
  </si>
  <si>
    <t>FollowingYearEPS*</t>
  </si>
  <si>
    <t>5YearGrowthRate</t>
  </si>
  <si>
    <t>UpdateReason</t>
  </si>
  <si>
    <t>Regular Update</t>
  </si>
  <si>
    <t>Authors</t>
  </si>
  <si>
    <t>MSA11496</t>
  </si>
  <si>
    <t>Tickers</t>
  </si>
  <si>
    <t>CUSIP</t>
  </si>
  <si>
    <t>RIC</t>
  </si>
  <si>
    <t>SEDOL</t>
  </si>
  <si>
    <t>Current Stock Price</t>
  </si>
  <si>
    <t>5.08</t>
  </si>
  <si>
    <t>Currency</t>
  </si>
  <si>
    <t>PathName</t>
  </si>
  <si>
    <t>L:\USERS\MEDIA\Companies\TLS\Models\TLS_1H26 Result WIP_PT.xlsm</t>
  </si>
  <si>
    <t>Distribution</t>
  </si>
  <si>
    <t>0</t>
  </si>
  <si>
    <t>Deleted</t>
  </si>
  <si>
    <t>NO</t>
  </si>
  <si>
    <t>EmailAlert</t>
  </si>
  <si>
    <t>YES</t>
  </si>
  <si>
    <t>CurrQtrEPS</t>
  </si>
  <si>
    <t>CYEnd</t>
  </si>
  <si>
    <t>CQEnd</t>
  </si>
  <si>
    <t>CurrYearTotalRevenueActual*</t>
  </si>
  <si>
    <t>NextYearTotalRevenueActual*</t>
  </si>
  <si>
    <t>FollowingYearTotalRevenueActual*</t>
  </si>
  <si>
    <t>Multiplier</t>
  </si>
  <si>
    <t>1000000</t>
  </si>
  <si>
    <t>TemplateRegion</t>
  </si>
  <si>
    <t>AsiaPacific</t>
  </si>
  <si>
    <t>ObjectType</t>
  </si>
  <si>
    <t>excel</t>
  </si>
  <si>
    <t>LanguageCode</t>
  </si>
  <si>
    <t>en-US</t>
  </si>
  <si>
    <t>SubmitterUserId</t>
  </si>
  <si>
    <t>sutclang</t>
  </si>
  <si>
    <t>IndustryId</t>
  </si>
  <si>
    <t>1900000852</t>
  </si>
  <si>
    <t>TickerRegion</t>
  </si>
  <si>
    <t>5</t>
  </si>
  <si>
    <t>AdditionalInstructions</t>
  </si>
  <si>
    <t>*Estimated</t>
  </si>
  <si>
    <t>OwnerTeam</t>
  </si>
  <si>
    <t>I888888930</t>
  </si>
  <si>
    <t>[BRO MSA]</t>
  </si>
  <si>
    <t>[DOCDAT 2026-02-20]</t>
  </si>
  <si>
    <t>[DOCTIME 11:20]</t>
  </si>
  <si>
    <t>[PSYM TLS.AX(Reuters) (None)]</t>
  </si>
  <si>
    <t>[COU Australia]</t>
  </si>
  <si>
    <t>[PRODUCT MODEL]</t>
  </si>
  <si>
    <t>[ANA ]</t>
  </si>
  <si>
    <t>[HL TLS.AX Model]</t>
  </si>
  <si>
    <t>[IND Telecommunications]</t>
  </si>
  <si>
    <t>[EMAIL_ALERT YES]</t>
  </si>
  <si>
    <t>[PANA  MSA11496]</t>
  </si>
  <si>
    <t>[DISCIPLINE Company]</t>
  </si>
  <si>
    <t>[SUPPRESSED NO]</t>
  </si>
  <si>
    <t>This workbook contains formulas which intentionally use circular reference calculation. These calculations can be resolved as intended by the originating analyst by applying the following settings in the File &gt;&gt; Options &gt;&gt; Formulas:</t>
  </si>
  <si>
    <t>1) Select the Enable iterative calculation check box</t>
  </si>
  <si>
    <t>2) Set Maximum Iterations = 100</t>
  </si>
  <si>
    <t>3) Set Maximum Change = 0.001</t>
  </si>
  <si>
    <t>Failure to apply these settings can result in incorrect calculation or unexpected termination of your Microsoft Excel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</si>
</sst>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5">
    <numFmt numFmtId="166" formatCode="&quot;$&quot;#,##0.00_);\(&quot;$&quot;#,##0.00\)"/>
    <numFmt numFmtId="167" formatCode="&quot;$&quot;#,##0.00_);[Red]\(&quot;$&quot;#,##0.00\)"/>
    <numFmt numFmtId="170" formatCode="_(* #,##0.00_);_(* \(#,##0.00\);_(* &quot;-&quot;??_);_(@_)"/>
    <numFmt numFmtId="171" formatCode="&quot;A&quot;&quot;$&quot;0.00&quot;ps&quot;"/>
    <numFmt numFmtId="172" formatCode="0.0%"/>
    <numFmt numFmtId="173" formatCode="0.000"/>
    <numFmt numFmtId="174" formatCode="0.0"/>
    <numFmt numFmtId="175" formatCode="_-* #,##0.0_-;\-* #,##0.0_-;_-* &quot;-&quot;??_-;_-@_-"/>
    <numFmt numFmtId="176" formatCode="_-* #,##0_-;\-* #,##0_-;_-* &quot;-&quot;??_-;_-@_-"/>
    <numFmt numFmtId="177" formatCode="#,##0.0"/>
    <numFmt numFmtId="178" formatCode="_(* #,##0_);_(* \(#,##0\);_(* &quot;-&quot;??_);_(@_)"/>
    <numFmt numFmtId="179" formatCode="#,##0.0_);\(#,##0.0\)"/>
    <numFmt numFmtId="181" formatCode="mmm\-yyyy"/>
    <numFmt numFmtId="182" formatCode="0_)"/>
    <numFmt numFmtId="183" formatCode="0%;[Red]\(0%\)"/>
    <numFmt numFmtId="184" formatCode="0.0&quot;x&quot;"/>
    <numFmt numFmtId="185" formatCode="#,##0.0;\-#,##0.0"/>
    <numFmt numFmtId="186" formatCode="_(* #,##0.0_);_(* \(#,##0.0\);_(* &quot;-&quot;??_);_(@_)"/>
    <numFmt numFmtId="187" formatCode="#,##0.000;\-#,##0.000"/>
    <numFmt numFmtId="188" formatCode="_(* #,##0.000_);_(* \(#,##0.000\);_(* &quot;-&quot;??_);_(@_)"/>
    <numFmt numFmtId="190" formatCode="_-* #,##0_-;\(#,##0\);_-* &quot;-&quot;??_-;_-@_-"/>
    <numFmt numFmtId="193" formatCode="_-* #,##0.00_-;\(#,##0.00\);_-* &quot;-&quot;??_-;_-@_-"/>
    <numFmt numFmtId="197" formatCode="#.0&quot;x&quot;"/>
    <numFmt numFmtId="198" formatCode="&quot;$&quot;0.00"/>
    <numFmt numFmtId="199" formatCode="&quot;$&quot;#,##0.00"/>
    <numFmt numFmtId="200" formatCode="&quot;$&quot;#,##0.000"/>
    <numFmt numFmtId="201" formatCode="0&quot;m&quot;"/>
    <numFmt numFmtId="202" formatCode="0.0&quot;m&quot;"/>
    <numFmt numFmtId="203" formatCode="&quot;A$&quot;0&quot;m&quot;"/>
    <numFmt numFmtId="204" formatCode="0;\(0\)"/>
    <numFmt numFmtId="205" formatCode="&quot;A$&quot;0.0&quot;m&quot;"/>
    <numFmt numFmtId="206" formatCode="0.0&quot; x&quot;"/>
    <numFmt numFmtId="207" formatCode="&quot;avg &quot;0.0&quot;x&quot;"/>
    <numFmt numFmtId="208" formatCode="&quot;FY&quot;yy&quot;E&quot;"/>
    <numFmt numFmtId="209" formatCode="&quot;FY&quot;yyyy&quot;A&quot;"/>
    <numFmt numFmtId="213" formatCode="0.000%"/>
    <numFmt numFmtId="214" formatCode="0.0%;[Red]\(0.0%\)"/>
    <numFmt numFmtId="215" formatCode="&quot;$&quot;#,##0"/>
    <numFmt numFmtId="216" formatCode="#,##0.0;[Red]\-#,##0.0"/>
    <numFmt numFmtId="217" formatCode="&quot;US&quot;&quot;$&quot;#,##0.00"/>
    <numFmt numFmtId="218" formatCode="&quot;A&quot;&quot;$&quot;#,##0.00;\-&quot;$&quot;#,##0.00"/>
    <numFmt numFmtId="219" formatCode="0&quot;x&quot;"/>
    <numFmt numFmtId="223" formatCode="_-* #,##0.0_-;\-* #,##0.0_-;_-* &quot;-&quot;?_-;_-@_-"/>
    <numFmt numFmtId="226" formatCode="#0.0%_);\(#0.0%\)"/>
    <numFmt numFmtId="227" formatCode="#0%_);\(#0%\)"/>
    <numFmt numFmtId="234" formatCode="0.0\x"/>
    <numFmt numFmtId="237" formatCode="_ * #,##0.00_ ;_ * \-#,##0.00_ ;_ * &quot;-&quot;??_ ;_ @_ "/>
    <numFmt numFmtId="238" formatCode="#,##0&quot; &quot;;\(#,##0\)"/>
    <numFmt numFmtId="239" formatCode="#,##0.00&quot; &quot;;\(#,##0.00\)"/>
    <numFmt numFmtId="242" formatCode="#,##0_);\(#,##0\);0_);@_)"/>
    <numFmt numFmtId="243" formatCode="#,##0.0&quot; &quot;;\(#,##0.0\)"/>
    <numFmt numFmtId="245" formatCode="#,##0.0_);\(#,##0.0\);0.0_);@_)"/>
    <numFmt numFmtId="246" formatCode="#,##0.0\ \x_);\(#,##0.0\ \x\);"/>
    <numFmt numFmtId="247" formatCode="0.0%_);\(0.0%\)"/>
    <numFmt numFmtId="248" formatCode="&quot;FY&quot;#,##0_);\(#,##0\);0_);@_)"/>
    <numFmt numFmtId="249" formatCode="&quot;FY&quot;#,##0_);\(#,##0\);&quot;FY&quot;00_);@_)"/>
    <numFmt numFmtId="250" formatCode="&quot;FY&quot;0#,##0_);\(#,##0\);&quot;FY&quot;00_);@_)"/>
    <numFmt numFmtId="251" formatCode="&quot;FY&quot;#,##0&quot;E&quot;_);\(#,##0\);0_);@_)"/>
    <numFmt numFmtId="252" formatCode="#,##0.00_);\(#,##0.00\);0.00_);@_)"/>
    <numFmt numFmtId="253" formatCode="0,000&quot;m&quot;"/>
    <numFmt numFmtId="254" formatCode="0,000&quot;m&quot;_;"/>
    <numFmt numFmtId="255" formatCode="&quot;$&quot;#,##0.00_;"/>
    <numFmt numFmtId="256" formatCode="&quot;$&quot;#,##0.00&quot; &quot;;\(#,##0.00\)"/>
    <numFmt numFmtId="257" formatCode="&quot;$&quot;#,##0.0&quot; &quot;;\(#,##0.0\)"/>
    <numFmt numFmtId="258" formatCode="&quot;$&quot;#,##0&quot; &quot;;\(#,##0\)"/>
    <numFmt numFmtId="259" formatCode="&quot;FY&quot;##,#00_);\(#,##0\);0_);@_)"/>
    <numFmt numFmtId="260" formatCode="&quot;FY&quot;##,#00_);\(#,##0\);&quot;FY&quot;00_);@_)"/>
    <numFmt numFmtId="261" formatCode="&quot;A$&quot;#,###&quot;m&quot;"/>
    <numFmt numFmtId="262" formatCode="&quot;Current price&quot;\ &quot;$&quot;#,##0.00_);\(&quot;$&quot;#,##0.00\)"/>
    <numFmt numFmtId="266" formatCode="#,##0.000_);\(#,##0.000\);0.000_);@_)"/>
    <numFmt numFmtId="267" formatCode="&quot;$&quot;0.000"/>
    <numFmt numFmtId="268" formatCode="&quot;at  A$&quot;0.00&quot;/share&quot;"/>
    <numFmt numFmtId="271" formatCode="#,##0.0;[Red]\(#,##0.0\)"/>
    <numFmt numFmtId="276" formatCode="#,##0.00;[Red]\(#,##0.00\)"/>
    <numFmt numFmtId="277" formatCode="#,##0\ \x_);\(#,##0\ \x\);"/>
  </numFmts>
  <fonts count="119">
    <font>
      <sz val="10"/>
      <color rgb="FF000000"/>
      <name val="Calibri"/>
      <family val="2"/>
    </font>
    <font>
      <sz val="11"/>
      <color theme="1"/>
      <name val="Calibri"/>
      <family val="2"/>
      <scheme val="minor"/>
    </font>
    <font>
      <sz val="10"/>
      <name val="Arial"/>
      <family val="2"/>
    </font>
    <font>
      <sz val="10"/>
      <name val="Arial"/>
      <family val="2"/>
    </font>
    <font>
      <sz val="10"/>
      <name val="Helvetica"/>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8"/>
      <name val="Arial"/>
      <family val="2"/>
    </font>
    <font>
      <b/>
      <sz val="8"/>
      <color indexed="81"/>
      <name val="Tahoma"/>
      <family val="2"/>
    </font>
    <font>
      <sz val="8"/>
      <color indexed="81"/>
      <name val="Tahoma"/>
      <family val="2"/>
    </font>
    <font>
      <sz val="12"/>
      <name val="뼻뮝"/>
      <family val="1"/>
      <charset val="129"/>
    </font>
    <font>
      <sz val="9"/>
      <color indexed="81"/>
      <name val="Tahoma"/>
      <family val="2"/>
    </font>
    <font>
      <b/>
      <sz val="9"/>
      <color indexed="81"/>
      <name val="Tahoma"/>
      <family val="2"/>
    </font>
    <font>
      <sz val="10"/>
      <name val="Calibri"/>
      <family val="2"/>
    </font>
    <font>
      <b/>
      <sz val="10"/>
      <name val="Calibri"/>
      <family val="2"/>
    </font>
    <font>
      <sz val="10"/>
      <color indexed="12"/>
      <name val="Calibri"/>
      <family val="2"/>
    </font>
    <font>
      <b/>
      <u/>
      <sz val="10"/>
      <name val="Calibri"/>
      <family val="2"/>
    </font>
    <font>
      <sz val="10"/>
      <color indexed="8"/>
      <name val="Calibri"/>
      <family val="2"/>
    </font>
    <font>
      <sz val="10"/>
      <color indexed="10"/>
      <name val="Calibri"/>
      <family val="2"/>
    </font>
    <font>
      <sz val="10"/>
      <name val="Helv"/>
      <charset val="204"/>
    </font>
    <font>
      <sz val="12"/>
      <name val="바탕체"/>
      <family val="3"/>
    </font>
    <font>
      <sz val="10"/>
      <name val="Wingdings"/>
      <charset val="2"/>
    </font>
    <font>
      <sz val="11"/>
      <name val="Calibri"/>
      <family val="2"/>
    </font>
    <font>
      <b/>
      <sz val="14"/>
      <color indexed="9"/>
      <name val="Calibri"/>
      <family val="2"/>
    </font>
    <font>
      <sz val="10"/>
      <name val="Calibri"/>
      <family val="2"/>
    </font>
    <font>
      <b/>
      <sz val="10"/>
      <name val="Calibri"/>
      <family val="2"/>
    </font>
    <font>
      <sz val="10"/>
      <color indexed="12"/>
      <name val="Calibri"/>
      <family val="2"/>
    </font>
    <font>
      <b/>
      <sz val="14"/>
      <name val="Calibri"/>
      <family val="2"/>
    </font>
    <font>
      <sz val="10"/>
      <color indexed="8"/>
      <name val="Calibri"/>
      <family val="2"/>
    </font>
    <font>
      <b/>
      <sz val="11"/>
      <name val="Calibri"/>
      <family val="2"/>
    </font>
    <font>
      <b/>
      <sz val="10"/>
      <color indexed="10"/>
      <name val="Calibri"/>
      <family val="2"/>
    </font>
    <font>
      <b/>
      <sz val="11"/>
      <color indexed="9"/>
      <name val="Calibri"/>
      <family val="2"/>
    </font>
    <font>
      <b/>
      <sz val="10"/>
      <color indexed="8"/>
      <name val="Calibri"/>
      <family val="2"/>
    </font>
    <font>
      <sz val="11"/>
      <color indexed="9"/>
      <name val="Calibri"/>
      <family val="2"/>
    </font>
    <font>
      <b/>
      <sz val="10"/>
      <color indexed="9"/>
      <name val="Calibri"/>
      <family val="2"/>
    </font>
    <font>
      <sz val="10"/>
      <color indexed="10"/>
      <name val="Calibri"/>
      <family val="2"/>
    </font>
    <font>
      <i/>
      <sz val="10"/>
      <name val="Calibri"/>
      <family val="2"/>
    </font>
    <font>
      <b/>
      <sz val="12"/>
      <name val="Calibri"/>
      <family val="2"/>
    </font>
    <font>
      <sz val="10"/>
      <color indexed="10"/>
      <name val="Calibri"/>
      <family val="2"/>
    </font>
    <font>
      <b/>
      <i/>
      <sz val="10"/>
      <name val="Calibri"/>
      <family val="2"/>
    </font>
    <font>
      <b/>
      <sz val="10"/>
      <color indexed="12"/>
      <name val="Calibri"/>
      <family val="2"/>
    </font>
    <font>
      <sz val="10"/>
      <color indexed="40"/>
      <name val="Calibri"/>
      <family val="2"/>
    </font>
    <font>
      <i/>
      <sz val="10"/>
      <color indexed="10"/>
      <name val="Calibri"/>
      <family val="2"/>
    </font>
    <font>
      <sz val="10"/>
      <color indexed="62"/>
      <name val="Calibri"/>
      <family val="2"/>
    </font>
    <font>
      <b/>
      <sz val="10"/>
      <color indexed="62"/>
      <name val="Calibri"/>
      <family val="2"/>
    </font>
    <font>
      <b/>
      <sz val="10"/>
      <color indexed="8"/>
      <name val="Calibri"/>
      <family val="2"/>
    </font>
    <font>
      <b/>
      <sz val="10"/>
      <color indexed="40"/>
      <name val="Calibri"/>
      <family val="2"/>
    </font>
    <font>
      <i/>
      <sz val="10"/>
      <color indexed="17"/>
      <name val="Calibri"/>
      <family val="2"/>
    </font>
    <font>
      <b/>
      <sz val="10"/>
      <color indexed="10"/>
      <name val="Calibri"/>
      <family val="2"/>
    </font>
    <font>
      <b/>
      <sz val="12"/>
      <color indexed="56"/>
      <name val="Calibri"/>
      <family val="2"/>
    </font>
    <font>
      <sz val="12"/>
      <color indexed="48"/>
      <name val="Calibri"/>
      <family val="2"/>
    </font>
    <font>
      <sz val="10"/>
      <color indexed="48"/>
      <name val="Calibri"/>
      <family val="2"/>
    </font>
    <font>
      <sz val="10"/>
      <color indexed="9"/>
      <name val="Calibri"/>
      <family val="2"/>
    </font>
    <font>
      <b/>
      <sz val="12"/>
      <color indexed="16"/>
      <name val="Calibri"/>
      <family val="2"/>
    </font>
    <font>
      <sz val="11"/>
      <color indexed="8"/>
      <name val="Calibri"/>
      <family val="2"/>
    </font>
    <font>
      <sz val="10"/>
      <color indexed="8"/>
      <name val="Calibri"/>
      <family val="2"/>
    </font>
    <font>
      <b/>
      <sz val="11"/>
      <color indexed="16"/>
      <name val="Calibri"/>
      <family val="2"/>
    </font>
    <font>
      <sz val="10"/>
      <color indexed="20"/>
      <name val="Calibri"/>
      <family val="2"/>
    </font>
    <font>
      <b/>
      <sz val="10"/>
      <color indexed="8"/>
      <name val="Calibri"/>
      <family val="2"/>
    </font>
    <font>
      <b/>
      <sz val="10"/>
      <color indexed="9"/>
      <name val="Calibri"/>
      <family val="2"/>
    </font>
    <font>
      <sz val="10"/>
      <name val="Calibri"/>
      <family val="2"/>
    </font>
    <font>
      <b/>
      <sz val="10"/>
      <name val="Calibri"/>
      <family val="2"/>
    </font>
    <font>
      <b/>
      <sz val="11"/>
      <name val="Calibri"/>
      <family val="2"/>
    </font>
    <font>
      <b/>
      <sz val="18"/>
      <color indexed="56"/>
      <name val="Calibri"/>
      <family val="2"/>
    </font>
    <font>
      <b/>
      <sz val="14"/>
      <color indexed="23"/>
      <name val="Calibri"/>
      <family val="2"/>
    </font>
    <font>
      <sz val="10"/>
      <color indexed="9"/>
      <name val="Calibri"/>
      <family val="2"/>
    </font>
    <font>
      <sz val="10"/>
      <color indexed="10"/>
      <name val="Calibri"/>
      <family val="2"/>
    </font>
    <font>
      <u/>
      <sz val="11"/>
      <color indexed="24"/>
      <name val="Calibri"/>
      <family val="2"/>
    </font>
    <font>
      <sz val="11"/>
      <color indexed="8"/>
      <name val="Calibri"/>
      <family val="2"/>
    </font>
    <font>
      <sz val="10"/>
      <color indexed="24"/>
      <name val="Calibri"/>
      <family val="2"/>
    </font>
    <font>
      <sz val="10"/>
      <color indexed="58"/>
      <name val="Calibri"/>
      <family val="2"/>
    </font>
    <font>
      <b/>
      <sz val="10"/>
      <color indexed="8"/>
      <name val="Calibri"/>
      <family val="2"/>
    </font>
    <font>
      <b/>
      <sz val="10"/>
      <color indexed="58"/>
      <name val="Calibri"/>
      <family val="2"/>
    </font>
    <font>
      <b/>
      <sz val="10"/>
      <color indexed="9"/>
      <name val="Calibri"/>
      <family val="2"/>
    </font>
    <font>
      <b/>
      <sz val="12"/>
      <color indexed="38"/>
      <name val="Calibri"/>
      <family val="2"/>
    </font>
    <font>
      <sz val="10"/>
      <color indexed="9"/>
      <name val="Calibri"/>
      <family val="2"/>
    </font>
    <font>
      <b/>
      <sz val="18"/>
      <color indexed="9"/>
      <name val="Calibri"/>
      <family val="2"/>
    </font>
    <font>
      <b/>
      <sz val="14"/>
      <color indexed="9"/>
      <name val="Calibri"/>
      <family val="2"/>
    </font>
    <font>
      <b/>
      <sz val="12"/>
      <color indexed="9"/>
      <name val="Calibri"/>
      <family val="2"/>
    </font>
    <font>
      <b/>
      <sz val="11"/>
      <color indexed="9"/>
      <name val="Calibri"/>
      <family val="2"/>
    </font>
    <font>
      <sz val="12"/>
      <color indexed="9"/>
      <name val="Calibri"/>
      <family val="2"/>
    </font>
    <font>
      <sz val="11"/>
      <color indexed="9"/>
      <name val="Calibri"/>
      <family val="2"/>
    </font>
    <font>
      <sz val="10"/>
      <color theme="1"/>
      <name val="Calibri"/>
      <family val="2"/>
    </font>
    <font>
      <sz val="11"/>
      <color theme="1"/>
      <name val="Calibri"/>
      <family val="2"/>
      <scheme val="minor"/>
    </font>
    <font>
      <b/>
      <sz val="14"/>
      <color theme="0"/>
      <name val="Calibri"/>
      <family val="2"/>
      <scheme val="minor"/>
    </font>
    <font>
      <b/>
      <sz val="11"/>
      <color theme="3"/>
      <name val="Calibri"/>
      <family val="2"/>
      <scheme val="minor"/>
    </font>
    <font>
      <u/>
      <sz val="11"/>
      <color indexed="24"/>
      <name val="Calibri"/>
      <family val="2"/>
      <scheme val="minor"/>
    </font>
    <font>
      <sz val="10"/>
      <color indexed="24"/>
      <name val="Calibri"/>
      <family val="2"/>
      <scheme val="minor"/>
    </font>
    <font>
      <b/>
      <sz val="10"/>
      <color theme="1"/>
      <name val="Calibri"/>
      <family val="2"/>
    </font>
    <font>
      <sz val="10"/>
      <color rgb="FF0000FF"/>
      <name val="Calibri"/>
      <family val="2"/>
    </font>
    <font>
      <b/>
      <sz val="10"/>
      <color rgb="FF0000FF"/>
      <name val="Calibri"/>
      <family val="2"/>
    </font>
    <font>
      <sz val="10"/>
      <color rgb="FF0000FF"/>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12"/>
      <color rgb="FFC00000"/>
      <name val="Calibri"/>
      <family val="2"/>
    </font>
    <font>
      <sz val="10"/>
      <color theme="1"/>
      <name val="Arial"/>
      <family val="2"/>
    </font>
    <font>
      <b/>
      <sz val="10"/>
      <color theme="0"/>
      <name val="Calibri"/>
      <family val="2"/>
    </font>
    <font>
      <i/>
      <sz val="10"/>
      <color rgb="FF0000FF"/>
      <name val="Calibri"/>
      <family val="2"/>
    </font>
    <font>
      <b/>
      <sz val="10"/>
      <color rgb="FFC00000"/>
      <name val="Calibri"/>
      <family val="2"/>
    </font>
    <font>
      <b/>
      <sz val="10"/>
      <color theme="0"/>
      <name val="Calibri"/>
      <family val="2"/>
      <scheme val="minor"/>
    </font>
    <font>
      <sz val="10"/>
      <color theme="1"/>
      <name val="Calibri"/>
      <family val="2"/>
      <scheme val="minor"/>
    </font>
    <font>
      <sz val="18"/>
      <color theme="3"/>
      <name val="Cambria"/>
      <family val="2"/>
      <scheme val="major"/>
    </font>
    <font>
      <sz val="11"/>
      <color rgb="FF006100"/>
      <name val="Calibri"/>
      <family val="2"/>
      <scheme val="minor"/>
    </font>
    <font>
      <sz val="11"/>
      <color rgb="FF9C0006"/>
      <name val="Calibri"/>
      <family val="2"/>
      <scheme val="minor"/>
    </font>
    <font>
      <sz val="11"/>
      <color rgb="FF9C57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color rgb="FF000000"/>
      <name val="Arial"/>
      <family val="2"/>
    </font>
    <font>
      <i/>
      <sz val="10"/>
      <color rgb="FF000000"/>
      <name val="Arial"/>
      <family val="2"/>
    </font>
    <font>
      <b/>
      <sz val="12"/>
      <color rgb="FF000080"/>
      <name val="Arial"/>
      <family val="2"/>
    </font>
    <font>
      <sz val="14"/>
      <color rgb="FF000000"/>
      <name val="Arial"/>
      <family val="2"/>
    </font>
    <font>
      <b/>
      <u/>
      <sz val="14"/>
      <color rgb="FFFF0000"/>
      <name val="Arial"/>
      <family val="2"/>
    </font>
  </fonts>
  <fills count="53">
    <fill>
      <patternFill patternType="none"/>
    </fill>
    <fill>
      <patternFill patternType="gray125"/>
    </fill>
    <fill>
      <patternFill patternType="solid">
        <fgColor indexed="43"/>
        <bgColor indexed="64"/>
      </patternFill>
    </fill>
    <fill>
      <patternFill patternType="solid">
        <fgColor indexed="24"/>
        <bgColor indexed="64"/>
      </patternFill>
    </fill>
    <fill>
      <patternFill patternType="solid">
        <fgColor indexed="41"/>
        <bgColor indexed="64"/>
      </patternFill>
    </fill>
    <fill>
      <patternFill patternType="solid">
        <fgColor indexed="22"/>
        <bgColor indexed="64"/>
      </patternFill>
    </fill>
    <fill>
      <patternFill patternType="solid">
        <fgColor indexed="13"/>
        <bgColor indexed="64"/>
      </patternFill>
    </fill>
    <fill>
      <patternFill patternType="solid">
        <fgColor indexed="60"/>
        <bgColor indexed="64"/>
      </patternFill>
    </fill>
    <fill>
      <patternFill patternType="solid">
        <fgColor indexed="55"/>
        <bgColor indexed="64"/>
      </patternFill>
    </fill>
    <fill>
      <patternFill patternType="solid">
        <fgColor indexed="53"/>
        <bgColor indexed="64"/>
      </patternFill>
    </fill>
    <fill>
      <patternFill patternType="solid">
        <fgColor indexed="56"/>
        <bgColor indexed="64"/>
      </patternFill>
    </fill>
    <fill>
      <patternFill patternType="solid">
        <fgColor theme="0"/>
        <bgColor indexed="64"/>
      </patternFill>
    </fill>
    <fill>
      <patternFill patternType="solid">
        <fgColor rgb="FFFFFF99"/>
        <bgColor indexed="64"/>
      </patternFill>
    </fill>
    <fill>
      <patternFill patternType="solid">
        <fgColor rgb="FFFFFFCC"/>
        <bgColor indexed="64"/>
      </patternFill>
    </fill>
    <fill>
      <patternFill patternType="solid">
        <fgColor theme="3"/>
        <bgColor indexed="64"/>
      </patternFill>
    </fill>
    <fill>
      <patternFill patternType="solid">
        <fgColor theme="8" tint="0.79998168889431442"/>
        <bgColor indexed="64"/>
      </patternFill>
    </fill>
    <fill>
      <patternFill patternType="solid">
        <fgColor rgb="FF00B050"/>
        <bgColor indexed="64"/>
      </patternFill>
    </fill>
    <fill>
      <patternFill patternType="solid">
        <fgColor rgb="FF00206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rgb="FFFFFF00"/>
        <bgColor indexed="64"/>
      </patternFill>
    </fill>
    <fill>
      <patternFill patternType="solid">
        <fgColor indexed="65"/>
        <bgColor indexed="64"/>
      </patternFill>
    </fill>
  </fills>
  <borders count="39">
    <border>
      <left/>
      <right/>
      <top/>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right/>
      <top/>
      <bottom style="thin">
        <color indexed="8"/>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style="thin">
        <color indexed="64"/>
      </left>
      <right/>
      <top style="thin">
        <color indexed="64"/>
      </top>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48"/>
      </left>
      <right/>
      <top style="thin">
        <color indexed="48"/>
      </top>
      <bottom style="thin">
        <color indexed="48"/>
      </bottom>
      <diagonal/>
    </border>
    <border>
      <left/>
      <right/>
      <top style="thin">
        <color indexed="48"/>
      </top>
      <bottom style="thin">
        <color indexed="48"/>
      </bottom>
      <diagonal/>
    </border>
    <border>
      <left/>
      <right style="thin">
        <color indexed="48"/>
      </right>
      <top style="thin">
        <color indexed="48"/>
      </top>
      <bottom style="thin">
        <color indexed="48"/>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83">
    <xf numFmtId="245" fontId="0" fillId="0" borderId="0" applyNumberFormat="0"/>
    <xf numFmtId="0" fontId="2" fillId="0" borderId="0" applyFont="0" applyFill="0" applyBorder="0" applyAlignment="0" applyProtection="0"/>
    <xf numFmtId="0" fontId="3" fillId="0" borderId="0"/>
    <xf numFmtId="0" fontId="4" fillId="0" borderId="0"/>
    <xf numFmtId="0" fontId="22" fillId="0" borderId="0"/>
    <xf numFmtId="0" fontId="3" fillId="0" borderId="0"/>
    <xf numFmtId="0" fontId="3" fillId="0" borderId="0"/>
    <xf numFmtId="0" fontId="2" fillId="0" borderId="0"/>
    <xf numFmtId="0" fontId="3" fillId="0" borderId="0"/>
    <xf numFmtId="0" fontId="3" fillId="0" borderId="0" applyFill="0" applyAlignment="0">
      <protection locked="0"/>
    </xf>
    <xf numFmtId="0" fontId="5" fillId="0" borderId="0"/>
    <xf numFmtId="0" fontId="5" fillId="0" borderId="0"/>
    <xf numFmtId="182" fontId="5" fillId="0" borderId="0"/>
    <xf numFmtId="0" fontId="72" fillId="2" borderId="31" applyNumberFormat="0" applyAlignment="0" applyProtection="0"/>
    <xf numFmtId="0" fontId="6" fillId="0" borderId="0"/>
    <xf numFmtId="170" fontId="86" fillId="0" borderId="0" applyFont="0" applyFill="0" applyBorder="0" applyAlignment="0" applyProtection="0"/>
    <xf numFmtId="170" fontId="86" fillId="0" borderId="0" applyFont="0" applyFill="0" applyBorder="0" applyAlignment="0" applyProtection="0"/>
    <xf numFmtId="245" fontId="72" fillId="0" borderId="0" applyNumberFormat="0" applyFill="0" applyBorder="0" applyAlignment="0" applyProtection="0"/>
    <xf numFmtId="245" fontId="87" fillId="3" borderId="0" applyNumberFormat="0" applyAlignment="0" applyProtection="0">
      <alignment vertical="center"/>
    </xf>
    <xf numFmtId="245" fontId="88" fillId="4" borderId="1" applyNumberFormat="0" applyAlignment="0" applyProtection="0"/>
    <xf numFmtId="245" fontId="59" fillId="0" borderId="0" applyNumberFormat="0" applyFill="0" applyBorder="0" applyAlignment="0" applyProtection="0"/>
    <xf numFmtId="0" fontId="70" fillId="0" borderId="0" applyNumberFormat="0" applyFill="0" applyBorder="0" applyAlignment="0" applyProtection="0"/>
    <xf numFmtId="0" fontId="89" fillId="0" borderId="0" applyNumberFormat="0" applyFill="0" applyBorder="0" applyAlignment="0" applyProtection="0"/>
    <xf numFmtId="246" fontId="90" fillId="2" borderId="32" applyNumberFormat="0" applyAlignment="0">
      <protection locked="0"/>
    </xf>
    <xf numFmtId="245" fontId="73" fillId="0" borderId="0" applyNumberFormat="0" applyFill="0" applyBorder="0" applyAlignment="0" applyProtection="0"/>
    <xf numFmtId="237" fontId="3" fillId="0" borderId="0" applyFont="0" applyFill="0" applyBorder="0" applyAlignment="0" applyProtection="0"/>
    <xf numFmtId="0" fontId="3" fillId="0" borderId="0" applyFont="0" applyFill="0" applyBorder="0" applyAlignment="0" applyProtection="0"/>
    <xf numFmtId="246" fontId="85" fillId="0" borderId="0" applyFill="0" applyBorder="0" applyAlignment="0" applyProtection="0"/>
    <xf numFmtId="246" fontId="58" fillId="0" borderId="0" applyFont="0" applyFill="0" applyBorder="0" applyAlignment="0" applyProtection="0"/>
    <xf numFmtId="245" fontId="58" fillId="0" borderId="0" applyNumberFormat="0" applyFont="0" applyFill="0" applyBorder="0" applyProtection="0"/>
    <xf numFmtId="0" fontId="86" fillId="0" borderId="0"/>
    <xf numFmtId="0" fontId="86" fillId="0" borderId="0"/>
    <xf numFmtId="245" fontId="60" fillId="0" borderId="0" applyNumberFormat="0" applyFill="0" applyBorder="0" applyAlignment="0" applyProtection="0"/>
    <xf numFmtId="0" fontId="7" fillId="0" borderId="0">
      <alignment vertical="center"/>
    </xf>
    <xf numFmtId="9" fontId="71" fillId="0" borderId="0" applyFont="0" applyFill="0" applyBorder="0" applyAlignment="0" applyProtection="0"/>
    <xf numFmtId="9" fontId="57" fillId="0" borderId="0" applyFont="0" applyFill="0" applyBorder="0" applyAlignment="0" applyProtection="0"/>
    <xf numFmtId="247" fontId="85" fillId="0" borderId="0" applyFill="0" applyBorder="0" applyAlignment="0" applyProtection="0"/>
    <xf numFmtId="247" fontId="58" fillId="0" borderId="0" applyFont="0" applyFill="0" applyBorder="0" applyAlignment="0" applyProtection="0"/>
    <xf numFmtId="179" fontId="8" fillId="0" borderId="0"/>
    <xf numFmtId="0" fontId="8" fillId="0" borderId="0"/>
    <xf numFmtId="0" fontId="8" fillId="0" borderId="3">
      <alignment horizontal="centerContinuous"/>
    </xf>
    <xf numFmtId="0" fontId="9" fillId="0" borderId="3"/>
    <xf numFmtId="0" fontId="13" fillId="0" borderId="0"/>
    <xf numFmtId="0" fontId="23" fillId="0" borderId="0"/>
    <xf numFmtId="0" fontId="105" fillId="0" borderId="0" applyNumberFormat="0" applyFill="0" applyBorder="0" applyAlignment="0" applyProtection="0"/>
    <xf numFmtId="0" fontId="88" fillId="0" borderId="33" applyNumberFormat="0" applyFill="0" applyAlignment="0" applyProtection="0"/>
    <xf numFmtId="0" fontId="88" fillId="0" borderId="0" applyNumberFormat="0" applyFill="0" applyBorder="0" applyAlignment="0" applyProtection="0"/>
    <xf numFmtId="0" fontId="106" fillId="20" borderId="0" applyNumberFormat="0" applyBorder="0" applyAlignment="0" applyProtection="0"/>
    <xf numFmtId="0" fontId="107" fillId="21" borderId="0" applyNumberFormat="0" applyBorder="0" applyAlignment="0" applyProtection="0"/>
    <xf numFmtId="0" fontId="108" fillId="22" borderId="0" applyNumberFormat="0" applyBorder="0" applyAlignment="0" applyProtection="0"/>
    <xf numFmtId="0" fontId="109" fillId="23" borderId="34" applyNumberFormat="0" applyAlignment="0" applyProtection="0"/>
    <xf numFmtId="0" fontId="110" fillId="23" borderId="35" applyNumberFormat="0" applyAlignment="0" applyProtection="0"/>
    <xf numFmtId="0" fontId="111" fillId="0" borderId="36" applyNumberFormat="0" applyFill="0" applyAlignment="0" applyProtection="0"/>
    <xf numFmtId="0" fontId="95" fillId="24" borderId="37" applyNumberFormat="0" applyAlignment="0" applyProtection="0"/>
    <xf numFmtId="0" fontId="112" fillId="0" borderId="0" applyNumberFormat="0" applyFill="0" applyBorder="0" applyAlignment="0" applyProtection="0"/>
    <xf numFmtId="0" fontId="85" fillId="25" borderId="31" applyNumberFormat="0" applyFont="0" applyAlignment="0" applyProtection="0"/>
    <xf numFmtId="0" fontId="113" fillId="0" borderId="0" applyNumberFormat="0" applyFill="0" applyBorder="0" applyAlignment="0" applyProtection="0"/>
    <xf numFmtId="0" fontId="97" fillId="0" borderId="38" applyNumberFormat="0" applyFill="0" applyAlignment="0" applyProtection="0"/>
    <xf numFmtId="0" fontId="96" fillId="26" borderId="0" applyNumberFormat="0" applyBorder="0" applyAlignment="0" applyProtection="0"/>
    <xf numFmtId="0" fontId="86" fillId="27" borderId="0" applyNumberFormat="0" applyBorder="0" applyAlignment="0" applyProtection="0"/>
    <xf numFmtId="0" fontId="86" fillId="28" borderId="0" applyNumberFormat="0" applyBorder="0" applyAlignment="0" applyProtection="0"/>
    <xf numFmtId="0" fontId="86" fillId="29" borderId="0" applyNumberFormat="0" applyBorder="0" applyAlignment="0" applyProtection="0"/>
    <xf numFmtId="0" fontId="96" fillId="30" borderId="0" applyNumberFormat="0" applyBorder="0" applyAlignment="0" applyProtection="0"/>
    <xf numFmtId="0" fontId="86" fillId="31" borderId="0" applyNumberFormat="0" applyBorder="0" applyAlignment="0" applyProtection="0"/>
    <xf numFmtId="0" fontId="86" fillId="32" borderId="0" applyNumberFormat="0" applyBorder="0" applyAlignment="0" applyProtection="0"/>
    <xf numFmtId="0" fontId="86" fillId="33" borderId="0" applyNumberFormat="0" applyBorder="0" applyAlignment="0" applyProtection="0"/>
    <xf numFmtId="0" fontId="96" fillId="34" borderId="0" applyNumberFormat="0" applyBorder="0" applyAlignment="0" applyProtection="0"/>
    <xf numFmtId="0" fontId="86" fillId="35" borderId="0" applyNumberFormat="0" applyBorder="0" applyAlignment="0" applyProtection="0"/>
    <xf numFmtId="0" fontId="86" fillId="36" borderId="0" applyNumberFormat="0" applyBorder="0" applyAlignment="0" applyProtection="0"/>
    <xf numFmtId="0" fontId="86" fillId="37" borderId="0" applyNumberFormat="0" applyBorder="0" applyAlignment="0" applyProtection="0"/>
    <xf numFmtId="0" fontId="96" fillId="38" borderId="0" applyNumberFormat="0" applyBorder="0" applyAlignment="0" applyProtection="0"/>
    <xf numFmtId="0" fontId="86" fillId="39" borderId="0" applyNumberFormat="0" applyBorder="0" applyAlignment="0" applyProtection="0"/>
    <xf numFmtId="0" fontId="86" fillId="40" borderId="0" applyNumberFormat="0" applyBorder="0" applyAlignment="0" applyProtection="0"/>
    <xf numFmtId="0" fontId="86" fillId="41" borderId="0" applyNumberFormat="0" applyBorder="0" applyAlignment="0" applyProtection="0"/>
    <xf numFmtId="0" fontId="96" fillId="42" borderId="0" applyNumberFormat="0" applyBorder="0" applyAlignment="0" applyProtection="0"/>
    <xf numFmtId="0" fontId="86" fillId="43" borderId="0" applyNumberFormat="0" applyBorder="0" applyAlignment="0" applyProtection="0"/>
    <xf numFmtId="0" fontId="86" fillId="44" borderId="0" applyNumberFormat="0" applyBorder="0" applyAlignment="0" applyProtection="0"/>
    <xf numFmtId="0" fontId="86" fillId="45" borderId="0" applyNumberFormat="0" applyBorder="0" applyAlignment="0" applyProtection="0"/>
    <xf numFmtId="0" fontId="96" fillId="46" borderId="0" applyNumberFormat="0" applyBorder="0" applyAlignment="0" applyProtection="0"/>
    <xf numFmtId="0" fontId="86" fillId="47" borderId="0" applyNumberFormat="0" applyBorder="0" applyAlignment="0" applyProtection="0"/>
    <xf numFmtId="0" fontId="86" fillId="48" borderId="0" applyNumberFormat="0" applyBorder="0" applyAlignment="0" applyProtection="0"/>
    <xf numFmtId="0" fontId="86" fillId="49" borderId="0" applyNumberFormat="0" applyBorder="0" applyAlignment="0" applyProtection="0"/>
    <xf numFmtId="0" fontId="1" fillId="0" borderId="0"/>
  </cellStyleXfs>
  <cellXfs count="1227">
    <xf numFmtId="245" fontId="0" fillId="0" borderId="0" xfId="0"/>
    <xf numFmtId="170" fontId="27" fillId="0" borderId="0" xfId="0" applyNumberFormat="1" applyFont="1"/>
    <xf numFmtId="245" fontId="27" fillId="0" borderId="0" xfId="0" applyFont="1"/>
    <xf numFmtId="174" fontId="27" fillId="0" borderId="0" xfId="0" applyNumberFormat="1" applyFont="1"/>
    <xf numFmtId="174" fontId="28" fillId="0" borderId="0" xfId="0" applyNumberFormat="1" applyFont="1"/>
    <xf numFmtId="9" fontId="27" fillId="0" borderId="0" xfId="0" applyNumberFormat="1" applyFont="1"/>
    <xf numFmtId="245" fontId="28" fillId="0" borderId="0" xfId="0" applyFont="1"/>
    <xf numFmtId="245" fontId="27" fillId="0" borderId="0" xfId="0" applyFont="1" applyAlignment="1">
      <alignment horizontal="right"/>
    </xf>
    <xf numFmtId="245" fontId="16" fillId="0" borderId="0" xfId="0" applyFont="1"/>
    <xf numFmtId="245" fontId="17" fillId="0" borderId="0" xfId="0" applyFont="1"/>
    <xf numFmtId="174" fontId="16" fillId="0" borderId="0" xfId="0" applyNumberFormat="1" applyFont="1"/>
    <xf numFmtId="245" fontId="16" fillId="0" borderId="0" xfId="0" applyFont="1" applyAlignment="1">
      <alignment horizontal="right"/>
    </xf>
    <xf numFmtId="174" fontId="16" fillId="0" borderId="0" xfId="0" applyNumberFormat="1" applyFont="1" applyAlignment="1">
      <alignment horizontal="right"/>
    </xf>
    <xf numFmtId="245" fontId="17" fillId="0" borderId="6" xfId="0" applyFont="1" applyBorder="1" applyAlignment="1">
      <alignment horizontal="center"/>
    </xf>
    <xf numFmtId="245" fontId="16" fillId="0" borderId="0" xfId="0" applyFont="1" applyAlignment="1">
      <alignment horizontal="center"/>
    </xf>
    <xf numFmtId="245" fontId="32" fillId="0" borderId="0" xfId="0" applyFont="1"/>
    <xf numFmtId="245" fontId="32" fillId="0" borderId="7" xfId="0" applyFont="1" applyBorder="1"/>
    <xf numFmtId="245" fontId="35" fillId="0" borderId="0" xfId="0" applyFont="1"/>
    <xf numFmtId="245" fontId="27" fillId="0" borderId="0" xfId="0" applyFont="1" applyAlignment="1">
      <alignment horizontal="center"/>
    </xf>
    <xf numFmtId="1" fontId="27" fillId="0" borderId="0" xfId="0" applyNumberFormat="1" applyFont="1"/>
    <xf numFmtId="245" fontId="27" fillId="0" borderId="0" xfId="0" applyFont="1" applyAlignment="1">
      <alignment horizontal="left" indent="1"/>
    </xf>
    <xf numFmtId="245" fontId="28" fillId="0" borderId="0" xfId="0" applyFont="1" applyAlignment="1">
      <alignment horizontal="center"/>
    </xf>
    <xf numFmtId="245" fontId="27" fillId="0" borderId="6" xfId="0" applyFont="1" applyBorder="1" applyAlignment="1">
      <alignment horizontal="center"/>
    </xf>
    <xf numFmtId="245" fontId="27" fillId="0" borderId="6" xfId="0" applyFont="1" applyBorder="1"/>
    <xf numFmtId="1" fontId="28" fillId="0" borderId="0" xfId="0" applyNumberFormat="1" applyFont="1"/>
    <xf numFmtId="245" fontId="28" fillId="0" borderId="6" xfId="0" applyFont="1" applyBorder="1"/>
    <xf numFmtId="245" fontId="27" fillId="7" borderId="0" xfId="0" applyFont="1" applyFill="1" applyAlignment="1">
      <alignment horizontal="right"/>
    </xf>
    <xf numFmtId="245" fontId="28" fillId="7" borderId="0" xfId="0" applyFont="1" applyFill="1" applyAlignment="1">
      <alignment horizontal="right"/>
    </xf>
    <xf numFmtId="2" fontId="27" fillId="0" borderId="0" xfId="0" applyNumberFormat="1" applyFont="1" applyAlignment="1">
      <alignment horizontal="right"/>
    </xf>
    <xf numFmtId="9" fontId="27" fillId="0" borderId="0" xfId="0" applyNumberFormat="1" applyFont="1" applyAlignment="1">
      <alignment horizontal="right"/>
    </xf>
    <xf numFmtId="1" fontId="28" fillId="0" borderId="0" xfId="0" applyNumberFormat="1" applyFont="1" applyAlignment="1">
      <alignment horizontal="right"/>
    </xf>
    <xf numFmtId="1" fontId="27" fillId="0" borderId="0" xfId="0" applyNumberFormat="1" applyFont="1" applyAlignment="1">
      <alignment horizontal="right"/>
    </xf>
    <xf numFmtId="245" fontId="28" fillId="0" borderId="4" xfId="0" applyFont="1" applyBorder="1"/>
    <xf numFmtId="245" fontId="28" fillId="0" borderId="4" xfId="0" applyFont="1" applyBorder="1" applyAlignment="1">
      <alignment horizontal="center"/>
    </xf>
    <xf numFmtId="245" fontId="28" fillId="0" borderId="0" xfId="0" applyFont="1" applyAlignment="1">
      <alignment horizontal="right"/>
    </xf>
    <xf numFmtId="245" fontId="28" fillId="0" borderId="0" xfId="0" applyFont="1" applyAlignment="1">
      <alignment horizontal="left"/>
    </xf>
    <xf numFmtId="245" fontId="27" fillId="0" borderId="0" xfId="0" applyFont="1" applyAlignment="1">
      <alignment horizontal="left"/>
    </xf>
    <xf numFmtId="245" fontId="28" fillId="0" borderId="0" xfId="0" quotePrefix="1" applyFont="1" applyAlignment="1">
      <alignment horizontal="center"/>
    </xf>
    <xf numFmtId="245" fontId="27" fillId="0" borderId="0" xfId="0" quotePrefix="1" applyFont="1" applyAlignment="1">
      <alignment horizontal="center"/>
    </xf>
    <xf numFmtId="245" fontId="27" fillId="0" borderId="6" xfId="0" applyFont="1" applyBorder="1" applyAlignment="1">
      <alignment horizontal="right"/>
    </xf>
    <xf numFmtId="245" fontId="28" fillId="0" borderId="6" xfId="0" applyFont="1" applyBorder="1" applyAlignment="1">
      <alignment horizontal="center"/>
    </xf>
    <xf numFmtId="245" fontId="28" fillId="0" borderId="6" xfId="0" applyFont="1" applyBorder="1" applyAlignment="1">
      <alignment horizontal="right"/>
    </xf>
    <xf numFmtId="174" fontId="27" fillId="0" borderId="0" xfId="0" applyNumberFormat="1" applyFont="1" applyAlignment="1">
      <alignment horizontal="right"/>
    </xf>
    <xf numFmtId="174" fontId="28" fillId="0" borderId="0" xfId="0" applyNumberFormat="1" applyFont="1" applyAlignment="1">
      <alignment horizontal="right"/>
    </xf>
    <xf numFmtId="174" fontId="27" fillId="0" borderId="6" xfId="0" applyNumberFormat="1" applyFont="1" applyBorder="1" applyAlignment="1">
      <alignment horizontal="right"/>
    </xf>
    <xf numFmtId="245" fontId="27" fillId="7" borderId="0" xfId="0" applyFont="1" applyFill="1" applyAlignment="1">
      <alignment horizontal="center"/>
    </xf>
    <xf numFmtId="245" fontId="27" fillId="7" borderId="0" xfId="0" applyFont="1" applyFill="1"/>
    <xf numFmtId="1" fontId="16" fillId="0" borderId="0" xfId="0" applyNumberFormat="1" applyFont="1" applyAlignment="1">
      <alignment horizontal="right"/>
    </xf>
    <xf numFmtId="245" fontId="17" fillId="0" borderId="0" xfId="0" applyFont="1" applyAlignment="1">
      <alignment horizontal="center"/>
    </xf>
    <xf numFmtId="245" fontId="17" fillId="0" borderId="0" xfId="0" applyFont="1" applyAlignment="1">
      <alignment horizontal="right"/>
    </xf>
    <xf numFmtId="1" fontId="17" fillId="0" borderId="0" xfId="0" applyNumberFormat="1" applyFont="1" applyAlignment="1">
      <alignment horizontal="right"/>
    </xf>
    <xf numFmtId="174" fontId="17" fillId="0" borderId="0" xfId="0" applyNumberFormat="1" applyFont="1" applyAlignment="1">
      <alignment horizontal="right"/>
    </xf>
    <xf numFmtId="177" fontId="28" fillId="0" borderId="0" xfId="0" applyNumberFormat="1" applyFont="1" applyAlignment="1">
      <alignment horizontal="right"/>
    </xf>
    <xf numFmtId="245" fontId="40" fillId="0" borderId="0" xfId="0" applyFont="1"/>
    <xf numFmtId="245" fontId="39" fillId="0" borderId="0" xfId="0" quotePrefix="1" applyFont="1"/>
    <xf numFmtId="245" fontId="27" fillId="0" borderId="0" xfId="0" quotePrefix="1" applyFont="1"/>
    <xf numFmtId="178" fontId="27" fillId="0" borderId="0" xfId="0" applyNumberFormat="1" applyFont="1" applyAlignment="1">
      <alignment horizontal="right"/>
    </xf>
    <xf numFmtId="245" fontId="27" fillId="0" borderId="6" xfId="0" quotePrefix="1" applyFont="1" applyBorder="1"/>
    <xf numFmtId="178" fontId="27" fillId="0" borderId="6" xfId="0" applyNumberFormat="1" applyFont="1" applyBorder="1" applyAlignment="1">
      <alignment horizontal="right"/>
    </xf>
    <xf numFmtId="245" fontId="28" fillId="0" borderId="0" xfId="0" quotePrefix="1" applyFont="1"/>
    <xf numFmtId="178" fontId="28" fillId="0" borderId="0" xfId="0" applyNumberFormat="1" applyFont="1" applyAlignment="1">
      <alignment horizontal="right"/>
    </xf>
    <xf numFmtId="186" fontId="27" fillId="0" borderId="0" xfId="0" applyNumberFormat="1" applyFont="1" applyAlignment="1">
      <alignment horizontal="right"/>
    </xf>
    <xf numFmtId="186" fontId="28" fillId="0" borderId="0" xfId="0" applyNumberFormat="1" applyFont="1" applyAlignment="1">
      <alignment horizontal="right"/>
    </xf>
    <xf numFmtId="245" fontId="42" fillId="0" borderId="0" xfId="0" applyFont="1" applyAlignment="1">
      <alignment horizontal="center"/>
    </xf>
    <xf numFmtId="178" fontId="42" fillId="0" borderId="0" xfId="0" applyNumberFormat="1" applyFont="1" applyAlignment="1">
      <alignment horizontal="right"/>
    </xf>
    <xf numFmtId="245" fontId="39" fillId="0" borderId="0" xfId="0" applyFont="1" applyAlignment="1">
      <alignment horizontal="right"/>
    </xf>
    <xf numFmtId="245" fontId="39" fillId="0" borderId="0" xfId="0" applyFont="1"/>
    <xf numFmtId="178" fontId="27" fillId="0" borderId="0" xfId="0" applyNumberFormat="1" applyFont="1"/>
    <xf numFmtId="186" fontId="27" fillId="0" borderId="0" xfId="0" applyNumberFormat="1" applyFont="1"/>
    <xf numFmtId="178" fontId="27" fillId="0" borderId="6" xfId="0" applyNumberFormat="1" applyFont="1" applyBorder="1"/>
    <xf numFmtId="178" fontId="28" fillId="0" borderId="0" xfId="0" applyNumberFormat="1" applyFont="1"/>
    <xf numFmtId="245" fontId="28" fillId="8" borderId="0" xfId="0" applyFont="1" applyFill="1" applyAlignment="1">
      <alignment horizontal="center"/>
    </xf>
    <xf numFmtId="245" fontId="27" fillId="9" borderId="0" xfId="0" applyFont="1" applyFill="1"/>
    <xf numFmtId="245" fontId="27" fillId="0" borderId="0" xfId="0" quotePrefix="1" applyFont="1" applyAlignment="1">
      <alignment horizontal="left" indent="1"/>
    </xf>
    <xf numFmtId="245" fontId="28" fillId="0" borderId="0" xfId="0" quotePrefix="1" applyFont="1" applyAlignment="1">
      <alignment horizontal="left"/>
    </xf>
    <xf numFmtId="1" fontId="29" fillId="0" borderId="0" xfId="0" applyNumberFormat="1" applyFont="1"/>
    <xf numFmtId="245" fontId="27" fillId="0" borderId="11" xfId="0" applyFont="1" applyBorder="1"/>
    <xf numFmtId="245" fontId="28" fillId="0" borderId="11" xfId="0" quotePrefix="1" applyFont="1" applyBorder="1"/>
    <xf numFmtId="245" fontId="27" fillId="0" borderId="11" xfId="0" applyFont="1" applyBorder="1" applyAlignment="1">
      <alignment horizontal="center"/>
    </xf>
    <xf numFmtId="174" fontId="29" fillId="0" borderId="0" xfId="0" applyNumberFormat="1" applyFont="1"/>
    <xf numFmtId="172" fontId="27" fillId="0" borderId="0" xfId="0" applyNumberFormat="1" applyFont="1"/>
    <xf numFmtId="172" fontId="27" fillId="0" borderId="9" xfId="0" applyNumberFormat="1" applyFont="1" applyBorder="1"/>
    <xf numFmtId="172" fontId="41" fillId="0" borderId="4" xfId="0" applyNumberFormat="1" applyFont="1" applyBorder="1"/>
    <xf numFmtId="173" fontId="27" fillId="0" borderId="0" xfId="0" applyNumberFormat="1" applyFont="1"/>
    <xf numFmtId="174" fontId="27" fillId="0" borderId="6" xfId="0" applyNumberFormat="1" applyFont="1" applyBorder="1"/>
    <xf numFmtId="245" fontId="27" fillId="5" borderId="0" xfId="0" applyFont="1" applyFill="1" applyAlignment="1">
      <alignment horizontal="center"/>
    </xf>
    <xf numFmtId="245" fontId="27" fillId="5" borderId="0" xfId="0" applyFont="1" applyFill="1"/>
    <xf numFmtId="245" fontId="41" fillId="0" borderId="4" xfId="0" applyFont="1" applyBorder="1" applyAlignment="1">
      <alignment horizontal="right"/>
    </xf>
    <xf numFmtId="245" fontId="41" fillId="0" borderId="12" xfId="0" applyFont="1" applyBorder="1" applyAlignment="1">
      <alignment horizontal="right"/>
    </xf>
    <xf numFmtId="245" fontId="27" fillId="8" borderId="0" xfId="0" applyFont="1" applyFill="1" applyAlignment="1">
      <alignment horizontal="right"/>
    </xf>
    <xf numFmtId="1" fontId="28" fillId="8" borderId="0" xfId="0" applyNumberFormat="1" applyFont="1" applyFill="1" applyAlignment="1">
      <alignment horizontal="right"/>
    </xf>
    <xf numFmtId="9" fontId="27" fillId="0" borderId="6" xfId="0" applyNumberFormat="1" applyFont="1" applyBorder="1"/>
    <xf numFmtId="2" fontId="27" fillId="0" borderId="0" xfId="0" applyNumberFormat="1" applyFont="1"/>
    <xf numFmtId="1" fontId="28" fillId="8" borderId="0" xfId="0" applyNumberFormat="1" applyFont="1" applyFill="1"/>
    <xf numFmtId="170" fontId="27" fillId="0" borderId="6" xfId="0" applyNumberFormat="1" applyFont="1" applyBorder="1"/>
    <xf numFmtId="186" fontId="28" fillId="0" borderId="0" xfId="0" applyNumberFormat="1" applyFont="1"/>
    <xf numFmtId="223" fontId="27" fillId="0" borderId="0" xfId="0" applyNumberFormat="1" applyFont="1"/>
    <xf numFmtId="9" fontId="27" fillId="0" borderId="9" xfId="0" applyNumberFormat="1" applyFont="1" applyBorder="1"/>
    <xf numFmtId="172" fontId="41" fillId="0" borderId="12" xfId="0" applyNumberFormat="1" applyFont="1" applyBorder="1"/>
    <xf numFmtId="9" fontId="27" fillId="0" borderId="9" xfId="0" applyNumberFormat="1" applyFont="1" applyBorder="1" applyAlignment="1">
      <alignment horizontal="right"/>
    </xf>
    <xf numFmtId="245" fontId="29" fillId="0" borderId="0" xfId="0" applyFont="1" applyAlignment="1">
      <alignment horizontal="right"/>
    </xf>
    <xf numFmtId="1" fontId="29" fillId="0" borderId="0" xfId="0" applyNumberFormat="1" applyFont="1" applyAlignment="1">
      <alignment horizontal="right"/>
    </xf>
    <xf numFmtId="245" fontId="27" fillId="0" borderId="9" xfId="0" applyFont="1" applyBorder="1" applyAlignment="1">
      <alignment horizontal="right"/>
    </xf>
    <xf numFmtId="245" fontId="28" fillId="8" borderId="0" xfId="0" applyFont="1" applyFill="1" applyAlignment="1">
      <alignment horizontal="right"/>
    </xf>
    <xf numFmtId="245" fontId="28" fillId="0" borderId="11" xfId="0" applyFont="1" applyBorder="1" applyAlignment="1">
      <alignment horizontal="center"/>
    </xf>
    <xf numFmtId="245" fontId="28" fillId="0" borderId="11" xfId="0" applyFont="1" applyBorder="1" applyAlignment="1">
      <alignment horizontal="right"/>
    </xf>
    <xf numFmtId="186" fontId="28" fillId="0" borderId="11" xfId="0" applyNumberFormat="1" applyFont="1" applyBorder="1" applyAlignment="1">
      <alignment horizontal="right"/>
    </xf>
    <xf numFmtId="170" fontId="28" fillId="0" borderId="0" xfId="0" applyNumberFormat="1" applyFont="1" applyAlignment="1">
      <alignment horizontal="right"/>
    </xf>
    <xf numFmtId="245" fontId="27" fillId="0" borderId="11" xfId="0" applyFont="1" applyBorder="1" applyAlignment="1">
      <alignment horizontal="right"/>
    </xf>
    <xf numFmtId="9" fontId="41" fillId="0" borderId="4" xfId="0" applyNumberFormat="1" applyFont="1" applyBorder="1" applyAlignment="1">
      <alignment horizontal="right"/>
    </xf>
    <xf numFmtId="1" fontId="27" fillId="0" borderId="11" xfId="0" applyNumberFormat="1" applyFont="1" applyBorder="1" applyAlignment="1">
      <alignment horizontal="right"/>
    </xf>
    <xf numFmtId="172" fontId="27" fillId="0" borderId="0" xfId="0" applyNumberFormat="1" applyFont="1" applyAlignment="1">
      <alignment horizontal="right"/>
    </xf>
    <xf numFmtId="174" fontId="27" fillId="0" borderId="0" xfId="0" applyNumberFormat="1" applyFont="1" applyAlignment="1">
      <alignment horizontal="center"/>
    </xf>
    <xf numFmtId="245" fontId="41" fillId="0" borderId="0" xfId="0" applyFont="1"/>
    <xf numFmtId="245" fontId="27" fillId="0" borderId="4" xfId="0" applyFont="1" applyBorder="1" applyAlignment="1">
      <alignment horizontal="right"/>
    </xf>
    <xf numFmtId="245" fontId="27" fillId="0" borderId="12" xfId="0" applyFont="1" applyBorder="1" applyAlignment="1">
      <alignment horizontal="right"/>
    </xf>
    <xf numFmtId="174" fontId="29" fillId="0" borderId="0" xfId="0" applyNumberFormat="1" applyFont="1" applyAlignment="1">
      <alignment horizontal="right"/>
    </xf>
    <xf numFmtId="173" fontId="27" fillId="0" borderId="0" xfId="0" applyNumberFormat="1" applyFont="1" applyAlignment="1">
      <alignment horizontal="right"/>
    </xf>
    <xf numFmtId="10" fontId="27" fillId="0" borderId="0" xfId="0" applyNumberFormat="1" applyFont="1" applyAlignment="1">
      <alignment horizontal="right"/>
    </xf>
    <xf numFmtId="10" fontId="28" fillId="0" borderId="0" xfId="0" applyNumberFormat="1" applyFont="1" applyAlignment="1">
      <alignment horizontal="right"/>
    </xf>
    <xf numFmtId="172" fontId="27" fillId="0" borderId="0" xfId="0" applyNumberFormat="1" applyFont="1" applyAlignment="1">
      <alignment horizontal="center"/>
    </xf>
    <xf numFmtId="172" fontId="28" fillId="0" borderId="0" xfId="0" applyNumberFormat="1" applyFont="1" applyAlignment="1">
      <alignment horizontal="right"/>
    </xf>
    <xf numFmtId="245" fontId="27" fillId="0" borderId="10" xfId="0" applyFont="1" applyBorder="1"/>
    <xf numFmtId="245" fontId="27" fillId="0" borderId="5" xfId="0" applyFont="1" applyBorder="1" applyAlignment="1">
      <alignment horizontal="center"/>
    </xf>
    <xf numFmtId="245" fontId="28" fillId="0" borderId="5" xfId="0" applyFont="1" applyBorder="1" applyAlignment="1">
      <alignment horizontal="right"/>
    </xf>
    <xf numFmtId="1" fontId="27" fillId="0" borderId="5" xfId="0" applyNumberFormat="1" applyFont="1" applyBorder="1" applyAlignment="1">
      <alignment horizontal="right"/>
    </xf>
    <xf numFmtId="1" fontId="27" fillId="0" borderId="13" xfId="0" applyNumberFormat="1" applyFont="1" applyBorder="1" applyAlignment="1">
      <alignment horizontal="right"/>
    </xf>
    <xf numFmtId="10" fontId="27" fillId="0" borderId="9" xfId="0" applyNumberFormat="1" applyFont="1" applyBorder="1" applyAlignment="1">
      <alignment horizontal="right"/>
    </xf>
    <xf numFmtId="245" fontId="27" fillId="0" borderId="7" xfId="0" applyFont="1" applyBorder="1"/>
    <xf numFmtId="1" fontId="27" fillId="0" borderId="9" xfId="0" applyNumberFormat="1" applyFont="1" applyBorder="1" applyAlignment="1">
      <alignment horizontal="right"/>
    </xf>
    <xf numFmtId="10" fontId="27" fillId="0" borderId="6" xfId="0" applyNumberFormat="1" applyFont="1" applyBorder="1" applyAlignment="1">
      <alignment horizontal="right"/>
    </xf>
    <xf numFmtId="10" fontId="27" fillId="0" borderId="14" xfId="0" applyNumberFormat="1" applyFont="1" applyBorder="1" applyAlignment="1">
      <alignment horizontal="right"/>
    </xf>
    <xf numFmtId="178" fontId="29" fillId="0" borderId="0" xfId="0" applyNumberFormat="1" applyFont="1" applyAlignment="1">
      <alignment horizontal="right"/>
    </xf>
    <xf numFmtId="172" fontId="41" fillId="0" borderId="4" xfId="0" applyNumberFormat="1" applyFont="1" applyBorder="1" applyAlignment="1">
      <alignment horizontal="right"/>
    </xf>
    <xf numFmtId="245" fontId="41" fillId="0" borderId="0" xfId="0" applyFont="1" applyAlignment="1">
      <alignment horizontal="right"/>
    </xf>
    <xf numFmtId="245" fontId="27" fillId="0" borderId="11" xfId="0" quotePrefix="1" applyFont="1" applyBorder="1"/>
    <xf numFmtId="174" fontId="27" fillId="0" borderId="9" xfId="0" applyNumberFormat="1" applyFont="1" applyBorder="1" applyAlignment="1">
      <alignment horizontal="right"/>
    </xf>
    <xf numFmtId="174" fontId="41" fillId="0" borderId="4" xfId="0" applyNumberFormat="1" applyFont="1" applyBorder="1" applyAlignment="1">
      <alignment horizontal="right"/>
    </xf>
    <xf numFmtId="174" fontId="41" fillId="0" borderId="12" xfId="0" applyNumberFormat="1" applyFont="1" applyBorder="1" applyAlignment="1">
      <alignment horizontal="right"/>
    </xf>
    <xf numFmtId="245" fontId="27" fillId="9" borderId="0" xfId="0" quotePrefix="1" applyFont="1" applyFill="1"/>
    <xf numFmtId="245" fontId="27" fillId="9" borderId="0" xfId="0" applyFont="1" applyFill="1" applyAlignment="1">
      <alignment horizontal="center"/>
    </xf>
    <xf numFmtId="245" fontId="27" fillId="9" borderId="0" xfId="0" applyFont="1" applyFill="1" applyAlignment="1">
      <alignment horizontal="right"/>
    </xf>
    <xf numFmtId="1" fontId="27" fillId="9" borderId="0" xfId="0" applyNumberFormat="1" applyFont="1" applyFill="1" applyAlignment="1">
      <alignment horizontal="right"/>
    </xf>
    <xf numFmtId="245" fontId="41" fillId="9" borderId="15" xfId="0" applyFont="1" applyFill="1" applyBorder="1" applyAlignment="1">
      <alignment horizontal="right"/>
    </xf>
    <xf numFmtId="1" fontId="28" fillId="9" borderId="0" xfId="0" applyNumberFormat="1" applyFont="1" applyFill="1"/>
    <xf numFmtId="245" fontId="28" fillId="9" borderId="0" xfId="0" applyFont="1" applyFill="1" applyAlignment="1">
      <alignment horizontal="center"/>
    </xf>
    <xf numFmtId="245" fontId="28" fillId="9" borderId="0" xfId="0" applyFont="1" applyFill="1" applyAlignment="1">
      <alignment horizontal="right"/>
    </xf>
    <xf numFmtId="1" fontId="28" fillId="9" borderId="0" xfId="0" applyNumberFormat="1" applyFont="1" applyFill="1" applyAlignment="1">
      <alignment horizontal="right"/>
    </xf>
    <xf numFmtId="9" fontId="27" fillId="9" borderId="0" xfId="0" applyNumberFormat="1" applyFont="1" applyFill="1" applyAlignment="1">
      <alignment horizontal="right"/>
    </xf>
    <xf numFmtId="174" fontId="31" fillId="0" borderId="0" xfId="0" applyNumberFormat="1" applyFont="1" applyAlignment="1">
      <alignment horizontal="right"/>
    </xf>
    <xf numFmtId="245" fontId="31" fillId="0" borderId="0" xfId="0" applyFont="1" applyAlignment="1">
      <alignment horizontal="right"/>
    </xf>
    <xf numFmtId="199" fontId="27" fillId="6" borderId="0" xfId="0" applyNumberFormat="1" applyFont="1" applyFill="1"/>
    <xf numFmtId="1" fontId="27" fillId="6" borderId="0" xfId="0" applyNumberFormat="1" applyFont="1" applyFill="1"/>
    <xf numFmtId="174" fontId="45" fillId="0" borderId="0" xfId="0" applyNumberFormat="1" applyFont="1"/>
    <xf numFmtId="190" fontId="29" fillId="0" borderId="0" xfId="0" applyNumberFormat="1" applyFont="1" applyProtection="1">
      <protection locked="0" hidden="1"/>
    </xf>
    <xf numFmtId="190" fontId="29" fillId="0" borderId="6" xfId="0" applyNumberFormat="1" applyFont="1" applyBorder="1" applyProtection="1">
      <protection locked="0" hidden="1"/>
    </xf>
    <xf numFmtId="190" fontId="27" fillId="0" borderId="0" xfId="0" applyNumberFormat="1" applyFont="1" applyProtection="1">
      <protection locked="0" hidden="1"/>
    </xf>
    <xf numFmtId="190" fontId="41" fillId="6" borderId="11" xfId="0" applyNumberFormat="1" applyFont="1" applyFill="1" applyBorder="1"/>
    <xf numFmtId="178" fontId="31" fillId="0" borderId="0" xfId="0" applyNumberFormat="1" applyFont="1" applyAlignment="1">
      <alignment horizontal="right"/>
    </xf>
    <xf numFmtId="178" fontId="29" fillId="0" borderId="0" xfId="0" applyNumberFormat="1" applyFont="1" applyProtection="1">
      <protection locked="0" hidden="1"/>
    </xf>
    <xf numFmtId="178" fontId="28" fillId="0" borderId="0" xfId="0" applyNumberFormat="1" applyFont="1" applyProtection="1">
      <protection locked="0" hidden="1"/>
    </xf>
    <xf numFmtId="245" fontId="28" fillId="0" borderId="0" xfId="0" applyFont="1" applyAlignment="1" applyProtection="1">
      <alignment horizontal="left"/>
      <protection locked="0"/>
    </xf>
    <xf numFmtId="174" fontId="43" fillId="0" borderId="0" xfId="0" applyNumberFormat="1" applyFont="1"/>
    <xf numFmtId="174" fontId="27" fillId="0" borderId="0" xfId="0" applyNumberFormat="1" applyFont="1" applyAlignment="1" applyProtection="1">
      <alignment horizontal="right"/>
      <protection locked="0"/>
    </xf>
    <xf numFmtId="245" fontId="31" fillId="0" borderId="0" xfId="0" applyFont="1"/>
    <xf numFmtId="10" fontId="27" fillId="0" borderId="0" xfId="0" applyNumberFormat="1" applyFont="1"/>
    <xf numFmtId="245" fontId="29" fillId="0" borderId="0" xfId="0" applyFont="1"/>
    <xf numFmtId="245" fontId="49" fillId="0" borderId="0" xfId="0" applyFont="1"/>
    <xf numFmtId="190" fontId="27" fillId="0" borderId="0" xfId="0" applyNumberFormat="1" applyFont="1"/>
    <xf numFmtId="245" fontId="28" fillId="7" borderId="0" xfId="0" applyFont="1" applyFill="1" applyAlignment="1">
      <alignment horizontal="center"/>
    </xf>
    <xf numFmtId="178" fontId="28" fillId="7" borderId="0" xfId="0" applyNumberFormat="1" applyFont="1" applyFill="1" applyAlignment="1">
      <alignment horizontal="right"/>
    </xf>
    <xf numFmtId="174" fontId="50" fillId="0" borderId="0" xfId="0" applyNumberFormat="1" applyFont="1"/>
    <xf numFmtId="174" fontId="31" fillId="0" borderId="0" xfId="0" applyNumberFormat="1" applyFont="1"/>
    <xf numFmtId="245" fontId="28" fillId="7" borderId="0" xfId="0" applyFont="1" applyFill="1"/>
    <xf numFmtId="245" fontId="31" fillId="0" borderId="0" xfId="0" applyFont="1" applyAlignment="1">
      <alignment horizontal="left" indent="1"/>
    </xf>
    <xf numFmtId="190" fontId="29" fillId="0" borderId="0" xfId="0" applyNumberFormat="1" applyFont="1" applyAlignment="1" applyProtection="1">
      <alignment horizontal="right"/>
      <protection locked="0" hidden="1"/>
    </xf>
    <xf numFmtId="188" fontId="27" fillId="0" borderId="0" xfId="0" applyNumberFormat="1" applyFont="1"/>
    <xf numFmtId="173" fontId="39" fillId="0" borderId="0" xfId="0" applyNumberFormat="1" applyFont="1" applyAlignment="1" applyProtection="1">
      <alignment horizontal="right"/>
      <protection locked="0"/>
    </xf>
    <xf numFmtId="174" fontId="33" fillId="0" borderId="0" xfId="0" applyNumberFormat="1" applyFont="1" applyAlignment="1">
      <alignment horizontal="right"/>
    </xf>
    <xf numFmtId="245" fontId="33" fillId="0" borderId="0" xfId="0" applyFont="1" applyAlignment="1">
      <alignment horizontal="right"/>
    </xf>
    <xf numFmtId="190" fontId="29" fillId="0" borderId="0" xfId="0" applyNumberFormat="1" applyFont="1"/>
    <xf numFmtId="174" fontId="27" fillId="0" borderId="0" xfId="0" applyNumberFormat="1" applyFont="1" applyAlignment="1">
      <alignment horizontal="left"/>
    </xf>
    <xf numFmtId="174" fontId="28" fillId="0" borderId="0" xfId="0" applyNumberFormat="1" applyFont="1" applyAlignment="1">
      <alignment horizontal="left"/>
    </xf>
    <xf numFmtId="173" fontId="28" fillId="0" borderId="0" xfId="0" applyNumberFormat="1" applyFont="1" applyAlignment="1">
      <alignment horizontal="right"/>
    </xf>
    <xf numFmtId="174" fontId="27" fillId="7" borderId="0" xfId="0" applyNumberFormat="1" applyFont="1" applyFill="1"/>
    <xf numFmtId="173" fontId="27" fillId="7" borderId="0" xfId="0" applyNumberFormat="1" applyFont="1" applyFill="1"/>
    <xf numFmtId="173" fontId="29" fillId="7" borderId="0" xfId="0" applyNumberFormat="1" applyFont="1" applyFill="1"/>
    <xf numFmtId="245" fontId="27" fillId="0" borderId="4" xfId="0" applyFont="1" applyBorder="1"/>
    <xf numFmtId="184" fontId="43" fillId="0" borderId="0" xfId="0" applyNumberFormat="1" applyFont="1" applyAlignment="1">
      <alignment horizontal="center"/>
    </xf>
    <xf numFmtId="184" fontId="27" fillId="0" borderId="0" xfId="0" applyNumberFormat="1" applyFont="1" applyAlignment="1">
      <alignment horizontal="right"/>
    </xf>
    <xf numFmtId="184" fontId="28" fillId="0" borderId="0" xfId="0" applyNumberFormat="1" applyFont="1" applyAlignment="1">
      <alignment horizontal="center"/>
    </xf>
    <xf numFmtId="2" fontId="27" fillId="0" borderId="0" xfId="0" applyNumberFormat="1" applyFont="1" applyAlignment="1">
      <alignment horizontal="center"/>
    </xf>
    <xf numFmtId="2" fontId="27" fillId="0" borderId="10" xfId="0" applyNumberFormat="1" applyFont="1" applyBorder="1" applyAlignment="1">
      <alignment horizontal="center"/>
    </xf>
    <xf numFmtId="2" fontId="27" fillId="0" borderId="5" xfId="0" applyNumberFormat="1" applyFont="1" applyBorder="1" applyAlignment="1">
      <alignment horizontal="center"/>
    </xf>
    <xf numFmtId="198" fontId="28" fillId="0" borderId="0" xfId="0" applyNumberFormat="1" applyFont="1" applyAlignment="1">
      <alignment horizontal="center"/>
    </xf>
    <xf numFmtId="198" fontId="27" fillId="0" borderId="7" xfId="0" applyNumberFormat="1" applyFont="1" applyBorder="1" applyAlignment="1">
      <alignment horizontal="center"/>
    </xf>
    <xf numFmtId="198" fontId="27" fillId="0" borderId="0" xfId="0" applyNumberFormat="1" applyFont="1" applyAlignment="1">
      <alignment horizontal="center"/>
    </xf>
    <xf numFmtId="219" fontId="28" fillId="0" borderId="0" xfId="0" applyNumberFormat="1" applyFont="1" applyAlignment="1">
      <alignment horizontal="center"/>
    </xf>
    <xf numFmtId="198" fontId="27" fillId="5" borderId="0" xfId="0" applyNumberFormat="1" applyFont="1" applyFill="1" applyAlignment="1">
      <alignment horizontal="center"/>
    </xf>
    <xf numFmtId="198" fontId="28" fillId="5" borderId="0" xfId="0" applyNumberFormat="1" applyFont="1" applyFill="1" applyAlignment="1">
      <alignment horizontal="center"/>
    </xf>
    <xf numFmtId="207" fontId="28" fillId="0" borderId="6" xfId="0" applyNumberFormat="1" applyFont="1" applyBorder="1" applyAlignment="1">
      <alignment horizontal="center"/>
    </xf>
    <xf numFmtId="207" fontId="27" fillId="0" borderId="0" xfId="0" applyNumberFormat="1" applyFont="1" applyAlignment="1">
      <alignment horizontal="center"/>
    </xf>
    <xf numFmtId="203" fontId="27" fillId="0" borderId="0" xfId="0" applyNumberFormat="1" applyFont="1" applyAlignment="1">
      <alignment horizontal="right"/>
    </xf>
    <xf numFmtId="184" fontId="27" fillId="0" borderId="0" xfId="0" applyNumberFormat="1" applyFont="1"/>
    <xf numFmtId="3" fontId="28" fillId="0" borderId="0" xfId="0" applyNumberFormat="1" applyFont="1"/>
    <xf numFmtId="3" fontId="27" fillId="0" borderId="0" xfId="0" applyNumberFormat="1" applyFont="1"/>
    <xf numFmtId="238" fontId="38" fillId="0" borderId="0" xfId="0" applyNumberFormat="1" applyFont="1"/>
    <xf numFmtId="245" fontId="41" fillId="0" borderId="6" xfId="0" applyFont="1" applyBorder="1"/>
    <xf numFmtId="245" fontId="28" fillId="7" borderId="5" xfId="0" applyFont="1" applyFill="1" applyBorder="1"/>
    <xf numFmtId="245" fontId="28" fillId="7" borderId="5" xfId="0" applyFont="1" applyFill="1" applyBorder="1" applyAlignment="1">
      <alignment horizontal="center"/>
    </xf>
    <xf numFmtId="178" fontId="28" fillId="7" borderId="5" xfId="0" applyNumberFormat="1" applyFont="1" applyFill="1" applyBorder="1"/>
    <xf numFmtId="245" fontId="33" fillId="7" borderId="0" xfId="0" applyFont="1" applyFill="1" applyAlignment="1">
      <alignment horizontal="right"/>
    </xf>
    <xf numFmtId="245" fontId="43" fillId="7" borderId="0" xfId="0" applyFont="1" applyFill="1" applyAlignment="1">
      <alignment horizontal="right"/>
    </xf>
    <xf numFmtId="1" fontId="43" fillId="7" borderId="0" xfId="0" applyNumberFormat="1" applyFont="1" applyFill="1" applyAlignment="1">
      <alignment horizontal="right"/>
    </xf>
    <xf numFmtId="1" fontId="28" fillId="7" borderId="0" xfId="0" applyNumberFormat="1" applyFont="1" applyFill="1" applyAlignment="1">
      <alignment horizontal="right"/>
    </xf>
    <xf numFmtId="1" fontId="28" fillId="7" borderId="0" xfId="0" applyNumberFormat="1" applyFont="1" applyFill="1"/>
    <xf numFmtId="9" fontId="28" fillId="7" borderId="0" xfId="0" applyNumberFormat="1" applyFont="1" applyFill="1"/>
    <xf numFmtId="245" fontId="28" fillId="7" borderId="0" xfId="0" quotePrefix="1" applyFont="1" applyFill="1"/>
    <xf numFmtId="245" fontId="28" fillId="0" borderId="11" xfId="0" applyFont="1" applyBorder="1"/>
    <xf numFmtId="9" fontId="27" fillId="0" borderId="4" xfId="0" applyNumberFormat="1" applyFont="1" applyBorder="1" applyAlignment="1">
      <alignment horizontal="right"/>
    </xf>
    <xf numFmtId="9" fontId="27" fillId="0" borderId="12" xfId="0" applyNumberFormat="1" applyFont="1" applyBorder="1" applyAlignment="1">
      <alignment horizontal="right"/>
    </xf>
    <xf numFmtId="172" fontId="27" fillId="0" borderId="4" xfId="0" applyNumberFormat="1" applyFont="1" applyBorder="1" applyAlignment="1">
      <alignment horizontal="right"/>
    </xf>
    <xf numFmtId="172" fontId="27" fillId="0" borderId="12" xfId="0" applyNumberFormat="1" applyFont="1" applyBorder="1" applyAlignment="1">
      <alignment horizontal="right"/>
    </xf>
    <xf numFmtId="174" fontId="28" fillId="7" borderId="0" xfId="0" applyNumberFormat="1" applyFont="1" applyFill="1" applyAlignment="1">
      <alignment horizontal="right"/>
    </xf>
    <xf numFmtId="174" fontId="27" fillId="7" borderId="0" xfId="0" applyNumberFormat="1" applyFont="1" applyFill="1" applyAlignment="1">
      <alignment horizontal="right"/>
    </xf>
    <xf numFmtId="1" fontId="27" fillId="7" borderId="0" xfId="0" applyNumberFormat="1" applyFont="1" applyFill="1" applyAlignment="1">
      <alignment horizontal="right"/>
    </xf>
    <xf numFmtId="245" fontId="27" fillId="7" borderId="0" xfId="0" quotePrefix="1" applyFont="1" applyFill="1"/>
    <xf numFmtId="245" fontId="29" fillId="7" borderId="0" xfId="0" applyFont="1" applyFill="1" applyAlignment="1">
      <alignment horizontal="right"/>
    </xf>
    <xf numFmtId="1" fontId="27" fillId="7" borderId="0" xfId="0" applyNumberFormat="1" applyFont="1" applyFill="1"/>
    <xf numFmtId="174" fontId="28" fillId="7" borderId="0" xfId="0" applyNumberFormat="1" applyFont="1" applyFill="1"/>
    <xf numFmtId="245" fontId="38" fillId="0" borderId="4" xfId="0" applyFont="1" applyBorder="1" applyAlignment="1">
      <alignment horizontal="right"/>
    </xf>
    <xf numFmtId="245" fontId="38" fillId="0" borderId="12" xfId="0" applyFont="1" applyBorder="1" applyAlignment="1">
      <alignment horizontal="right"/>
    </xf>
    <xf numFmtId="245" fontId="38" fillId="0" borderId="15" xfId="0" applyFont="1" applyBorder="1" applyAlignment="1">
      <alignment horizontal="right"/>
    </xf>
    <xf numFmtId="9" fontId="38" fillId="0" borderId="4" xfId="0" applyNumberFormat="1" applyFont="1" applyBorder="1" applyAlignment="1">
      <alignment horizontal="right"/>
    </xf>
    <xf numFmtId="9" fontId="38" fillId="0" borderId="12" xfId="0" applyNumberFormat="1" applyFont="1" applyBorder="1" applyAlignment="1">
      <alignment horizontal="right"/>
    </xf>
    <xf numFmtId="245" fontId="38" fillId="0" borderId="4" xfId="0" applyFont="1" applyBorder="1"/>
    <xf numFmtId="245" fontId="38" fillId="0" borderId="12" xfId="0" applyFont="1" applyBorder="1"/>
    <xf numFmtId="245" fontId="52" fillId="4" borderId="16" xfId="0" applyFont="1" applyFill="1" applyBorder="1"/>
    <xf numFmtId="245" fontId="53" fillId="4" borderId="17" xfId="0" applyFont="1" applyFill="1" applyBorder="1" applyAlignment="1">
      <alignment horizontal="center"/>
    </xf>
    <xf numFmtId="242" fontId="53" fillId="4" borderId="17" xfId="0" applyNumberFormat="1" applyFont="1" applyFill="1" applyBorder="1"/>
    <xf numFmtId="242" fontId="53" fillId="4" borderId="18" xfId="0" applyNumberFormat="1" applyFont="1" applyFill="1" applyBorder="1"/>
    <xf numFmtId="245" fontId="27" fillId="0" borderId="0" xfId="0" quotePrefix="1" applyFont="1" applyAlignment="1">
      <alignment horizontal="left" indent="2"/>
    </xf>
    <xf numFmtId="245" fontId="51" fillId="0" borderId="0" xfId="0" quotePrefix="1" applyFont="1"/>
    <xf numFmtId="245" fontId="27" fillId="0" borderId="0" xfId="0" quotePrefix="1" applyFont="1" applyAlignment="1">
      <alignment horizontal="left"/>
    </xf>
    <xf numFmtId="245" fontId="27" fillId="0" borderId="0" xfId="0" applyFont="1" applyAlignment="1">
      <alignment horizontal="left" indent="2"/>
    </xf>
    <xf numFmtId="9" fontId="38" fillId="0" borderId="0" xfId="0" applyNumberFormat="1" applyFont="1" applyAlignment="1">
      <alignment horizontal="right"/>
    </xf>
    <xf numFmtId="226" fontId="27" fillId="0" borderId="0" xfId="0" applyNumberFormat="1" applyFont="1" applyAlignment="1">
      <alignment horizontal="right"/>
    </xf>
    <xf numFmtId="238" fontId="27" fillId="0" borderId="0" xfId="0" applyNumberFormat="1" applyFont="1" applyAlignment="1">
      <alignment horizontal="right"/>
    </xf>
    <xf numFmtId="238" fontId="31" fillId="0" borderId="0" xfId="0" applyNumberFormat="1" applyFont="1" applyAlignment="1">
      <alignment horizontal="right"/>
    </xf>
    <xf numFmtId="238" fontId="28" fillId="0" borderId="0" xfId="0" applyNumberFormat="1" applyFont="1" applyAlignment="1">
      <alignment horizontal="right"/>
    </xf>
    <xf numFmtId="238" fontId="48" fillId="0" borderId="0" xfId="0" applyNumberFormat="1" applyFont="1" applyAlignment="1">
      <alignment horizontal="right"/>
    </xf>
    <xf numFmtId="238" fontId="29" fillId="0" borderId="0" xfId="0" applyNumberFormat="1" applyFont="1" applyProtection="1">
      <protection locked="0" hidden="1"/>
    </xf>
    <xf numFmtId="238" fontId="29" fillId="0" borderId="0" xfId="0" applyNumberFormat="1" applyFont="1" applyAlignment="1">
      <alignment horizontal="right"/>
    </xf>
    <xf numFmtId="238" fontId="31" fillId="0" borderId="0" xfId="0" applyNumberFormat="1" applyFont="1"/>
    <xf numFmtId="238" fontId="27" fillId="0" borderId="0" xfId="0" applyNumberFormat="1" applyFont="1"/>
    <xf numFmtId="238" fontId="29" fillId="0" borderId="0" xfId="0" applyNumberFormat="1" applyFont="1"/>
    <xf numFmtId="243" fontId="31" fillId="0" borderId="0" xfId="0" applyNumberFormat="1" applyFont="1" applyAlignment="1">
      <alignment horizontal="right"/>
    </xf>
    <xf numFmtId="174" fontId="27" fillId="0" borderId="0" xfId="0" applyNumberFormat="1" applyFont="1" applyAlignment="1">
      <alignment horizontal="left" indent="2"/>
    </xf>
    <xf numFmtId="226" fontId="27" fillId="0" borderId="0" xfId="0" applyNumberFormat="1" applyFont="1"/>
    <xf numFmtId="238" fontId="28" fillId="0" borderId="0" xfId="0" applyNumberFormat="1" applyFont="1"/>
    <xf numFmtId="238" fontId="27" fillId="0" borderId="0" xfId="0" applyNumberFormat="1" applyFont="1" applyProtection="1">
      <protection locked="0" hidden="1"/>
    </xf>
    <xf numFmtId="238" fontId="29" fillId="0" borderId="6" xfId="0" applyNumberFormat="1" applyFont="1" applyBorder="1" applyProtection="1">
      <protection locked="0" hidden="1"/>
    </xf>
    <xf numFmtId="238" fontId="28" fillId="7" borderId="5" xfId="0" applyNumberFormat="1" applyFont="1" applyFill="1" applyBorder="1"/>
    <xf numFmtId="227" fontId="27" fillId="0" borderId="0" xfId="0" applyNumberFormat="1" applyFont="1"/>
    <xf numFmtId="1" fontId="27" fillId="0" borderId="4" xfId="0" applyNumberFormat="1" applyFont="1" applyBorder="1"/>
    <xf numFmtId="178" fontId="27" fillId="6" borderId="0" xfId="0" applyNumberFormat="1" applyFont="1" applyFill="1"/>
    <xf numFmtId="172" fontId="27" fillId="0" borderId="4" xfId="0" applyNumberFormat="1" applyFont="1" applyBorder="1"/>
    <xf numFmtId="9" fontId="27" fillId="0" borderId="4" xfId="0" applyNumberFormat="1" applyFont="1" applyBorder="1"/>
    <xf numFmtId="245" fontId="51" fillId="0" borderId="0" xfId="0" applyFont="1"/>
    <xf numFmtId="245" fontId="54" fillId="4" borderId="17" xfId="0" applyFont="1" applyFill="1" applyBorder="1" applyAlignment="1">
      <alignment horizontal="center"/>
    </xf>
    <xf numFmtId="242" fontId="54" fillId="4" borderId="17" xfId="0" applyNumberFormat="1" applyFont="1" applyFill="1" applyBorder="1"/>
    <xf numFmtId="242" fontId="54" fillId="4" borderId="18" xfId="0" applyNumberFormat="1" applyFont="1" applyFill="1" applyBorder="1"/>
    <xf numFmtId="172" fontId="28" fillId="0" borderId="0" xfId="0" applyNumberFormat="1" applyFont="1"/>
    <xf numFmtId="213" fontId="28" fillId="0" borderId="0" xfId="0" applyNumberFormat="1" applyFont="1"/>
    <xf numFmtId="238" fontId="28" fillId="0" borderId="0" xfId="0" applyNumberFormat="1" applyFont="1" applyProtection="1">
      <protection locked="0" hidden="1"/>
    </xf>
    <xf numFmtId="238" fontId="43" fillId="0" borderId="0" xfId="0" applyNumberFormat="1" applyFont="1" applyProtection="1">
      <protection locked="0" hidden="1"/>
    </xf>
    <xf numFmtId="238" fontId="28" fillId="0" borderId="5" xfId="0" applyNumberFormat="1" applyFont="1" applyBorder="1" applyAlignment="1">
      <alignment horizontal="right"/>
    </xf>
    <xf numFmtId="243" fontId="27" fillId="0" borderId="0" xfId="0" applyNumberFormat="1" applyFont="1" applyAlignment="1">
      <alignment horizontal="right"/>
    </xf>
    <xf numFmtId="238" fontId="28" fillId="7" borderId="0" xfId="0" applyNumberFormat="1" applyFont="1" applyFill="1" applyAlignment="1">
      <alignment horizontal="right"/>
    </xf>
    <xf numFmtId="238" fontId="33" fillId="0" borderId="0" xfId="0" applyNumberFormat="1" applyFont="1" applyAlignment="1">
      <alignment horizontal="right"/>
    </xf>
    <xf numFmtId="245" fontId="27" fillId="0" borderId="6" xfId="0" quotePrefix="1" applyFont="1" applyBorder="1" applyAlignment="1">
      <alignment horizontal="left"/>
    </xf>
    <xf numFmtId="245" fontId="38" fillId="0" borderId="0" xfId="0" quotePrefix="1" applyFont="1"/>
    <xf numFmtId="245" fontId="38" fillId="0" borderId="0" xfId="0" applyFont="1" applyAlignment="1">
      <alignment horizontal="center"/>
    </xf>
    <xf numFmtId="245" fontId="0" fillId="0" borderId="6" xfId="0" applyBorder="1" applyAlignment="1">
      <alignment horizontal="center"/>
    </xf>
    <xf numFmtId="245" fontId="37" fillId="0" borderId="6" xfId="0" applyFont="1" applyBorder="1" applyAlignment="1">
      <alignment horizontal="centerContinuous"/>
    </xf>
    <xf numFmtId="245" fontId="0" fillId="0" borderId="6" xfId="0" applyBorder="1" applyAlignment="1">
      <alignment horizontal="centerContinuous"/>
    </xf>
    <xf numFmtId="245" fontId="55" fillId="0" borderId="6" xfId="0" applyFont="1" applyBorder="1" applyAlignment="1">
      <alignment horizontal="centerContinuous"/>
    </xf>
    <xf numFmtId="190" fontId="28" fillId="7" borderId="5" xfId="0" applyNumberFormat="1" applyFont="1" applyFill="1" applyBorder="1"/>
    <xf numFmtId="245" fontId="25" fillId="0" borderId="6" xfId="0" applyFont="1" applyBorder="1" applyAlignment="1">
      <alignment horizontal="center"/>
    </xf>
    <xf numFmtId="245" fontId="34" fillId="0" borderId="6" xfId="0" applyFont="1" applyBorder="1" applyAlignment="1">
      <alignment horizontal="centerContinuous"/>
    </xf>
    <xf numFmtId="245" fontId="25" fillId="0" borderId="6" xfId="0" applyFont="1" applyBorder="1" applyAlignment="1">
      <alignment horizontal="centerContinuous"/>
    </xf>
    <xf numFmtId="245" fontId="36" fillId="0" borderId="6" xfId="0" applyFont="1" applyBorder="1" applyAlignment="1">
      <alignment horizontal="centerContinuous"/>
    </xf>
    <xf numFmtId="245" fontId="28" fillId="0" borderId="4" xfId="0" quotePrefix="1" applyFont="1" applyBorder="1" applyAlignment="1">
      <alignment horizontal="left"/>
    </xf>
    <xf numFmtId="245" fontId="38" fillId="0" borderId="0" xfId="0" applyFont="1"/>
    <xf numFmtId="9" fontId="0" fillId="0" borderId="0" xfId="0" applyNumberFormat="1"/>
    <xf numFmtId="245" fontId="0" fillId="0" borderId="0" xfId="0" applyAlignment="1">
      <alignment horizontal="right"/>
    </xf>
    <xf numFmtId="172" fontId="29" fillId="0" borderId="0" xfId="0" applyNumberFormat="1" applyFont="1" applyAlignment="1">
      <alignment horizontal="right"/>
    </xf>
    <xf numFmtId="245" fontId="0" fillId="0" borderId="0" xfId="0" applyAlignment="1">
      <alignment horizontal="center"/>
    </xf>
    <xf numFmtId="0" fontId="27" fillId="0" borderId="0" xfId="0" applyNumberFormat="1" applyFont="1" applyAlignment="1">
      <alignment horizontal="center"/>
    </xf>
    <xf numFmtId="0" fontId="24" fillId="0" borderId="0" xfId="0" applyNumberFormat="1" applyFont="1" applyAlignment="1">
      <alignment horizontal="center" vertical="center"/>
    </xf>
    <xf numFmtId="0" fontId="39" fillId="0" borderId="0" xfId="0" applyNumberFormat="1" applyFont="1" applyAlignment="1">
      <alignment horizontal="center"/>
    </xf>
    <xf numFmtId="0" fontId="28" fillId="0" borderId="0" xfId="0" applyNumberFormat="1" applyFont="1" applyAlignment="1">
      <alignment horizontal="center"/>
    </xf>
    <xf numFmtId="0" fontId="45" fillId="0" borderId="0" xfId="0" applyNumberFormat="1" applyFont="1" applyAlignment="1">
      <alignment horizontal="center"/>
    </xf>
    <xf numFmtId="0" fontId="27" fillId="0" borderId="11" xfId="0" applyNumberFormat="1" applyFont="1" applyBorder="1" applyAlignment="1">
      <alignment horizontal="center"/>
    </xf>
    <xf numFmtId="245" fontId="16" fillId="0" borderId="0" xfId="0" applyNumberFormat="1" applyFont="1"/>
    <xf numFmtId="245" fontId="17" fillId="0" borderId="0" xfId="0" applyNumberFormat="1" applyFont="1"/>
    <xf numFmtId="245" fontId="62" fillId="5" borderId="0" xfId="0" applyFont="1" applyFill="1"/>
    <xf numFmtId="170" fontId="16" fillId="0" borderId="0" xfId="0" applyNumberFormat="1" applyFont="1"/>
    <xf numFmtId="247" fontId="27" fillId="0" borderId="0" xfId="37" applyFont="1" applyFill="1" applyAlignment="1">
      <alignment horizontal="center"/>
    </xf>
    <xf numFmtId="247" fontId="27" fillId="0" borderId="0" xfId="37" quotePrefix="1" applyFont="1" applyFill="1" applyBorder="1"/>
    <xf numFmtId="247" fontId="27" fillId="0" borderId="0" xfId="37" applyFont="1" applyFill="1" applyBorder="1" applyAlignment="1">
      <alignment horizontal="center"/>
    </xf>
    <xf numFmtId="247" fontId="27" fillId="0" borderId="0" xfId="37" applyFont="1" applyFill="1" applyBorder="1" applyAlignment="1">
      <alignment horizontal="right"/>
    </xf>
    <xf numFmtId="247" fontId="27" fillId="0" borderId="0" xfId="37" applyFont="1" applyFill="1"/>
    <xf numFmtId="247" fontId="27" fillId="0" borderId="0" xfId="37" applyFont="1" applyFill="1" applyBorder="1"/>
    <xf numFmtId="247" fontId="27" fillId="0" borderId="4" xfId="37" applyFont="1" applyFill="1" applyBorder="1" applyAlignment="1">
      <alignment horizontal="right"/>
    </xf>
    <xf numFmtId="247" fontId="27" fillId="0" borderId="12" xfId="37" applyFont="1" applyFill="1" applyBorder="1" applyAlignment="1">
      <alignment horizontal="right"/>
    </xf>
    <xf numFmtId="247" fontId="27" fillId="0" borderId="9" xfId="37" applyFont="1" applyFill="1" applyBorder="1" applyAlignment="1">
      <alignment horizontal="right"/>
    </xf>
    <xf numFmtId="247" fontId="27" fillId="0" borderId="4" xfId="37" applyFont="1" applyFill="1" applyBorder="1"/>
    <xf numFmtId="247" fontId="27" fillId="0" borderId="12" xfId="37" applyFont="1" applyFill="1" applyBorder="1"/>
    <xf numFmtId="247" fontId="38" fillId="0" borderId="15" xfId="37" applyFont="1" applyFill="1" applyBorder="1" applyAlignment="1">
      <alignment horizontal="right"/>
    </xf>
    <xf numFmtId="247" fontId="38" fillId="0" borderId="4" xfId="37" applyFont="1" applyFill="1" applyBorder="1" applyAlignment="1">
      <alignment horizontal="right"/>
    </xf>
    <xf numFmtId="247" fontId="38" fillId="0" borderId="12" xfId="37" applyFont="1" applyFill="1" applyBorder="1" applyAlignment="1">
      <alignment horizontal="right"/>
    </xf>
    <xf numFmtId="247" fontId="27" fillId="0" borderId="0" xfId="37" quotePrefix="1" applyFont="1" applyFill="1" applyBorder="1" applyAlignment="1">
      <alignment horizontal="left" indent="2"/>
    </xf>
    <xf numFmtId="247" fontId="28" fillId="0" borderId="0" xfId="37" applyFont="1" applyFill="1" applyBorder="1" applyAlignment="1">
      <alignment horizontal="center"/>
    </xf>
    <xf numFmtId="247" fontId="28" fillId="0" borderId="0" xfId="37" applyFont="1" applyFill="1" applyBorder="1" applyAlignment="1">
      <alignment horizontal="right"/>
    </xf>
    <xf numFmtId="247" fontId="27" fillId="0" borderId="0" xfId="37" applyFont="1" applyFill="1" applyBorder="1" applyAlignment="1">
      <alignment horizontal="left" indent="2"/>
    </xf>
    <xf numFmtId="247" fontId="28" fillId="0" borderId="0" xfId="37" applyFont="1" applyFill="1" applyAlignment="1">
      <alignment horizontal="center"/>
    </xf>
    <xf numFmtId="247" fontId="28" fillId="0" borderId="0" xfId="37" applyFont="1" applyFill="1"/>
    <xf numFmtId="174" fontId="27" fillId="7" borderId="0" xfId="0" applyNumberFormat="1" applyFont="1" applyFill="1" applyAlignment="1">
      <alignment horizontal="center"/>
    </xf>
    <xf numFmtId="184" fontId="16" fillId="0" borderId="0" xfId="0" applyNumberFormat="1" applyFont="1" applyAlignment="1">
      <alignment horizontal="center"/>
    </xf>
    <xf numFmtId="184" fontId="17" fillId="0" borderId="5" xfId="0" applyNumberFormat="1" applyFont="1" applyBorder="1" applyAlignment="1">
      <alignment horizontal="center"/>
    </xf>
    <xf numFmtId="245" fontId="63" fillId="0" borderId="0" xfId="0" applyFont="1"/>
    <xf numFmtId="178" fontId="17" fillId="0" borderId="0" xfId="0" applyNumberFormat="1" applyFont="1" applyAlignment="1">
      <alignment horizontal="right"/>
    </xf>
    <xf numFmtId="174" fontId="16" fillId="0" borderId="0" xfId="0" applyNumberFormat="1" applyFont="1" applyAlignment="1">
      <alignment horizontal="left"/>
    </xf>
    <xf numFmtId="245" fontId="27" fillId="0" borderId="0" xfId="0" applyNumberFormat="1" applyFont="1" applyAlignment="1">
      <alignment horizontal="right"/>
    </xf>
    <xf numFmtId="245" fontId="28" fillId="7" borderId="0" xfId="0" applyNumberFormat="1" applyFont="1" applyFill="1" applyAlignment="1">
      <alignment horizontal="right"/>
    </xf>
    <xf numFmtId="245" fontId="16" fillId="0" borderId="0" xfId="0" quotePrefix="1" applyFont="1"/>
    <xf numFmtId="245" fontId="17" fillId="0" borderId="0" xfId="0" quotePrefix="1" applyFont="1"/>
    <xf numFmtId="0" fontId="17" fillId="0" borderId="0" xfId="0" applyNumberFormat="1" applyFont="1" applyAlignment="1">
      <alignment horizontal="center"/>
    </xf>
    <xf numFmtId="245" fontId="16" fillId="0" borderId="0" xfId="0" quotePrefix="1" applyFont="1" applyAlignment="1">
      <alignment horizontal="left"/>
    </xf>
    <xf numFmtId="1" fontId="17" fillId="7" borderId="0" xfId="0" applyNumberFormat="1" applyFont="1" applyFill="1"/>
    <xf numFmtId="242" fontId="28" fillId="0" borderId="0" xfId="0" applyNumberFormat="1" applyFont="1" applyAlignment="1">
      <alignment horizontal="right"/>
    </xf>
    <xf numFmtId="242" fontId="31" fillId="0" borderId="0" xfId="0" applyNumberFormat="1" applyFont="1"/>
    <xf numFmtId="247" fontId="16" fillId="0" borderId="0" xfId="37" applyFont="1" applyFill="1"/>
    <xf numFmtId="247" fontId="31" fillId="0" borderId="0" xfId="37" applyFont="1" applyFill="1" applyAlignment="1">
      <alignment horizontal="right"/>
    </xf>
    <xf numFmtId="247" fontId="31" fillId="0" borderId="0" xfId="37" applyFont="1" applyFill="1" applyBorder="1" applyAlignment="1">
      <alignment horizontal="right"/>
    </xf>
    <xf numFmtId="247" fontId="16" fillId="0" borderId="0" xfId="37" quotePrefix="1" applyFont="1" applyFill="1" applyBorder="1"/>
    <xf numFmtId="247" fontId="16" fillId="0" borderId="0" xfId="37" quotePrefix="1" applyFont="1" applyFill="1" applyBorder="1" applyAlignment="1">
      <alignment horizontal="left" indent="2"/>
    </xf>
    <xf numFmtId="245" fontId="59" fillId="0" borderId="6" xfId="20" quotePrefix="1" applyFill="1" applyBorder="1"/>
    <xf numFmtId="245" fontId="59" fillId="0" borderId="6" xfId="20" applyFill="1" applyBorder="1" applyAlignment="1">
      <alignment horizontal="center"/>
    </xf>
    <xf numFmtId="245" fontId="59" fillId="0" borderId="6" xfId="20" applyFill="1" applyBorder="1" applyAlignment="1">
      <alignment horizontal="right"/>
    </xf>
    <xf numFmtId="173" fontId="59" fillId="0" borderId="6" xfId="20" applyNumberFormat="1" applyFill="1" applyBorder="1" applyAlignment="1">
      <alignment horizontal="right"/>
    </xf>
    <xf numFmtId="2" fontId="59" fillId="0" borderId="6" xfId="20" applyNumberFormat="1" applyFill="1" applyBorder="1" applyAlignment="1">
      <alignment horizontal="right"/>
    </xf>
    <xf numFmtId="1" fontId="59" fillId="0" borderId="6" xfId="20" applyNumberFormat="1" applyFill="1" applyBorder="1" applyAlignment="1">
      <alignment horizontal="right"/>
    </xf>
    <xf numFmtId="238" fontId="27" fillId="0" borderId="0" xfId="0" applyNumberFormat="1" applyFont="1" applyAlignment="1">
      <alignment horizontal="center"/>
    </xf>
    <xf numFmtId="238" fontId="16" fillId="0" borderId="0" xfId="0" quotePrefix="1" applyNumberFormat="1" applyFont="1"/>
    <xf numFmtId="238" fontId="28" fillId="7" borderId="0" xfId="0" applyNumberFormat="1" applyFont="1" applyFill="1" applyAlignment="1">
      <alignment horizontal="center"/>
    </xf>
    <xf numFmtId="239" fontId="27" fillId="0" borderId="0" xfId="0" applyNumberFormat="1" applyFont="1" applyAlignment="1">
      <alignment horizontal="center"/>
    </xf>
    <xf numFmtId="239" fontId="16" fillId="0" borderId="0" xfId="0" quotePrefix="1" applyNumberFormat="1" applyFont="1"/>
    <xf numFmtId="239" fontId="27" fillId="0" borderId="0" xfId="0" applyNumberFormat="1" applyFont="1" applyAlignment="1">
      <alignment horizontal="right"/>
    </xf>
    <xf numFmtId="239" fontId="27" fillId="0" borderId="0" xfId="0" applyNumberFormat="1" applyFont="1"/>
    <xf numFmtId="239" fontId="28" fillId="0" borderId="0" xfId="0" applyNumberFormat="1" applyFont="1" applyAlignment="1">
      <alignment horizontal="center"/>
    </xf>
    <xf numFmtId="239" fontId="28" fillId="0" borderId="0" xfId="0" applyNumberFormat="1" applyFont="1" applyAlignment="1">
      <alignment horizontal="right"/>
    </xf>
    <xf numFmtId="247" fontId="27" fillId="0" borderId="0" xfId="0" applyNumberFormat="1" applyFont="1" applyAlignment="1">
      <alignment horizontal="center"/>
    </xf>
    <xf numFmtId="247" fontId="28" fillId="0" borderId="0" xfId="0" applyNumberFormat="1" applyFont="1" applyAlignment="1">
      <alignment horizontal="right"/>
    </xf>
    <xf numFmtId="247" fontId="27" fillId="0" borderId="0" xfId="0" applyNumberFormat="1" applyFont="1" applyAlignment="1">
      <alignment horizontal="right"/>
    </xf>
    <xf numFmtId="247" fontId="27" fillId="0" borderId="0" xfId="0" applyNumberFormat="1" applyFont="1"/>
    <xf numFmtId="239" fontId="16" fillId="0" borderId="0" xfId="0" applyNumberFormat="1" applyFont="1"/>
    <xf numFmtId="239" fontId="16" fillId="0" borderId="0" xfId="0" applyNumberFormat="1" applyFont="1" applyAlignment="1">
      <alignment horizontal="center"/>
    </xf>
    <xf numFmtId="239" fontId="16" fillId="0" borderId="0" xfId="0" applyNumberFormat="1" applyFont="1" applyAlignment="1">
      <alignment horizontal="right"/>
    </xf>
    <xf numFmtId="239" fontId="16" fillId="0" borderId="0" xfId="0" applyNumberFormat="1" applyFont="1" applyAlignment="1">
      <alignment horizontal="left" indent="2"/>
    </xf>
    <xf numFmtId="243" fontId="17" fillId="0" borderId="0" xfId="0" applyNumberFormat="1" applyFont="1" applyAlignment="1">
      <alignment horizontal="center"/>
    </xf>
    <xf numFmtId="243" fontId="17" fillId="0" borderId="0" xfId="0" quotePrefix="1" applyNumberFormat="1" applyFont="1"/>
    <xf numFmtId="243" fontId="17" fillId="0" borderId="0" xfId="0" applyNumberFormat="1" applyFont="1" applyAlignment="1">
      <alignment horizontal="right"/>
    </xf>
    <xf numFmtId="243" fontId="17" fillId="0" borderId="0" xfId="0" applyNumberFormat="1" applyFont="1"/>
    <xf numFmtId="239" fontId="16" fillId="0" borderId="0" xfId="0" quotePrefix="1" applyNumberFormat="1" applyFont="1" applyAlignment="1">
      <alignment horizontal="left" indent="2"/>
    </xf>
    <xf numFmtId="167" fontId="27" fillId="0" borderId="0" xfId="0" applyNumberFormat="1" applyFont="1"/>
    <xf numFmtId="167" fontId="16" fillId="0" borderId="0" xfId="0" applyNumberFormat="1" applyFont="1"/>
    <xf numFmtId="245" fontId="68" fillId="10" borderId="0" xfId="0" applyFont="1" applyFill="1" applyAlignment="1">
      <alignment horizontal="centerContinuous"/>
    </xf>
    <xf numFmtId="245" fontId="62" fillId="10" borderId="0" xfId="0" applyFont="1" applyFill="1" applyAlignment="1">
      <alignment horizontal="centerContinuous"/>
    </xf>
    <xf numFmtId="242" fontId="28" fillId="0" borderId="6" xfId="0" applyNumberFormat="1" applyFont="1" applyBorder="1" applyAlignment="1">
      <alignment horizontal="center"/>
    </xf>
    <xf numFmtId="0" fontId="27" fillId="0" borderId="0" xfId="0" quotePrefix="1" applyNumberFormat="1" applyFont="1" applyAlignment="1">
      <alignment horizontal="center"/>
    </xf>
    <xf numFmtId="245" fontId="62" fillId="0" borderId="0" xfId="0" applyFont="1"/>
    <xf numFmtId="247" fontId="28" fillId="0" borderId="6" xfId="37" applyFont="1" applyFill="1" applyBorder="1" applyAlignment="1">
      <alignment horizontal="center"/>
    </xf>
    <xf numFmtId="184" fontId="28" fillId="0" borderId="0" xfId="0" applyNumberFormat="1" applyFont="1" applyAlignment="1">
      <alignment horizontal="centerContinuous"/>
    </xf>
    <xf numFmtId="245" fontId="62" fillId="10" borderId="0" xfId="0" applyFont="1" applyFill="1" applyAlignment="1">
      <alignment horizontal="right"/>
    </xf>
    <xf numFmtId="248" fontId="62" fillId="10" borderId="0" xfId="0" applyNumberFormat="1" applyFont="1" applyFill="1" applyAlignment="1">
      <alignment horizontal="right"/>
    </xf>
    <xf numFmtId="251" fontId="62" fillId="10" borderId="0" xfId="0" applyNumberFormat="1" applyFont="1" applyFill="1" applyAlignment="1">
      <alignment horizontal="right"/>
    </xf>
    <xf numFmtId="245" fontId="62" fillId="10" borderId="0" xfId="0" applyFont="1" applyFill="1"/>
    <xf numFmtId="245" fontId="62" fillId="10" borderId="0" xfId="0" applyFont="1" applyFill="1" applyAlignment="1">
      <alignment horizontal="center"/>
    </xf>
    <xf numFmtId="249" fontId="62" fillId="10" borderId="0" xfId="0" applyNumberFormat="1" applyFont="1" applyFill="1" applyAlignment="1">
      <alignment horizontal="right"/>
    </xf>
    <xf numFmtId="250" fontId="62" fillId="10" borderId="0" xfId="0" applyNumberFormat="1" applyFont="1" applyFill="1" applyAlignment="1">
      <alignment horizontal="right"/>
    </xf>
    <xf numFmtId="245" fontId="27" fillId="0" borderId="0" xfId="37" applyNumberFormat="1" applyFont="1" applyFill="1" applyBorder="1" applyAlignment="1">
      <alignment horizontal="right"/>
    </xf>
    <xf numFmtId="245" fontId="61" fillId="0" borderId="0" xfId="0" applyFont="1"/>
    <xf numFmtId="245" fontId="16" fillId="0" borderId="0" xfId="0" applyFont="1" applyAlignment="1">
      <alignment horizontal="left" indent="2"/>
    </xf>
    <xf numFmtId="238" fontId="28" fillId="0" borderId="0" xfId="0" applyNumberFormat="1" applyFont="1" applyAlignment="1">
      <alignment horizontal="center"/>
    </xf>
    <xf numFmtId="239" fontId="27" fillId="0" borderId="0" xfId="0" applyNumberFormat="1" applyFont="1" applyAlignment="1">
      <alignment horizontal="left" indent="2"/>
    </xf>
    <xf numFmtId="247" fontId="16" fillId="0" borderId="0" xfId="37" applyFont="1" applyFill="1" applyBorder="1" applyAlignment="1">
      <alignment horizontal="center"/>
    </xf>
    <xf numFmtId="243" fontId="28" fillId="0" borderId="0" xfId="0" applyNumberFormat="1" applyFont="1" applyAlignment="1">
      <alignment horizontal="right"/>
    </xf>
    <xf numFmtId="243" fontId="27" fillId="0" borderId="0" xfId="0" applyNumberFormat="1" applyFont="1"/>
    <xf numFmtId="243" fontId="27" fillId="0" borderId="0" xfId="0" applyNumberFormat="1" applyFont="1" applyAlignment="1">
      <alignment horizontal="center"/>
    </xf>
    <xf numFmtId="243" fontId="28" fillId="0" borderId="0" xfId="0" applyNumberFormat="1" applyFont="1"/>
    <xf numFmtId="243" fontId="28" fillId="0" borderId="0" xfId="0" applyNumberFormat="1" applyFont="1" applyAlignment="1">
      <alignment horizontal="center"/>
    </xf>
    <xf numFmtId="239" fontId="16" fillId="0" borderId="0" xfId="0" applyNumberFormat="1" applyFont="1" applyAlignment="1">
      <alignment horizontal="left"/>
    </xf>
    <xf numFmtId="238" fontId="17" fillId="0" borderId="0" xfId="0" applyNumberFormat="1" applyFont="1"/>
    <xf numFmtId="238" fontId="17" fillId="7" borderId="0" xfId="0" applyNumberFormat="1" applyFont="1" applyFill="1"/>
    <xf numFmtId="245" fontId="17" fillId="0" borderId="0" xfId="0" quotePrefix="1" applyFont="1" applyAlignment="1">
      <alignment horizontal="left"/>
    </xf>
    <xf numFmtId="245" fontId="16" fillId="0" borderId="0" xfId="0" quotePrefix="1" applyFont="1" applyAlignment="1">
      <alignment horizontal="left" indent="2"/>
    </xf>
    <xf numFmtId="1" fontId="17" fillId="0" borderId="0" xfId="0" applyNumberFormat="1" applyFont="1"/>
    <xf numFmtId="245" fontId="28" fillId="0" borderId="0" xfId="0" applyNumberFormat="1" applyFont="1" applyAlignment="1">
      <alignment horizontal="right"/>
    </xf>
    <xf numFmtId="0" fontId="16" fillId="0" borderId="0" xfId="0" applyNumberFormat="1" applyFont="1" applyAlignment="1">
      <alignment horizontal="center"/>
    </xf>
    <xf numFmtId="245" fontId="16" fillId="0" borderId="0" xfId="0" applyNumberFormat="1" applyFont="1" applyAlignment="1">
      <alignment horizontal="right"/>
    </xf>
    <xf numFmtId="245" fontId="21" fillId="0" borderId="0" xfId="0" applyFont="1" applyAlignment="1">
      <alignment horizontal="right"/>
    </xf>
    <xf numFmtId="245" fontId="18" fillId="0" borderId="0" xfId="0" applyFont="1" applyAlignment="1">
      <alignment horizontal="right"/>
    </xf>
    <xf numFmtId="1" fontId="18" fillId="0" borderId="0" xfId="0" applyNumberFormat="1" applyFont="1" applyAlignment="1">
      <alignment horizontal="right"/>
    </xf>
    <xf numFmtId="245" fontId="17" fillId="0" borderId="0" xfId="0" applyNumberFormat="1" applyFont="1" applyAlignment="1">
      <alignment horizontal="right"/>
    </xf>
    <xf numFmtId="247" fontId="17" fillId="0" borderId="0" xfId="37" applyFont="1" applyFill="1" applyBorder="1" applyAlignment="1">
      <alignment horizontal="center"/>
    </xf>
    <xf numFmtId="247" fontId="17" fillId="0" borderId="0" xfId="37" applyFont="1" applyFill="1" applyBorder="1" applyAlignment="1">
      <alignment horizontal="right"/>
    </xf>
    <xf numFmtId="174" fontId="17" fillId="0" borderId="0" xfId="0" applyNumberFormat="1" applyFont="1"/>
    <xf numFmtId="256" fontId="27" fillId="0" borderId="0" xfId="0" applyNumberFormat="1" applyFont="1" applyAlignment="1">
      <alignment horizontal="right"/>
    </xf>
    <xf numFmtId="257" fontId="27" fillId="0" borderId="0" xfId="0" applyNumberFormat="1" applyFont="1" applyAlignment="1">
      <alignment horizontal="right"/>
    </xf>
    <xf numFmtId="258" fontId="27" fillId="0" borderId="0" xfId="0" applyNumberFormat="1" applyFont="1" applyAlignment="1">
      <alignment horizontal="right"/>
    </xf>
    <xf numFmtId="257" fontId="27" fillId="0" borderId="0" xfId="0" applyNumberFormat="1" applyFont="1"/>
    <xf numFmtId="247" fontId="16" fillId="0" borderId="0" xfId="37" quotePrefix="1" applyFont="1" applyFill="1" applyBorder="1" applyAlignment="1">
      <alignment horizontal="center"/>
    </xf>
    <xf numFmtId="238" fontId="17" fillId="0" borderId="0" xfId="0" applyNumberFormat="1" applyFont="1" applyAlignment="1">
      <alignment horizontal="right"/>
    </xf>
    <xf numFmtId="238" fontId="16" fillId="0" borderId="0" xfId="0" applyNumberFormat="1" applyFont="1"/>
    <xf numFmtId="245" fontId="27" fillId="0" borderId="0" xfId="0" applyNumberFormat="1" applyFont="1"/>
    <xf numFmtId="257" fontId="17" fillId="0" borderId="0" xfId="0" applyNumberFormat="1" applyFont="1"/>
    <xf numFmtId="247" fontId="27" fillId="0" borderId="0" xfId="0" quotePrefix="1" applyNumberFormat="1" applyFont="1" applyAlignment="1">
      <alignment horizontal="left" indent="2"/>
    </xf>
    <xf numFmtId="245" fontId="27" fillId="0" borderId="7" xfId="0" quotePrefix="1" applyFont="1" applyBorder="1" applyAlignment="1">
      <alignment horizontal="left" indent="2"/>
    </xf>
    <xf numFmtId="245" fontId="27" fillId="0" borderId="8" xfId="0" quotePrefix="1" applyFont="1" applyBorder="1" applyAlignment="1">
      <alignment horizontal="left" indent="2"/>
    </xf>
    <xf numFmtId="245" fontId="27" fillId="0" borderId="6" xfId="0" quotePrefix="1" applyFont="1" applyBorder="1" applyAlignment="1">
      <alignment horizontal="left" indent="2"/>
    </xf>
    <xf numFmtId="245" fontId="27" fillId="9" borderId="0" xfId="0" quotePrefix="1" applyFont="1" applyFill="1" applyAlignment="1">
      <alignment horizontal="left" indent="2"/>
    </xf>
    <xf numFmtId="245" fontId="17" fillId="7" borderId="5" xfId="0" applyFont="1" applyFill="1" applyBorder="1" applyAlignment="1">
      <alignment horizontal="center"/>
    </xf>
    <xf numFmtId="245" fontId="17" fillId="7" borderId="5" xfId="0" applyFont="1" applyFill="1" applyBorder="1"/>
    <xf numFmtId="245" fontId="17" fillId="0" borderId="4" xfId="0" quotePrefix="1" applyFont="1" applyBorder="1" applyAlignment="1">
      <alignment horizontal="left"/>
    </xf>
    <xf numFmtId="245" fontId="17" fillId="0" borderId="4" xfId="0" applyFont="1" applyBorder="1" applyAlignment="1">
      <alignment horizontal="center"/>
    </xf>
    <xf numFmtId="238" fontId="17" fillId="0" borderId="4" xfId="0" applyNumberFormat="1" applyFont="1" applyBorder="1"/>
    <xf numFmtId="245" fontId="16" fillId="0" borderId="0" xfId="0" applyFont="1" applyAlignment="1">
      <alignment horizontal="left"/>
    </xf>
    <xf numFmtId="226" fontId="27" fillId="0" borderId="0" xfId="0" quotePrefix="1" applyNumberFormat="1" applyFont="1"/>
    <xf numFmtId="238" fontId="16" fillId="0" borderId="0" xfId="0" applyNumberFormat="1" applyFont="1" applyAlignment="1">
      <alignment horizontal="right"/>
    </xf>
    <xf numFmtId="238" fontId="16" fillId="0" borderId="0" xfId="17" applyNumberFormat="1" applyFont="1" applyFill="1" applyBorder="1" applyAlignment="1">
      <alignment horizontal="right"/>
    </xf>
    <xf numFmtId="243" fontId="29" fillId="0" borderId="0" xfId="0" applyNumberFormat="1" applyFont="1" applyAlignment="1">
      <alignment horizontal="right"/>
    </xf>
    <xf numFmtId="0" fontId="54" fillId="4" borderId="17" xfId="0" applyNumberFormat="1" applyFont="1" applyFill="1" applyBorder="1" applyAlignment="1">
      <alignment horizontal="center"/>
    </xf>
    <xf numFmtId="0" fontId="31" fillId="0" borderId="0" xfId="0" applyNumberFormat="1" applyFont="1" applyAlignment="1">
      <alignment horizontal="center"/>
    </xf>
    <xf numFmtId="0" fontId="35" fillId="0" borderId="0" xfId="0" applyNumberFormat="1" applyFont="1" applyAlignment="1">
      <alignment horizontal="center"/>
    </xf>
    <xf numFmtId="0" fontId="20" fillId="0" borderId="0" xfId="0" applyNumberFormat="1" applyFont="1" applyAlignment="1">
      <alignment horizontal="center"/>
    </xf>
    <xf numFmtId="0" fontId="20" fillId="0" borderId="0" xfId="37" applyNumberFormat="1" applyFont="1" applyFill="1" applyAlignment="1">
      <alignment horizontal="center"/>
    </xf>
    <xf numFmtId="166" fontId="63" fillId="0" borderId="0" xfId="0" applyNumberFormat="1" applyFont="1" applyAlignment="1">
      <alignment horizontal="left"/>
    </xf>
    <xf numFmtId="247" fontId="28" fillId="7" borderId="5" xfId="0" applyNumberFormat="1" applyFont="1" applyFill="1" applyBorder="1"/>
    <xf numFmtId="243" fontId="73" fillId="0" borderId="0" xfId="0" applyNumberFormat="1" applyFont="1" applyAlignment="1">
      <alignment horizontal="right"/>
    </xf>
    <xf numFmtId="238" fontId="73" fillId="0" borderId="0" xfId="0" applyNumberFormat="1" applyFont="1" applyAlignment="1">
      <alignment horizontal="right"/>
    </xf>
    <xf numFmtId="178" fontId="73" fillId="0" borderId="0" xfId="0" applyNumberFormat="1" applyFont="1" applyAlignment="1">
      <alignment horizontal="right"/>
    </xf>
    <xf numFmtId="178" fontId="73" fillId="0" borderId="6" xfId="0" applyNumberFormat="1" applyFont="1" applyBorder="1"/>
    <xf numFmtId="186" fontId="73" fillId="0" borderId="6" xfId="0" applyNumberFormat="1" applyFont="1" applyBorder="1"/>
    <xf numFmtId="178" fontId="75" fillId="0" borderId="0" xfId="0" applyNumberFormat="1" applyFont="1" applyAlignment="1">
      <alignment horizontal="right"/>
    </xf>
    <xf numFmtId="1" fontId="73" fillId="7" borderId="0" xfId="0" applyNumberFormat="1" applyFont="1" applyFill="1"/>
    <xf numFmtId="1" fontId="73" fillId="0" borderId="0" xfId="0" applyNumberFormat="1" applyFont="1"/>
    <xf numFmtId="245" fontId="73" fillId="0" borderId="0" xfId="0" applyFont="1"/>
    <xf numFmtId="186" fontId="73" fillId="0" borderId="0" xfId="0" applyNumberFormat="1" applyFont="1"/>
    <xf numFmtId="188" fontId="73" fillId="0" borderId="0" xfId="0" applyNumberFormat="1" applyFont="1"/>
    <xf numFmtId="170" fontId="73" fillId="0" borderId="0" xfId="0" applyNumberFormat="1" applyFont="1"/>
    <xf numFmtId="174" fontId="73" fillId="0" borderId="0" xfId="0" applyNumberFormat="1" applyFont="1"/>
    <xf numFmtId="1" fontId="73" fillId="0" borderId="0" xfId="0" applyNumberFormat="1" applyFont="1" applyAlignment="1">
      <alignment horizontal="right"/>
    </xf>
    <xf numFmtId="178" fontId="73" fillId="0" borderId="0" xfId="0" applyNumberFormat="1" applyFont="1"/>
    <xf numFmtId="238" fontId="73" fillId="0" borderId="0" xfId="0" applyNumberFormat="1" applyFont="1"/>
    <xf numFmtId="242" fontId="73" fillId="0" borderId="0" xfId="0" applyNumberFormat="1" applyFont="1"/>
    <xf numFmtId="242" fontId="73" fillId="0" borderId="0" xfId="0" applyNumberFormat="1" applyFont="1" applyAlignment="1">
      <alignment horizontal="right"/>
    </xf>
    <xf numFmtId="190" fontId="73" fillId="0" borderId="0" xfId="0" applyNumberFormat="1" applyFont="1"/>
    <xf numFmtId="245" fontId="76" fillId="10" borderId="0" xfId="0" applyFont="1" applyFill="1"/>
    <xf numFmtId="248" fontId="76" fillId="10" borderId="0" xfId="0" applyNumberFormat="1" applyFont="1" applyFill="1" applyAlignment="1">
      <alignment horizontal="right"/>
    </xf>
    <xf numFmtId="251" fontId="76" fillId="10" borderId="0" xfId="0" applyNumberFormat="1" applyFont="1" applyFill="1" applyAlignment="1">
      <alignment horizontal="right"/>
    </xf>
    <xf numFmtId="245" fontId="78" fillId="10" borderId="0" xfId="0" applyFont="1" applyFill="1"/>
    <xf numFmtId="0" fontId="78" fillId="10" borderId="0" xfId="0" applyNumberFormat="1" applyFont="1" applyFill="1" applyAlignment="1">
      <alignment horizontal="center"/>
    </xf>
    <xf numFmtId="245" fontId="78" fillId="10" borderId="0" xfId="0" applyFont="1" applyFill="1" applyAlignment="1">
      <alignment horizontal="center"/>
    </xf>
    <xf numFmtId="245" fontId="79" fillId="10" borderId="0" xfId="0" applyFont="1" applyFill="1"/>
    <xf numFmtId="245" fontId="80" fillId="10" borderId="0" xfId="0" applyFont="1" applyFill="1" applyAlignment="1">
      <alignment horizontal="center"/>
    </xf>
    <xf numFmtId="245" fontId="78" fillId="10" borderId="0" xfId="0" applyFont="1" applyFill="1" applyAlignment="1">
      <alignment horizontal="right"/>
    </xf>
    <xf numFmtId="171" fontId="78" fillId="10" borderId="0" xfId="0" applyNumberFormat="1" applyFont="1" applyFill="1" applyAlignment="1">
      <alignment horizontal="left"/>
    </xf>
    <xf numFmtId="9" fontId="78" fillId="10" borderId="0" xfId="0" applyNumberFormat="1" applyFont="1" applyFill="1"/>
    <xf numFmtId="245" fontId="81" fillId="10" borderId="0" xfId="0" applyFont="1" applyFill="1"/>
    <xf numFmtId="174" fontId="76" fillId="10" borderId="0" xfId="0" applyNumberFormat="1" applyFont="1" applyFill="1"/>
    <xf numFmtId="174" fontId="78" fillId="10" borderId="0" xfId="0" applyNumberFormat="1" applyFont="1" applyFill="1"/>
    <xf numFmtId="170" fontId="78" fillId="10" borderId="0" xfId="0" applyNumberFormat="1" applyFont="1" applyFill="1"/>
    <xf numFmtId="166" fontId="82" fillId="10" borderId="0" xfId="0" applyNumberFormat="1" applyFont="1" applyFill="1" applyAlignment="1">
      <alignment horizontal="left"/>
    </xf>
    <xf numFmtId="245" fontId="76" fillId="10" borderId="0" xfId="0" applyFont="1" applyFill="1" applyAlignment="1">
      <alignment horizontal="center"/>
    </xf>
    <xf numFmtId="260" fontId="76" fillId="10" borderId="0" xfId="0" applyNumberFormat="1" applyFont="1" applyFill="1" applyAlignment="1">
      <alignment horizontal="right"/>
    </xf>
    <xf numFmtId="259" fontId="76" fillId="10" borderId="0" xfId="0" applyNumberFormat="1" applyFont="1" applyFill="1" applyAlignment="1">
      <alignment horizontal="right"/>
    </xf>
    <xf numFmtId="15" fontId="76" fillId="10" borderId="0" xfId="0" applyNumberFormat="1" applyFont="1" applyFill="1" applyAlignment="1">
      <alignment horizontal="center"/>
    </xf>
    <xf numFmtId="262" fontId="82" fillId="10" borderId="0" xfId="0" applyNumberFormat="1" applyFont="1" applyFill="1" applyAlignment="1">
      <alignment horizontal="left"/>
    </xf>
    <xf numFmtId="245" fontId="83" fillId="10" borderId="0" xfId="0" applyFont="1" applyFill="1"/>
    <xf numFmtId="249" fontId="76" fillId="10" borderId="0" xfId="0" applyNumberFormat="1" applyFont="1" applyFill="1" applyAlignment="1">
      <alignment horizontal="right"/>
    </xf>
    <xf numFmtId="250" fontId="76" fillId="10" borderId="0" xfId="0" applyNumberFormat="1" applyFont="1" applyFill="1" applyAlignment="1">
      <alignment horizontal="right"/>
    </xf>
    <xf numFmtId="178" fontId="78" fillId="10" borderId="0" xfId="0" applyNumberFormat="1" applyFont="1" applyFill="1" applyAlignment="1">
      <alignment horizontal="right"/>
    </xf>
    <xf numFmtId="245" fontId="81" fillId="10" borderId="0" xfId="0" applyFont="1" applyFill="1" applyAlignment="1">
      <alignment horizontal="center"/>
    </xf>
    <xf numFmtId="245" fontId="78" fillId="0" borderId="0" xfId="0" applyFont="1"/>
    <xf numFmtId="245" fontId="62" fillId="10" borderId="0" xfId="0" applyNumberFormat="1" applyFont="1" applyFill="1" applyAlignment="1">
      <alignment horizontal="right"/>
    </xf>
    <xf numFmtId="245" fontId="37" fillId="10" borderId="0" xfId="0" applyNumberFormat="1" applyFont="1" applyFill="1" applyAlignment="1">
      <alignment horizontal="right"/>
    </xf>
    <xf numFmtId="245" fontId="37" fillId="10" borderId="0" xfId="0" applyFont="1" applyFill="1" applyAlignment="1">
      <alignment horizontal="right"/>
    </xf>
    <xf numFmtId="245" fontId="83" fillId="10" borderId="0" xfId="0" applyFont="1" applyFill="1" applyAlignment="1">
      <alignment horizontal="center"/>
    </xf>
    <xf numFmtId="245" fontId="84" fillId="10" borderId="0" xfId="0" applyFont="1" applyFill="1"/>
    <xf numFmtId="245" fontId="76" fillId="10" borderId="0" xfId="0" applyFont="1" applyFill="1" applyAlignment="1">
      <alignment horizontal="left"/>
    </xf>
    <xf numFmtId="166" fontId="76" fillId="10" borderId="0" xfId="0" applyNumberFormat="1" applyFont="1" applyFill="1" applyAlignment="1">
      <alignment horizontal="center"/>
    </xf>
    <xf numFmtId="1" fontId="84" fillId="10" borderId="0" xfId="0" applyNumberFormat="1" applyFont="1" applyFill="1"/>
    <xf numFmtId="248" fontId="17" fillId="4" borderId="0" xfId="0" applyNumberFormat="1" applyFont="1" applyFill="1" applyAlignment="1">
      <alignment horizontal="left"/>
    </xf>
    <xf numFmtId="248" fontId="17" fillId="4" borderId="0" xfId="0" applyNumberFormat="1" applyFont="1" applyFill="1" applyAlignment="1">
      <alignment horizontal="right"/>
    </xf>
    <xf numFmtId="174" fontId="63" fillId="0" borderId="0" xfId="0" applyNumberFormat="1" applyFont="1"/>
    <xf numFmtId="245" fontId="73" fillId="0" borderId="0" xfId="0" applyNumberFormat="1" applyFont="1"/>
    <xf numFmtId="245" fontId="20" fillId="0" borderId="0" xfId="0" applyFont="1" applyAlignment="1">
      <alignment horizontal="center"/>
    </xf>
    <xf numFmtId="2" fontId="20" fillId="0" borderId="0" xfId="0" applyNumberFormat="1" applyFont="1" applyAlignment="1">
      <alignment horizontal="left"/>
    </xf>
    <xf numFmtId="245" fontId="20" fillId="0" borderId="0" xfId="0" applyFont="1"/>
    <xf numFmtId="247" fontId="31" fillId="0" borderId="0" xfId="0" applyNumberFormat="1" applyFont="1" applyAlignment="1">
      <alignment horizontal="right"/>
    </xf>
    <xf numFmtId="252" fontId="27" fillId="0" borderId="0" xfId="0" applyNumberFormat="1" applyFont="1" applyAlignment="1">
      <alignment horizontal="right"/>
    </xf>
    <xf numFmtId="247" fontId="27" fillId="0" borderId="0" xfId="37" applyFont="1" applyFill="1" applyBorder="1" applyAlignment="1"/>
    <xf numFmtId="247" fontId="27" fillId="0" borderId="0" xfId="37" applyFont="1" applyFill="1" applyAlignment="1"/>
    <xf numFmtId="247" fontId="16" fillId="0" borderId="0" xfId="37" applyFont="1" applyFill="1" applyAlignment="1"/>
    <xf numFmtId="247" fontId="17" fillId="0" borderId="0" xfId="37" applyFont="1" applyFill="1" applyAlignment="1"/>
    <xf numFmtId="247" fontId="28" fillId="0" borderId="0" xfId="37" applyFont="1" applyFill="1" applyAlignment="1"/>
    <xf numFmtId="245" fontId="45" fillId="0" borderId="0" xfId="0" applyFont="1"/>
    <xf numFmtId="166" fontId="28" fillId="0" borderId="0" xfId="0" applyNumberFormat="1" applyFont="1" applyAlignment="1">
      <alignment horizontal="center"/>
    </xf>
    <xf numFmtId="245" fontId="91" fillId="0" borderId="0" xfId="0" applyFont="1"/>
    <xf numFmtId="245" fontId="0" fillId="12" borderId="0" xfId="0" applyFill="1"/>
    <xf numFmtId="252" fontId="0" fillId="12" borderId="0" xfId="0" applyNumberFormat="1" applyFill="1"/>
    <xf numFmtId="167" fontId="92" fillId="0" borderId="0" xfId="17" applyNumberFormat="1" applyFont="1" applyFill="1" applyBorder="1"/>
    <xf numFmtId="245" fontId="93" fillId="0" borderId="0" xfId="0" applyFont="1"/>
    <xf numFmtId="239" fontId="92" fillId="0" borderId="0" xfId="0" applyNumberFormat="1" applyFont="1" applyAlignment="1">
      <alignment horizontal="right"/>
    </xf>
    <xf numFmtId="243" fontId="93" fillId="0" borderId="0" xfId="0" applyNumberFormat="1" applyFont="1" applyAlignment="1">
      <alignment horizontal="right"/>
    </xf>
    <xf numFmtId="239" fontId="92" fillId="0" borderId="0" xfId="0" applyNumberFormat="1" applyFont="1"/>
    <xf numFmtId="247" fontId="92" fillId="0" borderId="0" xfId="37" applyFont="1" applyFill="1" applyBorder="1" applyAlignment="1">
      <alignment horizontal="right"/>
    </xf>
    <xf numFmtId="238" fontId="93" fillId="0" borderId="0" xfId="0" applyNumberFormat="1" applyFont="1" applyAlignment="1">
      <alignment horizontal="right"/>
    </xf>
    <xf numFmtId="245" fontId="92" fillId="0" borderId="0" xfId="0" applyFont="1"/>
    <xf numFmtId="257" fontId="92" fillId="0" borderId="0" xfId="0" applyNumberFormat="1" applyFont="1"/>
    <xf numFmtId="245" fontId="92" fillId="0" borderId="0" xfId="0" applyFont="1" applyAlignment="1">
      <alignment horizontal="right"/>
    </xf>
    <xf numFmtId="174" fontId="92" fillId="0" borderId="0" xfId="0" applyNumberFormat="1" applyFont="1" applyAlignment="1">
      <alignment horizontal="right"/>
    </xf>
    <xf numFmtId="245" fontId="93" fillId="0" borderId="0" xfId="0" applyFont="1" applyAlignment="1">
      <alignment horizontal="right"/>
    </xf>
    <xf numFmtId="1" fontId="93" fillId="0" borderId="0" xfId="0" applyNumberFormat="1" applyFont="1" applyAlignment="1">
      <alignment horizontal="right"/>
    </xf>
    <xf numFmtId="1" fontId="92" fillId="0" borderId="0" xfId="0" applyNumberFormat="1" applyFont="1" applyAlignment="1">
      <alignment horizontal="right"/>
    </xf>
    <xf numFmtId="247" fontId="92" fillId="0" borderId="9" xfId="37" applyFont="1" applyFill="1" applyBorder="1" applyAlignment="1">
      <alignment horizontal="right"/>
    </xf>
    <xf numFmtId="245" fontId="92" fillId="0" borderId="0" xfId="0" applyNumberFormat="1" applyFont="1" applyAlignment="1">
      <alignment horizontal="right"/>
    </xf>
    <xf numFmtId="256" fontId="92" fillId="0" borderId="0" xfId="0" applyNumberFormat="1" applyFont="1" applyAlignment="1">
      <alignment horizontal="right"/>
    </xf>
    <xf numFmtId="245" fontId="93" fillId="0" borderId="0" xfId="0" applyNumberFormat="1" applyFont="1" applyAlignment="1">
      <alignment horizontal="right"/>
    </xf>
    <xf numFmtId="245" fontId="92" fillId="0" borderId="0" xfId="0" applyFont="1" applyAlignment="1">
      <alignment horizontal="center"/>
    </xf>
    <xf numFmtId="247" fontId="92" fillId="0" borderId="4" xfId="37" applyFont="1" applyFill="1" applyBorder="1" applyAlignment="1">
      <alignment horizontal="right"/>
    </xf>
    <xf numFmtId="247" fontId="92" fillId="0" borderId="12" xfId="37" applyFont="1" applyFill="1" applyBorder="1" applyAlignment="1">
      <alignment horizontal="right"/>
    </xf>
    <xf numFmtId="247" fontId="92" fillId="0" borderId="4" xfId="37" applyFont="1" applyFill="1" applyBorder="1"/>
    <xf numFmtId="247" fontId="92" fillId="0" borderId="12" xfId="37" applyFont="1" applyFill="1" applyBorder="1"/>
    <xf numFmtId="174" fontId="92" fillId="0" borderId="6" xfId="0" applyNumberFormat="1" applyFont="1" applyBorder="1" applyAlignment="1">
      <alignment horizontal="right"/>
    </xf>
    <xf numFmtId="172" fontId="92" fillId="0" borderId="0" xfId="0" applyNumberFormat="1" applyFont="1" applyAlignment="1">
      <alignment horizontal="right"/>
    </xf>
    <xf numFmtId="238" fontId="92" fillId="0" borderId="0" xfId="0" applyNumberFormat="1" applyFont="1" applyAlignment="1">
      <alignment horizontal="right"/>
    </xf>
    <xf numFmtId="178" fontId="92" fillId="0" borderId="0" xfId="0" applyNumberFormat="1" applyFont="1" applyAlignment="1">
      <alignment horizontal="right"/>
    </xf>
    <xf numFmtId="178" fontId="93" fillId="0" borderId="0" xfId="0" applyNumberFormat="1" applyFont="1" applyAlignment="1">
      <alignment horizontal="right"/>
    </xf>
    <xf numFmtId="238" fontId="93" fillId="7" borderId="5" xfId="0" applyNumberFormat="1" applyFont="1" applyFill="1" applyBorder="1"/>
    <xf numFmtId="238" fontId="93" fillId="7" borderId="0" xfId="0" applyNumberFormat="1" applyFont="1" applyFill="1" applyAlignment="1">
      <alignment horizontal="right"/>
    </xf>
    <xf numFmtId="245" fontId="93" fillId="7" borderId="0" xfId="0" applyNumberFormat="1" applyFont="1" applyFill="1" applyAlignment="1">
      <alignment horizontal="right"/>
    </xf>
    <xf numFmtId="1" fontId="93" fillId="7" borderId="0" xfId="0" applyNumberFormat="1" applyFont="1" applyFill="1" applyAlignment="1">
      <alignment horizontal="right"/>
    </xf>
    <xf numFmtId="245" fontId="93" fillId="7" borderId="0" xfId="0" applyFont="1" applyFill="1" applyAlignment="1">
      <alignment horizontal="right"/>
    </xf>
    <xf numFmtId="245" fontId="92" fillId="0" borderId="9" xfId="0" applyFont="1" applyBorder="1" applyAlignment="1">
      <alignment horizontal="right"/>
    </xf>
    <xf numFmtId="245" fontId="92" fillId="0" borderId="4" xfId="0" applyFont="1" applyBorder="1" applyAlignment="1">
      <alignment horizontal="right"/>
    </xf>
    <xf numFmtId="9" fontId="92" fillId="0" borderId="0" xfId="0" applyNumberFormat="1" applyFont="1" applyAlignment="1">
      <alignment horizontal="right"/>
    </xf>
    <xf numFmtId="245" fontId="92" fillId="0" borderId="15" xfId="0" applyFont="1" applyBorder="1" applyAlignment="1">
      <alignment horizontal="right"/>
    </xf>
    <xf numFmtId="247" fontId="92" fillId="0" borderId="15" xfId="37" applyFont="1" applyFill="1" applyBorder="1" applyAlignment="1">
      <alignment horizontal="right"/>
    </xf>
    <xf numFmtId="1" fontId="92" fillId="7" borderId="0" xfId="0" applyNumberFormat="1" applyFont="1" applyFill="1"/>
    <xf numFmtId="3" fontId="92" fillId="0" borderId="0" xfId="0" applyNumberFormat="1" applyFont="1"/>
    <xf numFmtId="2" fontId="92" fillId="0" borderId="0" xfId="0" applyNumberFormat="1" applyFont="1"/>
    <xf numFmtId="247" fontId="93" fillId="0" borderId="0" xfId="37" applyFont="1" applyFill="1" applyBorder="1" applyAlignment="1">
      <alignment horizontal="right"/>
    </xf>
    <xf numFmtId="247" fontId="93" fillId="0" borderId="9" xfId="37" applyFont="1" applyFill="1" applyBorder="1" applyAlignment="1">
      <alignment horizontal="right"/>
    </xf>
    <xf numFmtId="174" fontId="92" fillId="0" borderId="0" xfId="0" applyNumberFormat="1" applyFont="1"/>
    <xf numFmtId="174" fontId="93" fillId="7" borderId="0" xfId="0" applyNumberFormat="1" applyFont="1" applyFill="1"/>
    <xf numFmtId="174" fontId="92" fillId="7" borderId="0" xfId="0" applyNumberFormat="1" applyFont="1" applyFill="1"/>
    <xf numFmtId="178" fontId="92" fillId="0" borderId="0" xfId="0" applyNumberFormat="1" applyFont="1"/>
    <xf numFmtId="1" fontId="92" fillId="0" borderId="0" xfId="0" applyNumberFormat="1" applyFont="1"/>
    <xf numFmtId="178" fontId="92" fillId="6" borderId="0" xfId="0" applyNumberFormat="1" applyFont="1" applyFill="1"/>
    <xf numFmtId="172" fontId="92" fillId="0" borderId="9" xfId="0" applyNumberFormat="1" applyFont="1" applyBorder="1"/>
    <xf numFmtId="172" fontId="92" fillId="0" borderId="4" xfId="0" applyNumberFormat="1" applyFont="1" applyBorder="1"/>
    <xf numFmtId="172" fontId="92" fillId="0" borderId="4" xfId="0" applyNumberFormat="1" applyFont="1" applyBorder="1" applyAlignment="1">
      <alignment horizontal="right"/>
    </xf>
    <xf numFmtId="245" fontId="92" fillId="0" borderId="12" xfId="0" applyFont="1" applyBorder="1" applyAlignment="1">
      <alignment horizontal="right"/>
    </xf>
    <xf numFmtId="172" fontId="92" fillId="0" borderId="15" xfId="0" applyNumberFormat="1" applyFont="1" applyBorder="1" applyAlignment="1">
      <alignment horizontal="right"/>
    </xf>
    <xf numFmtId="245" fontId="93" fillId="7" borderId="0" xfId="0" applyFont="1" applyFill="1" applyAlignment="1">
      <alignment horizontal="center"/>
    </xf>
    <xf numFmtId="245" fontId="93" fillId="8" borderId="0" xfId="0" applyFont="1" applyFill="1" applyAlignment="1">
      <alignment horizontal="right"/>
    </xf>
    <xf numFmtId="173" fontId="92" fillId="0" borderId="0" xfId="0" applyNumberFormat="1" applyFont="1"/>
    <xf numFmtId="9" fontId="92" fillId="0" borderId="15" xfId="0" applyNumberFormat="1" applyFont="1" applyBorder="1"/>
    <xf numFmtId="9" fontId="92" fillId="0" borderId="4" xfId="0" applyNumberFormat="1" applyFont="1" applyBorder="1"/>
    <xf numFmtId="9" fontId="92" fillId="0" borderId="12" xfId="0" applyNumberFormat="1" applyFont="1" applyBorder="1"/>
    <xf numFmtId="188" fontId="92" fillId="0" borderId="0" xfId="0" applyNumberFormat="1" applyFont="1"/>
    <xf numFmtId="170" fontId="92" fillId="0" borderId="0" xfId="0" applyNumberFormat="1" applyFont="1"/>
    <xf numFmtId="1" fontId="93" fillId="7" borderId="0" xfId="0" applyNumberFormat="1" applyFont="1" applyFill="1"/>
    <xf numFmtId="245" fontId="92" fillId="0" borderId="9" xfId="0" applyFont="1" applyBorder="1"/>
    <xf numFmtId="245" fontId="92" fillId="0" borderId="4" xfId="0" applyFont="1" applyBorder="1"/>
    <xf numFmtId="245" fontId="92" fillId="0" borderId="14" xfId="0" applyFont="1" applyBorder="1"/>
    <xf numFmtId="245" fontId="92" fillId="0" borderId="6" xfId="0" applyFont="1" applyBorder="1"/>
    <xf numFmtId="172" fontId="92" fillId="0" borderId="15" xfId="0" applyNumberFormat="1" applyFont="1" applyBorder="1"/>
    <xf numFmtId="245" fontId="93" fillId="7" borderId="0" xfId="0" applyFont="1" applyFill="1"/>
    <xf numFmtId="1" fontId="92" fillId="7" borderId="0" xfId="0" applyNumberFormat="1" applyFont="1" applyFill="1" applyAlignment="1">
      <alignment horizontal="right"/>
    </xf>
    <xf numFmtId="245" fontId="92" fillId="7" borderId="0" xfId="0" applyFont="1" applyFill="1" applyAlignment="1">
      <alignment horizontal="right"/>
    </xf>
    <xf numFmtId="9" fontId="92" fillId="0" borderId="4" xfId="0" applyNumberFormat="1" applyFont="1" applyBorder="1" applyAlignment="1">
      <alignment horizontal="right"/>
    </xf>
    <xf numFmtId="245" fontId="92" fillId="9" borderId="0" xfId="0" applyFont="1" applyFill="1" applyAlignment="1">
      <alignment horizontal="right"/>
    </xf>
    <xf numFmtId="245" fontId="92" fillId="9" borderId="4" xfId="0" applyFont="1" applyFill="1" applyBorder="1" applyAlignment="1">
      <alignment horizontal="right"/>
    </xf>
    <xf numFmtId="245" fontId="92" fillId="9" borderId="12" xfId="0" applyFont="1" applyFill="1" applyBorder="1" applyAlignment="1">
      <alignment horizontal="right"/>
    </xf>
    <xf numFmtId="245" fontId="93" fillId="9" borderId="0" xfId="0" applyFont="1" applyFill="1" applyAlignment="1">
      <alignment horizontal="right"/>
    </xf>
    <xf numFmtId="190" fontId="92" fillId="0" borderId="0" xfId="0" applyNumberFormat="1" applyFont="1" applyProtection="1">
      <protection locked="0" hidden="1"/>
    </xf>
    <xf numFmtId="238" fontId="92" fillId="0" borderId="0" xfId="0" applyNumberFormat="1" applyFont="1" applyProtection="1">
      <protection locked="0" hidden="1"/>
    </xf>
    <xf numFmtId="190" fontId="92" fillId="0" borderId="0" xfId="17" applyNumberFormat="1" applyFont="1" applyFill="1" applyProtection="1">
      <protection locked="0" hidden="1"/>
    </xf>
    <xf numFmtId="238" fontId="92" fillId="0" borderId="0" xfId="17" applyNumberFormat="1" applyFont="1" applyFill="1" applyBorder="1" applyProtection="1">
      <protection locked="0" hidden="1"/>
    </xf>
    <xf numFmtId="190" fontId="92" fillId="0" borderId="0" xfId="17" applyNumberFormat="1" applyFont="1" applyFill="1" applyBorder="1" applyProtection="1">
      <protection locked="0" hidden="1"/>
    </xf>
    <xf numFmtId="190" fontId="92" fillId="7" borderId="5" xfId="17" applyNumberFormat="1" applyFont="1" applyFill="1" applyBorder="1"/>
    <xf numFmtId="190" fontId="92" fillId="7" borderId="5" xfId="17" applyNumberFormat="1" applyFont="1" applyFill="1" applyBorder="1" applyProtection="1">
      <protection locked="0" hidden="1"/>
    </xf>
    <xf numFmtId="238" fontId="92" fillId="7" borderId="5" xfId="17" applyNumberFormat="1" applyFont="1" applyFill="1" applyBorder="1"/>
    <xf numFmtId="190" fontId="92" fillId="6" borderId="20" xfId="17" applyNumberFormat="1" applyFont="1" applyFill="1" applyBorder="1"/>
    <xf numFmtId="178" fontId="92" fillId="0" borderId="0" xfId="17" applyNumberFormat="1" applyFont="1" applyFill="1" applyBorder="1" applyProtection="1">
      <protection locked="0" hidden="1"/>
    </xf>
    <xf numFmtId="238" fontId="93" fillId="0" borderId="0" xfId="17" applyNumberFormat="1" applyFont="1" applyFill="1" applyBorder="1" applyAlignment="1">
      <alignment horizontal="right"/>
    </xf>
    <xf numFmtId="238" fontId="92" fillId="0" borderId="0" xfId="17" applyNumberFormat="1" applyFont="1" applyFill="1" applyBorder="1" applyAlignment="1">
      <alignment horizontal="right"/>
    </xf>
    <xf numFmtId="243" fontId="92" fillId="0" borderId="0" xfId="17" applyNumberFormat="1" applyFont="1" applyFill="1" applyBorder="1" applyAlignment="1">
      <alignment horizontal="right"/>
    </xf>
    <xf numFmtId="247" fontId="92" fillId="0" borderId="0" xfId="17" applyNumberFormat="1" applyFont="1" applyFill="1" applyAlignment="1">
      <alignment horizontal="right"/>
    </xf>
    <xf numFmtId="247" fontId="92" fillId="0" borderId="0" xfId="17" applyNumberFormat="1" applyFont="1" applyFill="1" applyBorder="1" applyAlignment="1">
      <alignment horizontal="right"/>
    </xf>
    <xf numFmtId="243" fontId="92" fillId="0" borderId="0" xfId="0" applyNumberFormat="1" applyFont="1" applyAlignment="1">
      <alignment horizontal="right"/>
    </xf>
    <xf numFmtId="238" fontId="92" fillId="0" borderId="0" xfId="0" applyNumberFormat="1" applyFont="1"/>
    <xf numFmtId="190" fontId="92" fillId="0" borderId="0" xfId="0" applyNumberFormat="1" applyFont="1" applyAlignment="1" applyProtection="1">
      <alignment horizontal="right"/>
      <protection locked="0" hidden="1"/>
    </xf>
    <xf numFmtId="238" fontId="92" fillId="0" borderId="0" xfId="0" applyNumberFormat="1" applyFont="1" applyAlignment="1" applyProtection="1">
      <alignment horizontal="right"/>
      <protection locked="0" hidden="1"/>
    </xf>
    <xf numFmtId="190" fontId="92" fillId="0" borderId="0" xfId="0" applyNumberFormat="1" applyFont="1"/>
    <xf numFmtId="184" fontId="93" fillId="0" borderId="0" xfId="0" applyNumberFormat="1" applyFont="1" applyAlignment="1">
      <alignment horizontal="center"/>
    </xf>
    <xf numFmtId="226" fontId="92" fillId="0" borderId="0" xfId="17" applyNumberFormat="1" applyFont="1" applyFill="1" applyBorder="1"/>
    <xf numFmtId="247" fontId="92" fillId="13" borderId="32" xfId="23" applyNumberFormat="1" applyFont="1" applyFill="1" applyAlignment="1">
      <alignment horizontal="right"/>
      <protection locked="0"/>
    </xf>
    <xf numFmtId="245" fontId="92" fillId="13" borderId="32" xfId="23" applyNumberFormat="1" applyFont="1" applyFill="1" applyAlignment="1">
      <alignment horizontal="right"/>
      <protection locked="0"/>
    </xf>
    <xf numFmtId="247" fontId="92" fillId="13" borderId="2" xfId="37" applyFont="1" applyFill="1" applyBorder="1" applyAlignment="1" applyProtection="1">
      <alignment horizontal="right"/>
      <protection locked="0"/>
    </xf>
    <xf numFmtId="247" fontId="28" fillId="13" borderId="0" xfId="37" applyFont="1" applyFill="1" applyAlignment="1"/>
    <xf numFmtId="247" fontId="28" fillId="13" borderId="0" xfId="37" quotePrefix="1" applyFont="1" applyFill="1" applyAlignment="1">
      <alignment horizontal="center"/>
    </xf>
    <xf numFmtId="247" fontId="28" fillId="13" borderId="0" xfId="37" applyFont="1" applyFill="1"/>
    <xf numFmtId="247" fontId="28" fillId="13" borderId="0" xfId="37" applyFont="1" applyFill="1" applyBorder="1"/>
    <xf numFmtId="247" fontId="93" fillId="13" borderId="0" xfId="37" applyFont="1" applyFill="1" applyBorder="1"/>
    <xf numFmtId="245" fontId="27" fillId="13" borderId="0" xfId="0" applyFont="1" applyFill="1"/>
    <xf numFmtId="245" fontId="27" fillId="13" borderId="0" xfId="0" applyFont="1" applyFill="1" applyAlignment="1">
      <alignment horizontal="center"/>
    </xf>
    <xf numFmtId="3" fontId="27" fillId="13" borderId="0" xfId="0" applyNumberFormat="1" applyFont="1" applyFill="1"/>
    <xf numFmtId="3" fontId="92" fillId="13" borderId="0" xfId="0" applyNumberFormat="1" applyFont="1" applyFill="1"/>
    <xf numFmtId="247" fontId="27" fillId="13" borderId="0" xfId="37" applyFont="1" applyFill="1" applyAlignment="1"/>
    <xf numFmtId="247" fontId="27" fillId="13" borderId="0" xfId="37" quotePrefix="1" applyFont="1" applyFill="1" applyAlignment="1">
      <alignment horizontal="center"/>
    </xf>
    <xf numFmtId="247" fontId="27" fillId="13" borderId="0" xfId="37" applyFont="1" applyFill="1"/>
    <xf numFmtId="247" fontId="27" fillId="13" borderId="0" xfId="37" applyFont="1" applyFill="1" applyBorder="1"/>
    <xf numFmtId="247" fontId="92" fillId="13" borderId="0" xfId="37" applyFont="1" applyFill="1" applyBorder="1"/>
    <xf numFmtId="238" fontId="92" fillId="13" borderId="32" xfId="23" applyNumberFormat="1" applyFont="1" applyFill="1">
      <protection locked="0"/>
    </xf>
    <xf numFmtId="227" fontId="92" fillId="13" borderId="32" xfId="23" applyNumberFormat="1" applyFont="1" applyFill="1">
      <protection locked="0"/>
    </xf>
    <xf numFmtId="226" fontId="92" fillId="13" borderId="32" xfId="23" applyNumberFormat="1" applyFont="1" applyFill="1">
      <protection locked="0"/>
    </xf>
    <xf numFmtId="247" fontId="92" fillId="13" borderId="32" xfId="23" applyNumberFormat="1" applyFont="1" applyFill="1">
      <protection locked="0"/>
    </xf>
    <xf numFmtId="238" fontId="92" fillId="13" borderId="32" xfId="23" applyNumberFormat="1" applyFont="1" applyFill="1" applyAlignment="1">
      <alignment horizontal="right"/>
      <protection locked="0"/>
    </xf>
    <xf numFmtId="172" fontId="92" fillId="13" borderId="32" xfId="23" applyNumberFormat="1" applyFont="1" applyFill="1">
      <protection locked="0"/>
    </xf>
    <xf numFmtId="10" fontId="92" fillId="13" borderId="32" xfId="23" applyNumberFormat="1" applyFont="1" applyFill="1">
      <protection locked="0"/>
    </xf>
    <xf numFmtId="245" fontId="27" fillId="13" borderId="0" xfId="0" applyFont="1" applyFill="1" applyAlignment="1">
      <alignment horizontal="left"/>
    </xf>
    <xf numFmtId="245" fontId="0" fillId="13" borderId="0" xfId="0" applyFill="1"/>
    <xf numFmtId="243" fontId="92" fillId="13" borderId="32" xfId="23" applyNumberFormat="1" applyFont="1" applyFill="1">
      <protection locked="0"/>
    </xf>
    <xf numFmtId="245" fontId="17" fillId="13" borderId="0" xfId="0" applyFont="1" applyFill="1"/>
    <xf numFmtId="245" fontId="35" fillId="13" borderId="0" xfId="0" applyFont="1" applyFill="1"/>
    <xf numFmtId="245" fontId="35" fillId="13" borderId="0" xfId="0" applyFont="1" applyFill="1" applyAlignment="1">
      <alignment horizontal="center"/>
    </xf>
    <xf numFmtId="174" fontId="35" fillId="13" borderId="0" xfId="0" applyNumberFormat="1" applyFont="1" applyFill="1" applyAlignment="1">
      <alignment horizontal="right"/>
    </xf>
    <xf numFmtId="243" fontId="35" fillId="13" borderId="0" xfId="0" applyNumberFormat="1" applyFont="1" applyFill="1" applyAlignment="1">
      <alignment horizontal="right"/>
    </xf>
    <xf numFmtId="238" fontId="28" fillId="13" borderId="0" xfId="0" applyNumberFormat="1" applyFont="1" applyFill="1" applyAlignment="1">
      <alignment horizontal="right"/>
    </xf>
    <xf numFmtId="238" fontId="17" fillId="13" borderId="0" xfId="0" applyNumberFormat="1" applyFont="1" applyFill="1" applyAlignment="1">
      <alignment horizontal="right"/>
    </xf>
    <xf numFmtId="245" fontId="17" fillId="13" borderId="0" xfId="0" applyFont="1" applyFill="1" applyAlignment="1">
      <alignment horizontal="center"/>
    </xf>
    <xf numFmtId="242" fontId="17" fillId="13" borderId="0" xfId="0" applyNumberFormat="1" applyFont="1" applyFill="1"/>
    <xf numFmtId="245" fontId="28" fillId="13" borderId="0" xfId="0" applyFont="1" applyFill="1"/>
    <xf numFmtId="245" fontId="28" fillId="13" borderId="0" xfId="0" applyFont="1" applyFill="1" applyAlignment="1">
      <alignment horizontal="left"/>
    </xf>
    <xf numFmtId="245" fontId="28" fillId="13" borderId="0" xfId="0" applyFont="1" applyFill="1" applyAlignment="1">
      <alignment horizontal="center"/>
    </xf>
    <xf numFmtId="178" fontId="28" fillId="13" borderId="0" xfId="0" applyNumberFormat="1" applyFont="1" applyFill="1"/>
    <xf numFmtId="238" fontId="28" fillId="13" borderId="0" xfId="0" applyNumberFormat="1" applyFont="1" applyFill="1"/>
    <xf numFmtId="242" fontId="28" fillId="13" borderId="0" xfId="0" applyNumberFormat="1" applyFont="1" applyFill="1"/>
    <xf numFmtId="245" fontId="48" fillId="13" borderId="0" xfId="0" applyFont="1" applyFill="1" applyAlignment="1">
      <alignment horizontal="center"/>
    </xf>
    <xf numFmtId="185" fontId="28" fillId="13" borderId="0" xfId="0" applyNumberFormat="1" applyFont="1" applyFill="1" applyAlignment="1">
      <alignment horizontal="right"/>
    </xf>
    <xf numFmtId="243" fontId="28" fillId="13" borderId="0" xfId="0" applyNumberFormat="1" applyFont="1" applyFill="1" applyAlignment="1">
      <alignment horizontal="right"/>
    </xf>
    <xf numFmtId="239" fontId="28" fillId="13" borderId="0" xfId="0" applyNumberFormat="1" applyFont="1" applyFill="1" applyAlignment="1">
      <alignment horizontal="right"/>
    </xf>
    <xf numFmtId="245" fontId="92" fillId="13" borderId="0" xfId="0" applyFont="1" applyFill="1"/>
    <xf numFmtId="245" fontId="31" fillId="13" borderId="0" xfId="0" applyFont="1" applyFill="1" applyAlignment="1">
      <alignment horizontal="center"/>
    </xf>
    <xf numFmtId="185" fontId="73" fillId="13" borderId="0" xfId="0" applyNumberFormat="1" applyFont="1" applyFill="1" applyAlignment="1">
      <alignment horizontal="right"/>
    </xf>
    <xf numFmtId="243" fontId="73" fillId="13" borderId="0" xfId="0" applyNumberFormat="1" applyFont="1" applyFill="1" applyAlignment="1">
      <alignment horizontal="right"/>
    </xf>
    <xf numFmtId="245" fontId="73" fillId="13" borderId="0" xfId="0" applyFont="1" applyFill="1"/>
    <xf numFmtId="178" fontId="28" fillId="13" borderId="0" xfId="0" applyNumberFormat="1" applyFont="1" applyFill="1" applyAlignment="1">
      <alignment horizontal="right"/>
    </xf>
    <xf numFmtId="242" fontId="28" fillId="13" borderId="0" xfId="0" applyNumberFormat="1" applyFont="1" applyFill="1" applyAlignment="1">
      <alignment horizontal="right"/>
    </xf>
    <xf numFmtId="245" fontId="28" fillId="13" borderId="0" xfId="0" quotePrefix="1" applyFont="1" applyFill="1"/>
    <xf numFmtId="245" fontId="17" fillId="13" borderId="0" xfId="0" quotePrefix="1" applyFont="1" applyFill="1"/>
    <xf numFmtId="178" fontId="48" fillId="13" borderId="0" xfId="0" applyNumberFormat="1" applyFont="1" applyFill="1" applyAlignment="1">
      <alignment horizontal="right"/>
    </xf>
    <xf numFmtId="238" fontId="48" fillId="13" borderId="0" xfId="0" applyNumberFormat="1" applyFont="1" applyFill="1" applyAlignment="1">
      <alignment horizontal="right"/>
    </xf>
    <xf numFmtId="174" fontId="28" fillId="13" borderId="0" xfId="0" applyNumberFormat="1" applyFont="1" applyFill="1"/>
    <xf numFmtId="245" fontId="28" fillId="13" borderId="0" xfId="0" applyFont="1" applyFill="1" applyAlignment="1">
      <alignment horizontal="right"/>
    </xf>
    <xf numFmtId="174" fontId="28" fillId="13" borderId="0" xfId="0" applyNumberFormat="1" applyFont="1" applyFill="1" applyAlignment="1">
      <alignment horizontal="right"/>
    </xf>
    <xf numFmtId="174" fontId="27" fillId="13" borderId="0" xfId="0" applyNumberFormat="1" applyFont="1" applyFill="1" applyAlignment="1">
      <alignment horizontal="left"/>
    </xf>
    <xf numFmtId="174" fontId="27" fillId="13" borderId="0" xfId="0" applyNumberFormat="1" applyFont="1" applyFill="1" applyAlignment="1">
      <alignment horizontal="right"/>
    </xf>
    <xf numFmtId="178" fontId="27" fillId="13" borderId="0" xfId="0" applyNumberFormat="1" applyFont="1" applyFill="1" applyAlignment="1">
      <alignment horizontal="right"/>
    </xf>
    <xf numFmtId="238" fontId="27" fillId="13" borderId="0" xfId="0" applyNumberFormat="1" applyFont="1" applyFill="1" applyAlignment="1">
      <alignment horizontal="right"/>
    </xf>
    <xf numFmtId="190" fontId="92" fillId="13" borderId="0" xfId="0" applyNumberFormat="1" applyFont="1" applyFill="1"/>
    <xf numFmtId="178" fontId="73" fillId="13" borderId="0" xfId="0" applyNumberFormat="1" applyFont="1" applyFill="1" applyAlignment="1">
      <alignment horizontal="right"/>
    </xf>
    <xf numFmtId="178" fontId="92" fillId="13" borderId="0" xfId="0" applyNumberFormat="1" applyFont="1" applyFill="1" applyAlignment="1">
      <alignment horizontal="right"/>
    </xf>
    <xf numFmtId="238" fontId="17" fillId="13" borderId="0" xfId="0" applyNumberFormat="1" applyFont="1" applyFill="1"/>
    <xf numFmtId="174" fontId="17" fillId="13" borderId="0" xfId="0" applyNumberFormat="1" applyFont="1" applyFill="1"/>
    <xf numFmtId="243" fontId="17" fillId="13" borderId="0" xfId="0" applyNumberFormat="1" applyFont="1" applyFill="1"/>
    <xf numFmtId="245" fontId="16" fillId="13" borderId="0" xfId="0" applyFont="1" applyFill="1"/>
    <xf numFmtId="234" fontId="16" fillId="13" borderId="0" xfId="0" applyNumberFormat="1" applyFont="1" applyFill="1"/>
    <xf numFmtId="198" fontId="27" fillId="13" borderId="0" xfId="0" applyNumberFormat="1" applyFont="1" applyFill="1" applyAlignment="1">
      <alignment horizontal="center"/>
    </xf>
    <xf numFmtId="198" fontId="28" fillId="13" borderId="0" xfId="0" applyNumberFormat="1" applyFont="1" applyFill="1" applyAlignment="1">
      <alignment horizontal="center"/>
    </xf>
    <xf numFmtId="199" fontId="28" fillId="13" borderId="9" xfId="0" quotePrefix="1" applyNumberFormat="1" applyFont="1" applyFill="1" applyBorder="1" applyAlignment="1">
      <alignment horizontal="center" vertical="center"/>
    </xf>
    <xf numFmtId="199" fontId="28" fillId="13" borderId="0" xfId="0" applyNumberFormat="1" applyFont="1" applyFill="1" applyAlignment="1">
      <alignment horizontal="center"/>
    </xf>
    <xf numFmtId="173" fontId="75" fillId="13" borderId="0" xfId="0" quotePrefix="1" applyNumberFormat="1" applyFont="1" applyFill="1" applyAlignment="1">
      <alignment horizontal="center"/>
    </xf>
    <xf numFmtId="219" fontId="28" fillId="13" borderId="0" xfId="0" applyNumberFormat="1" applyFont="1" applyFill="1" applyAlignment="1">
      <alignment horizontal="center"/>
    </xf>
    <xf numFmtId="184" fontId="94" fillId="13" borderId="32" xfId="23" applyNumberFormat="1" applyFont="1" applyFill="1" applyAlignment="1">
      <alignment horizontal="center"/>
      <protection locked="0"/>
    </xf>
    <xf numFmtId="246" fontId="28" fillId="13" borderId="0" xfId="28" applyFont="1" applyFill="1" applyBorder="1" applyAlignment="1">
      <alignment horizontal="center"/>
    </xf>
    <xf numFmtId="166" fontId="28" fillId="13" borderId="0" xfId="0" applyNumberFormat="1" applyFont="1" applyFill="1"/>
    <xf numFmtId="243" fontId="28" fillId="13" borderId="0" xfId="0" applyNumberFormat="1" applyFont="1" applyFill="1"/>
    <xf numFmtId="243" fontId="27" fillId="13" borderId="0" xfId="0" applyNumberFormat="1" applyFont="1" applyFill="1"/>
    <xf numFmtId="172" fontId="41" fillId="0" borderId="0" xfId="34" applyNumberFormat="1" applyFont="1" applyFill="1" applyBorder="1"/>
    <xf numFmtId="252" fontId="27" fillId="0" borderId="0" xfId="0" applyNumberFormat="1" applyFont="1"/>
    <xf numFmtId="245" fontId="99" fillId="0" borderId="0" xfId="0" applyFont="1"/>
    <xf numFmtId="245" fontId="100" fillId="14" borderId="0" xfId="0" applyFont="1" applyFill="1"/>
    <xf numFmtId="247" fontId="92" fillId="0" borderId="0" xfId="37" applyFont="1" applyFill="1" applyBorder="1"/>
    <xf numFmtId="9" fontId="92" fillId="0" borderId="0" xfId="0" applyNumberFormat="1" applyFont="1"/>
    <xf numFmtId="0" fontId="78" fillId="0" borderId="0" xfId="0" applyNumberFormat="1" applyFont="1" applyAlignment="1">
      <alignment horizontal="center"/>
    </xf>
    <xf numFmtId="0" fontId="37" fillId="10" borderId="0" xfId="0" applyNumberFormat="1" applyFont="1" applyFill="1" applyAlignment="1">
      <alignment horizontal="center"/>
    </xf>
    <xf numFmtId="0" fontId="68" fillId="10" borderId="0" xfId="0" applyNumberFormat="1" applyFont="1" applyFill="1" applyAlignment="1">
      <alignment horizontal="center"/>
    </xf>
    <xf numFmtId="0" fontId="16" fillId="13" borderId="0" xfId="0" applyNumberFormat="1" applyFont="1" applyFill="1" applyAlignment="1">
      <alignment horizontal="center"/>
    </xf>
    <xf numFmtId="0" fontId="78" fillId="10" borderId="0" xfId="0" applyNumberFormat="1" applyFont="1" applyFill="1"/>
    <xf numFmtId="0" fontId="83" fillId="10" borderId="0" xfId="0" applyNumberFormat="1" applyFont="1" applyFill="1"/>
    <xf numFmtId="0" fontId="78" fillId="0" borderId="0" xfId="0" applyNumberFormat="1" applyFont="1"/>
    <xf numFmtId="0" fontId="17" fillId="13" borderId="0" xfId="0" applyNumberFormat="1" applyFont="1" applyFill="1" applyAlignment="1">
      <alignment horizontal="center"/>
    </xf>
    <xf numFmtId="0" fontId="16" fillId="0" borderId="0" xfId="0" applyNumberFormat="1" applyFont="1"/>
    <xf numFmtId="174" fontId="16" fillId="0" borderId="0" xfId="0" applyNumberFormat="1" applyFont="1" applyAlignment="1">
      <alignment horizontal="center"/>
    </xf>
    <xf numFmtId="243" fontId="16" fillId="0" borderId="0" xfId="0" applyNumberFormat="1" applyFont="1"/>
    <xf numFmtId="245" fontId="27" fillId="0" borderId="5" xfId="0" applyFont="1" applyBorder="1"/>
    <xf numFmtId="245" fontId="0" fillId="0" borderId="13" xfId="0" applyBorder="1"/>
    <xf numFmtId="245" fontId="0" fillId="0" borderId="9" xfId="0" applyBorder="1"/>
    <xf numFmtId="245" fontId="65" fillId="0" borderId="0" xfId="0" applyFont="1"/>
    <xf numFmtId="245" fontId="65" fillId="0" borderId="7" xfId="0" applyFont="1" applyBorder="1"/>
    <xf numFmtId="245" fontId="66" fillId="0" borderId="0" xfId="0" applyFont="1"/>
    <xf numFmtId="245" fontId="64" fillId="0" borderId="0" xfId="0" applyFont="1"/>
    <xf numFmtId="245" fontId="63" fillId="0" borderId="7" xfId="0" applyFont="1" applyBorder="1"/>
    <xf numFmtId="245" fontId="67" fillId="0" borderId="0" xfId="0" applyFont="1"/>
    <xf numFmtId="10" fontId="32" fillId="0" borderId="0" xfId="0" applyNumberFormat="1" applyFont="1"/>
    <xf numFmtId="245" fontId="0" fillId="0" borderId="0" xfId="0" applyNumberFormat="1"/>
    <xf numFmtId="245" fontId="28" fillId="0" borderId="7" xfId="0" applyFont="1" applyBorder="1"/>
    <xf numFmtId="245" fontId="0" fillId="0" borderId="7" xfId="0" applyBorder="1"/>
    <xf numFmtId="245" fontId="27" fillId="0" borderId="8" xfId="0" applyFont="1" applyBorder="1"/>
    <xf numFmtId="245" fontId="0" fillId="0" borderId="14" xfId="0" applyBorder="1"/>
    <xf numFmtId="245" fontId="92" fillId="0" borderId="0" xfId="17" applyNumberFormat="1" applyFont="1" applyFill="1" applyBorder="1"/>
    <xf numFmtId="245" fontId="56" fillId="0" borderId="6" xfId="0" applyFont="1" applyBorder="1"/>
    <xf numFmtId="247" fontId="17" fillId="0" borderId="0" xfId="37" applyFont="1" applyFill="1" applyBorder="1"/>
    <xf numFmtId="238" fontId="92" fillId="0" borderId="0" xfId="17" applyNumberFormat="1" applyFont="1" applyFill="1" applyBorder="1"/>
    <xf numFmtId="245" fontId="30" fillId="0" borderId="0" xfId="0" applyFont="1" applyAlignment="1">
      <alignment vertical="center"/>
    </xf>
    <xf numFmtId="245" fontId="26" fillId="0" borderId="0" xfId="0" applyFont="1" applyAlignment="1">
      <alignment horizontal="center" vertical="center"/>
    </xf>
    <xf numFmtId="245" fontId="26" fillId="0" borderId="0" xfId="0" applyFont="1" applyAlignment="1">
      <alignment vertical="center"/>
    </xf>
    <xf numFmtId="247" fontId="27" fillId="0" borderId="9" xfId="37" applyFont="1" applyFill="1" applyBorder="1"/>
    <xf numFmtId="178" fontId="28" fillId="0" borderId="4" xfId="0" applyNumberFormat="1" applyFont="1" applyBorder="1"/>
    <xf numFmtId="238" fontId="27" fillId="0" borderId="4" xfId="0" applyNumberFormat="1" applyFont="1" applyBorder="1"/>
    <xf numFmtId="238" fontId="28" fillId="0" borderId="4" xfId="0" applyNumberFormat="1" applyFont="1" applyBorder="1"/>
    <xf numFmtId="245" fontId="28" fillId="0" borderId="4" xfId="0" applyNumberFormat="1" applyFont="1" applyBorder="1"/>
    <xf numFmtId="245" fontId="30" fillId="0" borderId="0" xfId="0" applyFont="1" applyAlignment="1">
      <alignment horizontal="left" vertical="center"/>
    </xf>
    <xf numFmtId="245" fontId="26" fillId="0" borderId="0" xfId="0" applyFont="1" applyAlignment="1">
      <alignment horizontal="left" vertical="center"/>
    </xf>
    <xf numFmtId="247" fontId="27" fillId="0" borderId="0" xfId="37" quotePrefix="1" applyFont="1" applyFill="1" applyAlignment="1">
      <alignment horizontal="center"/>
    </xf>
    <xf numFmtId="247" fontId="92" fillId="0" borderId="0" xfId="37" applyFont="1" applyFill="1" applyAlignment="1"/>
    <xf numFmtId="183" fontId="27" fillId="0" borderId="0" xfId="0" applyNumberFormat="1" applyFont="1"/>
    <xf numFmtId="247" fontId="92" fillId="0" borderId="0" xfId="37" applyFont="1" applyFill="1" applyBorder="1" applyAlignment="1"/>
    <xf numFmtId="247" fontId="92" fillId="0" borderId="9" xfId="37" applyFont="1" applyFill="1" applyBorder="1"/>
    <xf numFmtId="247" fontId="28" fillId="0" borderId="4" xfId="37" applyFont="1" applyFill="1" applyBorder="1"/>
    <xf numFmtId="247" fontId="93" fillId="0" borderId="4" xfId="37" applyFont="1" applyFill="1" applyBorder="1"/>
    <xf numFmtId="247" fontId="93" fillId="0" borderId="12" xfId="37" applyFont="1" applyFill="1" applyBorder="1"/>
    <xf numFmtId="247" fontId="27" fillId="0" borderId="0" xfId="37" quotePrefix="1" applyFont="1" applyFill="1" applyAlignment="1"/>
    <xf numFmtId="247" fontId="92" fillId="0" borderId="0" xfId="37" applyFont="1" applyFill="1"/>
    <xf numFmtId="247" fontId="28" fillId="0" borderId="12" xfId="37" applyFont="1" applyFill="1" applyBorder="1"/>
    <xf numFmtId="9" fontId="28" fillId="0" borderId="0" xfId="0" applyNumberFormat="1" applyFont="1"/>
    <xf numFmtId="247" fontId="28" fillId="0" borderId="0" xfId="37" quotePrefix="1" applyFont="1" applyFill="1" applyAlignment="1">
      <alignment horizontal="center"/>
    </xf>
    <xf numFmtId="247" fontId="93" fillId="0" borderId="0" xfId="37" applyFont="1" applyFill="1"/>
    <xf numFmtId="247" fontId="28" fillId="0" borderId="0" xfId="37" applyFont="1" applyFill="1" applyBorder="1"/>
    <xf numFmtId="245" fontId="28" fillId="0" borderId="6" xfId="0" applyFont="1" applyBorder="1" applyAlignment="1">
      <alignment horizontal="left"/>
    </xf>
    <xf numFmtId="199" fontId="92" fillId="0" borderId="0" xfId="0" applyNumberFormat="1" applyFont="1"/>
    <xf numFmtId="199" fontId="27" fillId="0" borderId="0" xfId="0" applyNumberFormat="1" applyFont="1"/>
    <xf numFmtId="174" fontId="93" fillId="0" borderId="0" xfId="0" applyNumberFormat="1" applyFont="1"/>
    <xf numFmtId="247" fontId="28" fillId="0" borderId="0" xfId="37" quotePrefix="1" applyFont="1" applyFill="1" applyAlignment="1"/>
    <xf numFmtId="38" fontId="92" fillId="0" borderId="0" xfId="0" applyNumberFormat="1" applyFont="1"/>
    <xf numFmtId="38" fontId="27" fillId="0" borderId="0" xfId="0" applyNumberFormat="1" applyFont="1"/>
    <xf numFmtId="215" fontId="92" fillId="0" borderId="0" xfId="0" applyNumberFormat="1" applyFont="1"/>
    <xf numFmtId="215" fontId="27" fillId="0" borderId="0" xfId="0" applyNumberFormat="1" applyFont="1"/>
    <xf numFmtId="174" fontId="92" fillId="0" borderId="0" xfId="0" applyNumberFormat="1" applyFont="1" applyAlignment="1" applyProtection="1">
      <alignment horizontal="right"/>
      <protection locked="0"/>
    </xf>
    <xf numFmtId="247" fontId="92" fillId="0" borderId="7" xfId="37" applyFont="1" applyFill="1" applyBorder="1"/>
    <xf numFmtId="216" fontId="27" fillId="0" borderId="0" xfId="0" applyNumberFormat="1" applyFont="1"/>
    <xf numFmtId="216" fontId="92" fillId="0" borderId="0" xfId="0" applyNumberFormat="1" applyFont="1"/>
    <xf numFmtId="1" fontId="93" fillId="0" borderId="0" xfId="0" applyNumberFormat="1" applyFont="1"/>
    <xf numFmtId="183" fontId="92" fillId="0" borderId="0" xfId="0" applyNumberFormat="1" applyFont="1"/>
    <xf numFmtId="214" fontId="92" fillId="0" borderId="0" xfId="0" applyNumberFormat="1" applyFont="1"/>
    <xf numFmtId="214" fontId="27" fillId="0" borderId="0" xfId="0" applyNumberFormat="1" applyFont="1"/>
    <xf numFmtId="245" fontId="39" fillId="0" borderId="0" xfId="0" applyFont="1" applyAlignment="1">
      <alignment horizontal="center"/>
    </xf>
    <xf numFmtId="245" fontId="42" fillId="0" borderId="0" xfId="0" applyFont="1"/>
    <xf numFmtId="245" fontId="39" fillId="0" borderId="0" xfId="0" quotePrefix="1" applyFont="1" applyAlignment="1">
      <alignment horizontal="center"/>
    </xf>
    <xf numFmtId="245" fontId="101" fillId="0" borderId="0" xfId="0" applyFont="1"/>
    <xf numFmtId="1" fontId="101" fillId="0" borderId="0" xfId="0" applyNumberFormat="1" applyFont="1"/>
    <xf numFmtId="1" fontId="39" fillId="0" borderId="0" xfId="0" applyNumberFormat="1" applyFont="1"/>
    <xf numFmtId="2" fontId="92" fillId="0" borderId="9" xfId="0" applyNumberFormat="1" applyFont="1" applyBorder="1"/>
    <xf numFmtId="2" fontId="28" fillId="0" borderId="4" xfId="0" applyNumberFormat="1" applyFont="1" applyBorder="1"/>
    <xf numFmtId="2" fontId="28" fillId="0" borderId="12" xfId="0" applyNumberFormat="1" applyFont="1" applyBorder="1"/>
    <xf numFmtId="217" fontId="92" fillId="0" borderId="0" xfId="0" applyNumberFormat="1" applyFont="1"/>
    <xf numFmtId="217" fontId="27" fillId="0" borderId="0" xfId="0" applyNumberFormat="1" applyFont="1"/>
    <xf numFmtId="218" fontId="92" fillId="0" borderId="0" xfId="0" applyNumberFormat="1" applyFont="1"/>
    <xf numFmtId="218" fontId="27" fillId="0" borderId="0" xfId="0" applyNumberFormat="1" applyFont="1"/>
    <xf numFmtId="214" fontId="92" fillId="0" borderId="9" xfId="0" applyNumberFormat="1" applyFont="1" applyBorder="1"/>
    <xf numFmtId="214" fontId="93" fillId="0" borderId="4" xfId="0" applyNumberFormat="1" applyFont="1" applyBorder="1"/>
    <xf numFmtId="214" fontId="93" fillId="0" borderId="12" xfId="0" applyNumberFormat="1" applyFont="1" applyBorder="1"/>
    <xf numFmtId="245" fontId="75" fillId="0" borderId="0" xfId="0" applyFont="1"/>
    <xf numFmtId="173" fontId="28" fillId="0" borderId="0" xfId="0" applyNumberFormat="1" applyFont="1"/>
    <xf numFmtId="245" fontId="28" fillId="0" borderId="0" xfId="0" quotePrefix="1" applyFont="1" applyAlignment="1">
      <alignment horizontal="left" indent="2"/>
    </xf>
    <xf numFmtId="183" fontId="93" fillId="0" borderId="0" xfId="0" applyNumberFormat="1" applyFont="1"/>
    <xf numFmtId="183" fontId="28" fillId="0" borderId="0" xfId="0" applyNumberFormat="1" applyFont="1"/>
    <xf numFmtId="245" fontId="93" fillId="0" borderId="6" xfId="0" applyFont="1" applyBorder="1" applyAlignment="1">
      <alignment horizontal="right"/>
    </xf>
    <xf numFmtId="174" fontId="28" fillId="0" borderId="6" xfId="0" applyNumberFormat="1" applyFont="1" applyBorder="1" applyAlignment="1">
      <alignment horizontal="right"/>
    </xf>
    <xf numFmtId="172" fontId="92" fillId="0" borderId="0" xfId="0" applyNumberFormat="1" applyFont="1"/>
    <xf numFmtId="10" fontId="92" fillId="0" borderId="0" xfId="0" applyNumberFormat="1" applyFont="1" applyAlignment="1">
      <alignment horizontal="right"/>
    </xf>
    <xf numFmtId="10" fontId="93" fillId="0" borderId="4" xfId="0" applyNumberFormat="1" applyFont="1" applyBorder="1" applyAlignment="1">
      <alignment horizontal="right"/>
    </xf>
    <xf numFmtId="10" fontId="28" fillId="0" borderId="4" xfId="0" applyNumberFormat="1" applyFont="1" applyBorder="1" applyAlignment="1">
      <alignment horizontal="right"/>
    </xf>
    <xf numFmtId="10" fontId="28" fillId="0" borderId="12" xfId="0" applyNumberFormat="1" applyFont="1" applyBorder="1" applyAlignment="1">
      <alignment horizontal="right"/>
    </xf>
    <xf numFmtId="247" fontId="27" fillId="0" borderId="0" xfId="37" quotePrefix="1" applyFont="1" applyFill="1" applyAlignment="1">
      <alignment horizontal="left" indent="2"/>
    </xf>
    <xf numFmtId="247" fontId="27" fillId="0" borderId="0" xfId="37" quotePrefix="1" applyFont="1" applyFill="1" applyBorder="1" applyAlignment="1">
      <alignment horizontal="center"/>
    </xf>
    <xf numFmtId="247" fontId="93" fillId="0" borderId="4" xfId="37" applyFont="1" applyFill="1" applyBorder="1" applyAlignment="1">
      <alignment horizontal="right"/>
    </xf>
    <xf numFmtId="247" fontId="33" fillId="0" borderId="4" xfId="37" applyFont="1" applyFill="1" applyBorder="1" applyAlignment="1">
      <alignment horizontal="right"/>
    </xf>
    <xf numFmtId="247" fontId="33" fillId="0" borderId="12" xfId="37" applyFont="1" applyFill="1" applyBorder="1" applyAlignment="1">
      <alignment horizontal="right"/>
    </xf>
    <xf numFmtId="247" fontId="93" fillId="0" borderId="15" xfId="37" applyFont="1" applyFill="1" applyBorder="1" applyAlignment="1">
      <alignment horizontal="right"/>
    </xf>
    <xf numFmtId="174" fontId="75" fillId="0" borderId="0" xfId="0" applyNumberFormat="1" applyFont="1"/>
    <xf numFmtId="247" fontId="27" fillId="0" borderId="0" xfId="37" applyFont="1" applyFill="1" applyAlignment="1">
      <alignment horizontal="left" indent="2"/>
    </xf>
    <xf numFmtId="245" fontId="45" fillId="0" borderId="0" xfId="0" quotePrefix="1" applyFont="1"/>
    <xf numFmtId="247" fontId="27" fillId="0" borderId="0" xfId="37" quotePrefix="1" applyFont="1" applyFill="1"/>
    <xf numFmtId="174" fontId="45" fillId="0" borderId="0" xfId="0" applyNumberFormat="1" applyFont="1" applyAlignment="1">
      <alignment horizontal="center"/>
    </xf>
    <xf numFmtId="247" fontId="27" fillId="0" borderId="0" xfId="37" applyFont="1" applyFill="1" applyAlignment="1">
      <alignment horizontal="right"/>
    </xf>
    <xf numFmtId="174" fontId="39" fillId="0" borderId="0" xfId="0" applyNumberFormat="1" applyFont="1"/>
    <xf numFmtId="247" fontId="41" fillId="0" borderId="15" xfId="37" applyFont="1" applyFill="1" applyBorder="1" applyAlignment="1">
      <alignment horizontal="right"/>
    </xf>
    <xf numFmtId="247" fontId="41" fillId="0" borderId="4" xfId="37" applyFont="1" applyFill="1" applyBorder="1" applyAlignment="1">
      <alignment horizontal="right"/>
    </xf>
    <xf numFmtId="247" fontId="41" fillId="0" borderId="12" xfId="37" applyFont="1" applyFill="1" applyBorder="1" applyAlignment="1">
      <alignment horizontal="right"/>
    </xf>
    <xf numFmtId="174" fontId="27" fillId="0" borderId="0" xfId="0" quotePrefix="1" applyNumberFormat="1" applyFont="1" applyAlignment="1">
      <alignment horizontal="center"/>
    </xf>
    <xf numFmtId="174" fontId="92" fillId="0" borderId="9" xfId="0" applyNumberFormat="1" applyFont="1" applyBorder="1"/>
    <xf numFmtId="174" fontId="41" fillId="0" borderId="4" xfId="0" applyNumberFormat="1" applyFont="1" applyBorder="1"/>
    <xf numFmtId="174" fontId="41" fillId="0" borderId="0" xfId="0" applyNumberFormat="1" applyFont="1"/>
    <xf numFmtId="174" fontId="46" fillId="0" borderId="0" xfId="0" applyNumberFormat="1" applyFont="1"/>
    <xf numFmtId="245" fontId="27" fillId="0" borderId="9" xfId="0" applyFont="1" applyBorder="1"/>
    <xf numFmtId="9" fontId="33" fillId="0" borderId="4" xfId="0" applyNumberFormat="1" applyFont="1" applyBorder="1" applyAlignment="1">
      <alignment horizontal="right"/>
    </xf>
    <xf numFmtId="9" fontId="33" fillId="0" borderId="0" xfId="0" applyNumberFormat="1" applyFont="1" applyAlignment="1">
      <alignment horizontal="right"/>
    </xf>
    <xf numFmtId="174" fontId="92" fillId="0" borderId="15" xfId="0" applyNumberFormat="1" applyFont="1" applyBorder="1"/>
    <xf numFmtId="174" fontId="92" fillId="0" borderId="4" xfId="0" applyNumberFormat="1" applyFont="1" applyBorder="1"/>
    <xf numFmtId="174" fontId="47" fillId="0" borderId="0" xfId="0" applyNumberFormat="1" applyFont="1"/>
    <xf numFmtId="247" fontId="41" fillId="0" borderId="4" xfId="37" applyFont="1" applyFill="1" applyBorder="1"/>
    <xf numFmtId="247" fontId="41" fillId="0" borderId="12" xfId="37" applyFont="1" applyFill="1" applyBorder="1"/>
    <xf numFmtId="174" fontId="28" fillId="0" borderId="0" xfId="0" applyNumberFormat="1" applyFont="1" applyAlignment="1">
      <alignment horizontal="center"/>
    </xf>
    <xf numFmtId="245" fontId="41" fillId="0" borderId="4" xfId="0" applyFont="1" applyBorder="1"/>
    <xf numFmtId="245" fontId="41" fillId="0" borderId="12" xfId="0" applyFont="1" applyBorder="1"/>
    <xf numFmtId="178" fontId="39" fillId="0" borderId="0" xfId="0" applyNumberFormat="1" applyFont="1"/>
    <xf numFmtId="1" fontId="27" fillId="0" borderId="6" xfId="0" applyNumberFormat="1" applyFont="1" applyBorder="1"/>
    <xf numFmtId="176" fontId="28" fillId="0" borderId="0" xfId="0" applyNumberFormat="1" applyFont="1"/>
    <xf numFmtId="176" fontId="92" fillId="0" borderId="0" xfId="0" applyNumberFormat="1" applyFont="1"/>
    <xf numFmtId="176" fontId="27" fillId="0" borderId="0" xfId="0" applyNumberFormat="1" applyFont="1"/>
    <xf numFmtId="9" fontId="41" fillId="0" borderId="15" xfId="0" applyNumberFormat="1" applyFont="1" applyBorder="1"/>
    <xf numFmtId="9" fontId="41" fillId="0" borderId="4" xfId="0" applyNumberFormat="1" applyFont="1" applyBorder="1"/>
    <xf numFmtId="9" fontId="41" fillId="0" borderId="12" xfId="0" applyNumberFormat="1" applyFont="1" applyBorder="1"/>
    <xf numFmtId="245" fontId="33" fillId="0" borderId="0" xfId="0" applyFont="1"/>
    <xf numFmtId="245" fontId="41" fillId="0" borderId="0" xfId="0" applyFont="1" applyAlignment="1">
      <alignment horizontal="center"/>
    </xf>
    <xf numFmtId="172" fontId="41" fillId="0" borderId="0" xfId="0" applyNumberFormat="1" applyFont="1"/>
    <xf numFmtId="238" fontId="27" fillId="0" borderId="6" xfId="0" applyNumberFormat="1" applyFont="1" applyBorder="1"/>
    <xf numFmtId="238" fontId="73" fillId="0" borderId="6" xfId="0" applyNumberFormat="1" applyFont="1" applyBorder="1"/>
    <xf numFmtId="190" fontId="28" fillId="0" borderId="0" xfId="0" applyNumberFormat="1" applyFont="1"/>
    <xf numFmtId="227" fontId="27" fillId="0" borderId="6" xfId="0" applyNumberFormat="1" applyFont="1" applyBorder="1"/>
    <xf numFmtId="227" fontId="28" fillId="0" borderId="0" xfId="0" applyNumberFormat="1" applyFont="1"/>
    <xf numFmtId="245" fontId="92" fillId="0" borderId="0" xfId="17" applyFont="1" applyFill="1" applyBorder="1"/>
    <xf numFmtId="245" fontId="92" fillId="0" borderId="4" xfId="17" applyFont="1" applyFill="1" applyBorder="1"/>
    <xf numFmtId="227" fontId="92" fillId="0" borderId="0" xfId="17" applyNumberFormat="1" applyFont="1" applyFill="1" applyBorder="1"/>
    <xf numFmtId="227" fontId="92" fillId="0" borderId="10" xfId="17" applyNumberFormat="1" applyFont="1" applyFill="1" applyBorder="1"/>
    <xf numFmtId="227" fontId="92" fillId="0" borderId="5" xfId="17" applyNumberFormat="1" applyFont="1" applyFill="1" applyBorder="1"/>
    <xf numFmtId="227" fontId="38" fillId="0" borderId="5" xfId="0" applyNumberFormat="1" applyFont="1" applyBorder="1"/>
    <xf numFmtId="227" fontId="38" fillId="0" borderId="13" xfId="0" applyNumberFormat="1" applyFont="1" applyBorder="1"/>
    <xf numFmtId="227" fontId="38" fillId="0" borderId="0" xfId="0" applyNumberFormat="1" applyFont="1"/>
    <xf numFmtId="9" fontId="41" fillId="0" borderId="0" xfId="0" applyNumberFormat="1" applyFont="1"/>
    <xf numFmtId="243" fontId="73" fillId="0" borderId="0" xfId="0" applyNumberFormat="1" applyFont="1"/>
    <xf numFmtId="190" fontId="43" fillId="0" borderId="0" xfId="0" applyNumberFormat="1" applyFont="1" applyProtection="1">
      <protection locked="0" hidden="1"/>
    </xf>
    <xf numFmtId="172" fontId="92" fillId="0" borderId="4" xfId="17" applyNumberFormat="1" applyFont="1" applyFill="1" applyBorder="1"/>
    <xf numFmtId="245" fontId="92" fillId="0" borderId="9" xfId="17" applyFont="1" applyFill="1" applyBorder="1"/>
    <xf numFmtId="245" fontId="73" fillId="0" borderId="0" xfId="17" applyNumberFormat="1" applyFont="1" applyFill="1" applyBorder="1"/>
    <xf numFmtId="245" fontId="20" fillId="0" borderId="0" xfId="0" applyFont="1" applyAlignment="1">
      <alignment horizontal="left" indent="2"/>
    </xf>
    <xf numFmtId="190" fontId="16" fillId="0" borderId="0" xfId="0" applyNumberFormat="1" applyFont="1"/>
    <xf numFmtId="245" fontId="16" fillId="0" borderId="0" xfId="17" applyNumberFormat="1" applyFont="1" applyFill="1" applyBorder="1"/>
    <xf numFmtId="190" fontId="17" fillId="0" borderId="0" xfId="0" applyNumberFormat="1" applyFont="1"/>
    <xf numFmtId="245" fontId="17" fillId="0" borderId="0" xfId="17" applyNumberFormat="1" applyFont="1" applyFill="1" applyBorder="1"/>
    <xf numFmtId="247" fontId="17" fillId="0" borderId="0" xfId="0" applyNumberFormat="1" applyFont="1"/>
    <xf numFmtId="247" fontId="16" fillId="0" borderId="0" xfId="0" applyNumberFormat="1" applyFont="1" applyAlignment="1">
      <alignment horizontal="right"/>
    </xf>
    <xf numFmtId="190" fontId="73" fillId="0" borderId="6" xfId="0" applyNumberFormat="1" applyFont="1" applyBorder="1"/>
    <xf numFmtId="245" fontId="41" fillId="0" borderId="0" xfId="0" applyFont="1" applyAlignment="1">
      <alignment horizontal="left" indent="2"/>
    </xf>
    <xf numFmtId="190" fontId="38" fillId="0" borderId="0" xfId="0" applyNumberFormat="1" applyFont="1"/>
    <xf numFmtId="190" fontId="27" fillId="0" borderId="6" xfId="0" applyNumberFormat="1" applyFont="1" applyBorder="1"/>
    <xf numFmtId="227" fontId="29" fillId="0" borderId="0" xfId="0" applyNumberFormat="1" applyFont="1"/>
    <xf numFmtId="227" fontId="44" fillId="0" borderId="0" xfId="0" applyNumberFormat="1" applyFont="1"/>
    <xf numFmtId="227" fontId="41" fillId="0" borderId="0" xfId="0" applyNumberFormat="1" applyFont="1"/>
    <xf numFmtId="227" fontId="73" fillId="0" borderId="0" xfId="0" applyNumberFormat="1" applyFont="1"/>
    <xf numFmtId="227" fontId="92" fillId="0" borderId="0" xfId="0" applyNumberFormat="1" applyFont="1"/>
    <xf numFmtId="227" fontId="38" fillId="0" borderId="10" xfId="0" applyNumberFormat="1" applyFont="1" applyBorder="1"/>
    <xf numFmtId="227" fontId="92" fillId="0" borderId="7" xfId="17" applyNumberFormat="1" applyFont="1" applyFill="1" applyBorder="1"/>
    <xf numFmtId="227" fontId="38" fillId="0" borderId="9" xfId="0" applyNumberFormat="1" applyFont="1" applyBorder="1"/>
    <xf numFmtId="227" fontId="92" fillId="0" borderId="8" xfId="17" applyNumberFormat="1" applyFont="1" applyFill="1" applyBorder="1"/>
    <xf numFmtId="227" fontId="38" fillId="0" borderId="6" xfId="0" applyNumberFormat="1" applyFont="1" applyBorder="1"/>
    <xf numFmtId="227" fontId="38" fillId="0" borderId="14" xfId="0" applyNumberFormat="1" applyFont="1" applyBorder="1"/>
    <xf numFmtId="178" fontId="17" fillId="0" borderId="0" xfId="0" applyNumberFormat="1" applyFont="1"/>
    <xf numFmtId="238" fontId="17" fillId="0" borderId="0" xfId="17" applyNumberFormat="1" applyFont="1" applyFill="1" applyBorder="1"/>
    <xf numFmtId="238" fontId="38" fillId="0" borderId="15" xfId="0" applyNumberFormat="1" applyFont="1" applyBorder="1"/>
    <xf numFmtId="238" fontId="38" fillId="0" borderId="4" xfId="0" applyNumberFormat="1" applyFont="1" applyBorder="1"/>
    <xf numFmtId="238" fontId="38" fillId="0" borderId="12" xfId="0" applyNumberFormat="1" applyFont="1" applyBorder="1"/>
    <xf numFmtId="245" fontId="38" fillId="0" borderId="0" xfId="0" quotePrefix="1" applyFont="1" applyAlignment="1">
      <alignment horizontal="left"/>
    </xf>
    <xf numFmtId="178" fontId="38" fillId="0" borderId="0" xfId="0" applyNumberFormat="1" applyFont="1"/>
    <xf numFmtId="245" fontId="28" fillId="0" borderId="15" xfId="0" quotePrefix="1" applyFont="1" applyBorder="1" applyAlignment="1">
      <alignment horizontal="left"/>
    </xf>
    <xf numFmtId="238" fontId="28" fillId="0" borderId="12" xfId="0" applyNumberFormat="1" applyFont="1" applyBorder="1"/>
    <xf numFmtId="190" fontId="27" fillId="0" borderId="0" xfId="0" applyNumberFormat="1" applyFont="1" applyAlignment="1">
      <alignment horizontal="center"/>
    </xf>
    <xf numFmtId="190" fontId="27" fillId="0" borderId="6" xfId="0" applyNumberFormat="1" applyFont="1" applyBorder="1" applyAlignment="1">
      <alignment horizontal="center"/>
    </xf>
    <xf numFmtId="238" fontId="27" fillId="0" borderId="6" xfId="0" applyNumberFormat="1" applyFont="1" applyBorder="1" applyAlignment="1">
      <alignment horizontal="center"/>
    </xf>
    <xf numFmtId="190" fontId="92" fillId="0" borderId="0" xfId="17" applyNumberFormat="1" applyFont="1" applyFill="1" applyBorder="1"/>
    <xf numFmtId="190" fontId="41" fillId="0" borderId="0" xfId="0" applyNumberFormat="1" applyFont="1"/>
    <xf numFmtId="190" fontId="45" fillId="0" borderId="0" xfId="0" applyNumberFormat="1" applyFont="1"/>
    <xf numFmtId="245" fontId="92" fillId="0" borderId="21" xfId="0" applyFont="1" applyBorder="1"/>
    <xf numFmtId="245" fontId="92" fillId="0" borderId="20" xfId="0" applyFont="1" applyBorder="1" applyAlignment="1">
      <alignment horizontal="center"/>
    </xf>
    <xf numFmtId="245" fontId="92" fillId="0" borderId="20" xfId="0" applyFont="1" applyBorder="1"/>
    <xf numFmtId="190" fontId="92" fillId="0" borderId="20" xfId="0" applyNumberFormat="1" applyFont="1" applyBorder="1"/>
    <xf numFmtId="190" fontId="92" fillId="0" borderId="20" xfId="17" applyNumberFormat="1" applyFont="1" applyFill="1" applyBorder="1"/>
    <xf numFmtId="245" fontId="33" fillId="0" borderId="22" xfId="0" applyFont="1" applyBorder="1"/>
    <xf numFmtId="190" fontId="27" fillId="0" borderId="11" xfId="0" applyNumberFormat="1" applyFont="1" applyBorder="1"/>
    <xf numFmtId="190" fontId="41" fillId="0" borderId="11" xfId="0" applyNumberFormat="1" applyFont="1" applyBorder="1"/>
    <xf numFmtId="190" fontId="41" fillId="0" borderId="23" xfId="0" applyNumberFormat="1" applyFont="1" applyBorder="1"/>
    <xf numFmtId="178" fontId="92" fillId="0" borderId="0" xfId="17" applyNumberFormat="1" applyFont="1" applyFill="1" applyBorder="1"/>
    <xf numFmtId="247" fontId="27" fillId="0" borderId="0" xfId="37" quotePrefix="1" applyFont="1" applyFill="1" applyBorder="1" applyAlignment="1">
      <alignment horizontal="left"/>
    </xf>
    <xf numFmtId="247" fontId="28" fillId="0" borderId="4" xfId="37" quotePrefix="1" applyFont="1" applyFill="1" applyBorder="1" applyAlignment="1">
      <alignment horizontal="left"/>
    </xf>
    <xf numFmtId="247" fontId="17" fillId="0" borderId="4" xfId="37" applyFont="1" applyFill="1" applyBorder="1" applyAlignment="1">
      <alignment horizontal="center"/>
    </xf>
    <xf numFmtId="0" fontId="56" fillId="0" borderId="6" xfId="0" applyNumberFormat="1" applyFont="1" applyBorder="1" applyAlignment="1">
      <alignment horizontal="center"/>
    </xf>
    <xf numFmtId="238" fontId="28" fillId="0" borderId="5" xfId="0" applyNumberFormat="1" applyFont="1" applyBorder="1"/>
    <xf numFmtId="238" fontId="48" fillId="0" borderId="0" xfId="0" applyNumberFormat="1" applyFont="1"/>
    <xf numFmtId="243" fontId="92" fillId="0" borderId="0" xfId="0" applyNumberFormat="1" applyFont="1"/>
    <xf numFmtId="245" fontId="31" fillId="0" borderId="0" xfId="0" applyFont="1" applyAlignment="1">
      <alignment horizontal="center"/>
    </xf>
    <xf numFmtId="172" fontId="0" fillId="0" borderId="0" xfId="0" applyNumberFormat="1"/>
    <xf numFmtId="9" fontId="31" fillId="0" borderId="0" xfId="0" applyNumberFormat="1" applyFont="1" applyAlignment="1">
      <alignment horizontal="right"/>
    </xf>
    <xf numFmtId="242" fontId="91" fillId="0" borderId="0" xfId="0" applyNumberFormat="1" applyFont="1"/>
    <xf numFmtId="174" fontId="35" fillId="0" borderId="0" xfId="0" applyNumberFormat="1" applyFont="1" applyAlignment="1">
      <alignment horizontal="right"/>
    </xf>
    <xf numFmtId="243" fontId="35" fillId="0" borderId="0" xfId="0" applyNumberFormat="1" applyFont="1" applyAlignment="1">
      <alignment horizontal="right"/>
    </xf>
    <xf numFmtId="173" fontId="17" fillId="0" borderId="0" xfId="0" applyNumberFormat="1" applyFont="1" applyAlignment="1">
      <alignment horizontal="right"/>
    </xf>
    <xf numFmtId="247" fontId="16" fillId="0" borderId="0" xfId="34" applyNumberFormat="1" applyFont="1" applyFill="1"/>
    <xf numFmtId="3" fontId="27" fillId="0" borderId="0" xfId="0" applyNumberFormat="1" applyFont="1" applyAlignment="1">
      <alignment horizontal="right"/>
    </xf>
    <xf numFmtId="245" fontId="50" fillId="0" borderId="0" xfId="0" applyFont="1"/>
    <xf numFmtId="174" fontId="50" fillId="0" borderId="0" xfId="0" applyNumberFormat="1" applyFont="1" applyAlignment="1">
      <alignment horizontal="right"/>
    </xf>
    <xf numFmtId="178" fontId="31" fillId="0" borderId="0" xfId="0" applyNumberFormat="1" applyFont="1"/>
    <xf numFmtId="242" fontId="27" fillId="0" borderId="0" xfId="0" applyNumberFormat="1" applyFont="1"/>
    <xf numFmtId="178" fontId="48" fillId="0" borderId="0" xfId="0" applyNumberFormat="1" applyFont="1"/>
    <xf numFmtId="242" fontId="28" fillId="0" borderId="0" xfId="0" applyNumberFormat="1" applyFont="1"/>
    <xf numFmtId="238" fontId="21" fillId="0" borderId="0" xfId="0" applyNumberFormat="1" applyFont="1"/>
    <xf numFmtId="10" fontId="0" fillId="0" borderId="0" xfId="0" applyNumberFormat="1"/>
    <xf numFmtId="37" fontId="27" fillId="0" borderId="0" xfId="0" applyNumberFormat="1" applyFont="1" applyAlignment="1">
      <alignment horizontal="right"/>
    </xf>
    <xf numFmtId="37" fontId="73" fillId="0" borderId="0" xfId="0" applyNumberFormat="1" applyFont="1" applyAlignment="1">
      <alignment horizontal="right"/>
    </xf>
    <xf numFmtId="37" fontId="27" fillId="0" borderId="0" xfId="0" applyNumberFormat="1" applyFont="1"/>
    <xf numFmtId="37" fontId="73" fillId="0" borderId="0" xfId="0" applyNumberFormat="1" applyFont="1"/>
    <xf numFmtId="245" fontId="48" fillId="0" borderId="0" xfId="0" applyFont="1" applyAlignment="1">
      <alignment horizontal="center"/>
    </xf>
    <xf numFmtId="185" fontId="28" fillId="0" borderId="0" xfId="0" applyNumberFormat="1" applyFont="1" applyAlignment="1">
      <alignment horizontal="right"/>
    </xf>
    <xf numFmtId="239" fontId="28" fillId="0" borderId="0" xfId="0" applyNumberFormat="1" applyFont="1"/>
    <xf numFmtId="245" fontId="33" fillId="0" borderId="0" xfId="0" applyFont="1" applyAlignment="1">
      <alignment horizontal="center"/>
    </xf>
    <xf numFmtId="187" fontId="27" fillId="0" borderId="0" xfId="0" applyNumberFormat="1" applyFont="1" applyAlignment="1">
      <alignment horizontal="right"/>
    </xf>
    <xf numFmtId="185" fontId="27" fillId="0" borderId="0" xfId="0" applyNumberFormat="1" applyFont="1" applyAlignment="1">
      <alignment horizontal="right"/>
    </xf>
    <xf numFmtId="2" fontId="31" fillId="0" borderId="0" xfId="0" applyNumberFormat="1" applyFont="1" applyAlignment="1">
      <alignment horizontal="right"/>
    </xf>
    <xf numFmtId="2" fontId="20" fillId="0" borderId="0" xfId="0" applyNumberFormat="1" applyFont="1" applyAlignment="1">
      <alignment horizontal="center"/>
    </xf>
    <xf numFmtId="174" fontId="73" fillId="0" borderId="0" xfId="0" applyNumberFormat="1" applyFont="1" applyAlignment="1">
      <alignment horizontal="right"/>
    </xf>
    <xf numFmtId="186" fontId="73" fillId="0" borderId="0" xfId="0" applyNumberFormat="1" applyFont="1" applyAlignment="1">
      <alignment horizontal="right"/>
    </xf>
    <xf numFmtId="0" fontId="73" fillId="0" borderId="0" xfId="0" applyNumberFormat="1" applyFont="1"/>
    <xf numFmtId="172" fontId="31" fillId="0" borderId="0" xfId="0" applyNumberFormat="1" applyFont="1" applyAlignment="1">
      <alignment horizontal="right"/>
    </xf>
    <xf numFmtId="226" fontId="31" fillId="0" borderId="0" xfId="0" applyNumberFormat="1" applyFont="1" applyAlignment="1">
      <alignment horizontal="right"/>
    </xf>
    <xf numFmtId="175" fontId="27" fillId="0" borderId="0" xfId="0" applyNumberFormat="1" applyFont="1" applyAlignment="1">
      <alignment horizontal="right"/>
    </xf>
    <xf numFmtId="238" fontId="69" fillId="0" borderId="0" xfId="0" applyNumberFormat="1" applyFont="1"/>
    <xf numFmtId="245" fontId="16" fillId="0" borderId="0" xfId="0" quotePrefix="1" applyFont="1" applyAlignment="1">
      <alignment horizontal="left" indent="1"/>
    </xf>
    <xf numFmtId="178" fontId="41" fillId="0" borderId="0" xfId="0" applyNumberFormat="1" applyFont="1" applyAlignment="1">
      <alignment horizontal="right"/>
    </xf>
    <xf numFmtId="0" fontId="27" fillId="0" borderId="0" xfId="0" applyNumberFormat="1" applyFont="1" applyAlignment="1">
      <alignment horizontal="right"/>
    </xf>
    <xf numFmtId="238" fontId="93" fillId="0" borderId="0" xfId="0" applyNumberFormat="1" applyFont="1"/>
    <xf numFmtId="245" fontId="27" fillId="0" borderId="0" xfId="0" applyFont="1" applyAlignment="1" applyProtection="1">
      <alignment horizontal="left"/>
      <protection locked="0"/>
    </xf>
    <xf numFmtId="174" fontId="28" fillId="0" borderId="5" xfId="0" applyNumberFormat="1" applyFont="1" applyBorder="1" applyAlignment="1">
      <alignment horizontal="right"/>
    </xf>
    <xf numFmtId="178" fontId="28" fillId="0" borderId="5" xfId="0" applyNumberFormat="1" applyFont="1" applyBorder="1" applyAlignment="1">
      <alignment horizontal="right"/>
    </xf>
    <xf numFmtId="238" fontId="73" fillId="0" borderId="6" xfId="0" applyNumberFormat="1" applyFont="1" applyBorder="1" applyAlignment="1">
      <alignment horizontal="right"/>
    </xf>
    <xf numFmtId="174" fontId="27" fillId="0" borderId="0" xfId="0" applyNumberFormat="1" applyFont="1" applyAlignment="1">
      <alignment horizontal="left" indent="1"/>
    </xf>
    <xf numFmtId="178" fontId="29" fillId="0" borderId="0" xfId="0" applyNumberFormat="1" applyFont="1"/>
    <xf numFmtId="178" fontId="28" fillId="0" borderId="4" xfId="0" applyNumberFormat="1" applyFont="1" applyBorder="1" applyAlignment="1">
      <alignment horizontal="right"/>
    </xf>
    <xf numFmtId="245" fontId="33" fillId="0" borderId="0" xfId="0" applyFont="1" applyAlignment="1">
      <alignment horizontal="left"/>
    </xf>
    <xf numFmtId="173" fontId="33" fillId="0" borderId="0" xfId="0" applyNumberFormat="1" applyFont="1" applyAlignment="1">
      <alignment horizontal="right"/>
    </xf>
    <xf numFmtId="170" fontId="27" fillId="0" borderId="0" xfId="0" applyNumberFormat="1" applyFont="1" applyAlignment="1">
      <alignment horizontal="right"/>
    </xf>
    <xf numFmtId="245" fontId="73" fillId="0" borderId="0" xfId="0" applyFont="1" applyAlignment="1">
      <alignment horizontal="right"/>
    </xf>
    <xf numFmtId="226" fontId="73" fillId="0" borderId="0" xfId="0" applyNumberFormat="1" applyFont="1" applyAlignment="1">
      <alignment horizontal="right"/>
    </xf>
    <xf numFmtId="190" fontId="27" fillId="0" borderId="0" xfId="0" applyNumberFormat="1" applyFont="1" applyAlignment="1">
      <alignment horizontal="right"/>
    </xf>
    <xf numFmtId="197" fontId="27" fillId="0" borderId="0" xfId="0" applyNumberFormat="1" applyFont="1" applyAlignment="1">
      <alignment horizontal="right"/>
    </xf>
    <xf numFmtId="245" fontId="69" fillId="0" borderId="0" xfId="0" applyFont="1"/>
    <xf numFmtId="245" fontId="98" fillId="0" borderId="0" xfId="0" applyFont="1"/>
    <xf numFmtId="0" fontId="69" fillId="0" borderId="0" xfId="0" applyNumberFormat="1" applyFont="1"/>
    <xf numFmtId="0" fontId="69" fillId="0" borderId="0" xfId="0" applyNumberFormat="1" applyFont="1" applyAlignment="1">
      <alignment horizontal="center"/>
    </xf>
    <xf numFmtId="3" fontId="16" fillId="0" borderId="0" xfId="0" applyNumberFormat="1" applyFont="1"/>
    <xf numFmtId="49" fontId="16" fillId="0" borderId="0" xfId="0" applyNumberFormat="1" applyFont="1" applyAlignment="1">
      <alignment horizontal="left" indent="2"/>
    </xf>
    <xf numFmtId="3" fontId="17" fillId="0" borderId="0" xfId="0" applyNumberFormat="1" applyFont="1"/>
    <xf numFmtId="49" fontId="16" fillId="0" borderId="0" xfId="0" applyNumberFormat="1" applyFont="1"/>
    <xf numFmtId="49" fontId="17" fillId="0" borderId="0" xfId="0" applyNumberFormat="1" applyFont="1"/>
    <xf numFmtId="178" fontId="16" fillId="0" borderId="0" xfId="0" applyNumberFormat="1" applyFont="1"/>
    <xf numFmtId="9" fontId="16" fillId="0" borderId="0" xfId="0" applyNumberFormat="1" applyFont="1"/>
    <xf numFmtId="1" fontId="16" fillId="0" borderId="0" xfId="0" applyNumberFormat="1" applyFont="1" applyAlignment="1">
      <alignment horizontal="left" indent="1"/>
    </xf>
    <xf numFmtId="245" fontId="77" fillId="0" borderId="0" xfId="0" applyFont="1"/>
    <xf numFmtId="247" fontId="17" fillId="0" borderId="0" xfId="37" applyFont="1" applyFill="1"/>
    <xf numFmtId="4" fontId="16" fillId="0" borderId="0" xfId="0" applyNumberFormat="1" applyFont="1"/>
    <xf numFmtId="0" fontId="0" fillId="0" borderId="0" xfId="0" applyNumberFormat="1"/>
    <xf numFmtId="0" fontId="0" fillId="0" borderId="0" xfId="0" applyNumberFormat="1" applyAlignment="1">
      <alignment horizontal="center"/>
    </xf>
    <xf numFmtId="199" fontId="28" fillId="0" borderId="9" xfId="0" applyNumberFormat="1" applyFont="1" applyBorder="1" applyAlignment="1">
      <alignment horizontal="left"/>
    </xf>
    <xf numFmtId="199" fontId="75" fillId="0" borderId="9" xfId="0" applyNumberFormat="1" applyFont="1" applyBorder="1" applyAlignment="1">
      <alignment horizontal="left" vertical="center"/>
    </xf>
    <xf numFmtId="200" fontId="28" fillId="0" borderId="0" xfId="0" applyNumberFormat="1" applyFont="1" applyAlignment="1">
      <alignment horizontal="left"/>
    </xf>
    <xf numFmtId="200" fontId="75" fillId="0" borderId="0" xfId="0" applyNumberFormat="1" applyFont="1" applyAlignment="1">
      <alignment horizontal="left" vertical="center"/>
    </xf>
    <xf numFmtId="200" fontId="28" fillId="0" borderId="9" xfId="0" applyNumberFormat="1" applyFont="1" applyBorder="1" applyAlignment="1">
      <alignment horizontal="left"/>
    </xf>
    <xf numFmtId="200" fontId="75" fillId="0" borderId="9" xfId="0" applyNumberFormat="1" applyFont="1" applyBorder="1" applyAlignment="1">
      <alignment horizontal="left" vertical="center"/>
    </xf>
    <xf numFmtId="198" fontId="27" fillId="0" borderId="0" xfId="0" applyNumberFormat="1" applyFont="1"/>
    <xf numFmtId="166" fontId="27" fillId="0" borderId="0" xfId="0" applyNumberFormat="1" applyFont="1"/>
    <xf numFmtId="200" fontId="75" fillId="0" borderId="9" xfId="0" quotePrefix="1" applyNumberFormat="1" applyFont="1" applyBorder="1" applyAlignment="1">
      <alignment horizontal="left" vertical="center"/>
    </xf>
    <xf numFmtId="198" fontId="75" fillId="0" borderId="0" xfId="0" quotePrefix="1" applyNumberFormat="1" applyFont="1" applyAlignment="1">
      <alignment horizontal="center"/>
    </xf>
    <xf numFmtId="199" fontId="28" fillId="0" borderId="0" xfId="0" applyNumberFormat="1" applyFont="1"/>
    <xf numFmtId="199" fontId="28" fillId="0" borderId="9" xfId="0" applyNumberFormat="1" applyFont="1" applyBorder="1" applyAlignment="1">
      <alignment horizontal="center"/>
    </xf>
    <xf numFmtId="199" fontId="75" fillId="0" borderId="9" xfId="0" quotePrefix="1" applyNumberFormat="1" applyFont="1" applyBorder="1" applyAlignment="1">
      <alignment horizontal="center" vertical="center"/>
    </xf>
    <xf numFmtId="199" fontId="28" fillId="0" borderId="9" xfId="0" quotePrefix="1" applyNumberFormat="1" applyFont="1" applyBorder="1" applyAlignment="1">
      <alignment horizontal="center" vertical="center"/>
    </xf>
    <xf numFmtId="173" fontId="27" fillId="0" borderId="0" xfId="0" applyNumberFormat="1" applyFont="1" applyAlignment="1">
      <alignment horizontal="center"/>
    </xf>
    <xf numFmtId="219" fontId="27" fillId="0" borderId="0" xfId="0" applyNumberFormat="1" applyFont="1" applyAlignment="1">
      <alignment horizontal="center"/>
    </xf>
    <xf numFmtId="198" fontId="73" fillId="0" borderId="0" xfId="0" quotePrefix="1" applyNumberFormat="1" applyFont="1" applyAlignment="1">
      <alignment horizontal="center"/>
    </xf>
    <xf numFmtId="198" fontId="27" fillId="0" borderId="6" xfId="0" applyNumberFormat="1" applyFont="1" applyBorder="1" applyAlignment="1">
      <alignment horizontal="center"/>
    </xf>
    <xf numFmtId="173" fontId="27" fillId="0" borderId="6" xfId="0" applyNumberFormat="1" applyFont="1" applyBorder="1" applyAlignment="1">
      <alignment horizontal="center"/>
    </xf>
    <xf numFmtId="219" fontId="27" fillId="0" borderId="6" xfId="0" applyNumberFormat="1" applyFont="1" applyBorder="1" applyAlignment="1">
      <alignment horizontal="center"/>
    </xf>
    <xf numFmtId="199" fontId="28" fillId="0" borderId="0" xfId="0" applyNumberFormat="1" applyFont="1" applyAlignment="1">
      <alignment horizontal="center"/>
    </xf>
    <xf numFmtId="173" fontId="75" fillId="0" borderId="0" xfId="0" quotePrefix="1" applyNumberFormat="1" applyFont="1" applyAlignment="1">
      <alignment horizontal="center"/>
    </xf>
    <xf numFmtId="219" fontId="28" fillId="0" borderId="5" xfId="0" applyNumberFormat="1" applyFont="1" applyBorder="1" applyAlignment="1">
      <alignment horizontal="center"/>
    </xf>
    <xf numFmtId="245" fontId="28" fillId="0" borderId="0" xfId="0" applyFont="1" applyAlignment="1">
      <alignment horizontal="centerContinuous"/>
    </xf>
    <xf numFmtId="245" fontId="27" fillId="0" borderId="0" xfId="0" applyFont="1" applyAlignment="1">
      <alignment horizontal="centerContinuous"/>
    </xf>
    <xf numFmtId="243" fontId="75" fillId="0" borderId="0" xfId="0" applyNumberFormat="1" applyFont="1"/>
    <xf numFmtId="246" fontId="92" fillId="0" borderId="0" xfId="28" applyFont="1" applyFill="1"/>
    <xf numFmtId="246" fontId="27" fillId="0" borderId="0" xfId="28" applyFont="1" applyFill="1"/>
    <xf numFmtId="246" fontId="28" fillId="0" borderId="0" xfId="28" applyFont="1" applyFill="1"/>
    <xf numFmtId="255" fontId="27" fillId="0" borderId="0" xfId="0" applyNumberFormat="1" applyFont="1"/>
    <xf numFmtId="255" fontId="73" fillId="0" borderId="0" xfId="0" quotePrefix="1" applyNumberFormat="1" applyFont="1"/>
    <xf numFmtId="255" fontId="27" fillId="0" borderId="0" xfId="0" quotePrefix="1" applyNumberFormat="1" applyFont="1"/>
    <xf numFmtId="255" fontId="28" fillId="0" borderId="0" xfId="0" applyNumberFormat="1" applyFont="1"/>
    <xf numFmtId="245" fontId="102" fillId="0" borderId="6" xfId="0" applyFont="1" applyBorder="1"/>
    <xf numFmtId="208" fontId="28" fillId="0" borderId="6" xfId="0" applyNumberFormat="1" applyFont="1" applyBorder="1" applyAlignment="1">
      <alignment horizontal="right"/>
    </xf>
    <xf numFmtId="208" fontId="17" fillId="0" borderId="6" xfId="0" applyNumberFormat="1" applyFont="1" applyBorder="1" applyAlignment="1">
      <alignment horizontal="right"/>
    </xf>
    <xf numFmtId="242" fontId="17" fillId="0" borderId="6" xfId="0" applyNumberFormat="1" applyFont="1" applyBorder="1" applyAlignment="1">
      <alignment horizontal="right"/>
    </xf>
    <xf numFmtId="242" fontId="28" fillId="0" borderId="6" xfId="0" applyNumberFormat="1" applyFont="1" applyBorder="1" applyAlignment="1">
      <alignment horizontal="right"/>
    </xf>
    <xf numFmtId="252" fontId="0" fillId="0" borderId="0" xfId="0" applyNumberFormat="1"/>
    <xf numFmtId="2" fontId="28" fillId="0" borderId="0" xfId="0" applyNumberFormat="1" applyFont="1"/>
    <xf numFmtId="252" fontId="74" fillId="0" borderId="5" xfId="0" applyNumberFormat="1" applyFont="1" applyBorder="1"/>
    <xf numFmtId="3" fontId="28" fillId="0" borderId="6" xfId="0" applyNumberFormat="1" applyFont="1" applyBorder="1"/>
    <xf numFmtId="2" fontId="28" fillId="0" borderId="6" xfId="0" applyNumberFormat="1" applyFont="1" applyBorder="1"/>
    <xf numFmtId="261" fontId="92" fillId="0" borderId="0" xfId="0" applyNumberFormat="1" applyFont="1" applyAlignment="1">
      <alignment horizontal="center"/>
    </xf>
    <xf numFmtId="3" fontId="27" fillId="0" borderId="6" xfId="0" applyNumberFormat="1" applyFont="1" applyBorder="1"/>
    <xf numFmtId="2" fontId="27" fillId="0" borderId="6" xfId="0" applyNumberFormat="1" applyFont="1" applyBorder="1"/>
    <xf numFmtId="239" fontId="27" fillId="0" borderId="6" xfId="0" applyNumberFormat="1" applyFont="1" applyBorder="1"/>
    <xf numFmtId="239" fontId="28" fillId="0" borderId="6" xfId="0" applyNumberFormat="1" applyFont="1" applyBorder="1"/>
    <xf numFmtId="3" fontId="28" fillId="0" borderId="4" xfId="0" applyNumberFormat="1" applyFont="1" applyBorder="1"/>
    <xf numFmtId="2" fontId="28" fillId="0" borderId="5" xfId="0" applyNumberFormat="1" applyFont="1" applyBorder="1"/>
    <xf numFmtId="239" fontId="28" fillId="0" borderId="5" xfId="0" applyNumberFormat="1" applyFont="1" applyBorder="1"/>
    <xf numFmtId="3" fontId="73" fillId="0" borderId="0" xfId="0" applyNumberFormat="1" applyFont="1"/>
    <xf numFmtId="3" fontId="73" fillId="0" borderId="6" xfId="0" applyNumberFormat="1" applyFont="1" applyBorder="1"/>
    <xf numFmtId="245" fontId="27" fillId="0" borderId="13" xfId="0" applyFont="1" applyBorder="1"/>
    <xf numFmtId="245" fontId="27" fillId="0" borderId="7" xfId="0" applyFont="1" applyBorder="1" applyAlignment="1">
      <alignment horizontal="left" indent="1"/>
    </xf>
    <xf numFmtId="253" fontId="73" fillId="0" borderId="0" xfId="0" applyNumberFormat="1" applyFont="1" applyAlignment="1">
      <alignment horizontal="right"/>
    </xf>
    <xf numFmtId="254" fontId="73" fillId="0" borderId="0" xfId="0" applyNumberFormat="1" applyFont="1" applyAlignment="1">
      <alignment horizontal="right"/>
    </xf>
    <xf numFmtId="201" fontId="27" fillId="0" borderId="0" xfId="0" applyNumberFormat="1" applyFont="1" applyAlignment="1">
      <alignment horizontal="right"/>
    </xf>
    <xf numFmtId="166" fontId="28" fillId="0" borderId="0" xfId="0" applyNumberFormat="1" applyFont="1"/>
    <xf numFmtId="245" fontId="27" fillId="0" borderId="8" xfId="0" quotePrefix="1" applyFont="1" applyBorder="1"/>
    <xf numFmtId="204" fontId="27" fillId="0" borderId="6" xfId="0" applyNumberFormat="1" applyFont="1" applyBorder="1"/>
    <xf numFmtId="2" fontId="27" fillId="0" borderId="14" xfId="0" applyNumberFormat="1" applyFont="1" applyBorder="1"/>
    <xf numFmtId="204" fontId="27" fillId="0" borderId="0" xfId="0" applyNumberFormat="1" applyFont="1"/>
    <xf numFmtId="209" fontId="28" fillId="0" borderId="6" xfId="0" applyNumberFormat="1" applyFont="1" applyBorder="1" applyAlignment="1">
      <alignment horizontal="right"/>
    </xf>
    <xf numFmtId="204" fontId="17" fillId="0" borderId="0" xfId="0" applyNumberFormat="1" applyFont="1"/>
    <xf numFmtId="204" fontId="27" fillId="0" borderId="4" xfId="0" applyNumberFormat="1" applyFont="1" applyBorder="1"/>
    <xf numFmtId="206" fontId="28" fillId="0" borderId="4" xfId="0" applyNumberFormat="1" applyFont="1" applyBorder="1"/>
    <xf numFmtId="246" fontId="28" fillId="0" borderId="4" xfId="28" applyFont="1" applyFill="1" applyBorder="1"/>
    <xf numFmtId="206" fontId="28" fillId="0" borderId="0" xfId="0" applyNumberFormat="1" applyFont="1"/>
    <xf numFmtId="14" fontId="27" fillId="0" borderId="0" xfId="0" applyNumberFormat="1" applyFont="1" applyAlignment="1">
      <alignment horizontal="left"/>
    </xf>
    <xf numFmtId="3" fontId="29" fillId="0" borderId="0" xfId="0" applyNumberFormat="1" applyFont="1"/>
    <xf numFmtId="181" fontId="27" fillId="0" borderId="0" xfId="0" applyNumberFormat="1" applyFont="1"/>
    <xf numFmtId="184" fontId="29" fillId="0" borderId="0" xfId="0" applyNumberFormat="1" applyFont="1" applyAlignment="1">
      <alignment horizontal="right"/>
    </xf>
    <xf numFmtId="205" fontId="29" fillId="0" borderId="0" xfId="0" applyNumberFormat="1" applyFont="1" applyAlignment="1">
      <alignment horizontal="right"/>
    </xf>
    <xf numFmtId="202" fontId="29" fillId="0" borderId="0" xfId="0" applyNumberFormat="1" applyFont="1" applyAlignment="1">
      <alignment horizontal="right"/>
    </xf>
    <xf numFmtId="205" fontId="28" fillId="0" borderId="0" xfId="0" applyNumberFormat="1" applyFont="1" applyAlignment="1">
      <alignment horizontal="right"/>
    </xf>
    <xf numFmtId="245" fontId="100" fillId="14" borderId="0" xfId="0" applyFont="1" applyFill="1" applyAlignment="1">
      <alignment vertical="center"/>
    </xf>
    <xf numFmtId="245" fontId="100" fillId="14" borderId="0" xfId="0" applyFont="1" applyFill="1" applyAlignment="1">
      <alignment horizontal="center" vertical="center"/>
    </xf>
    <xf numFmtId="0" fontId="100" fillId="14" borderId="0" xfId="0" applyNumberFormat="1" applyFont="1" applyFill="1" applyAlignment="1">
      <alignment horizontal="center" vertical="center"/>
    </xf>
    <xf numFmtId="247" fontId="16" fillId="0" borderId="0" xfId="37" applyFont="1" applyFill="1" applyBorder="1"/>
    <xf numFmtId="243" fontId="16" fillId="0" borderId="0" xfId="0" applyNumberFormat="1" applyFont="1" applyAlignment="1">
      <alignment horizontal="right"/>
    </xf>
    <xf numFmtId="247" fontId="0" fillId="0" borderId="0" xfId="0" applyNumberFormat="1"/>
    <xf numFmtId="245" fontId="17" fillId="11" borderId="0" xfId="23" applyNumberFormat="1" applyFont="1" applyFill="1" applyBorder="1" applyAlignment="1">
      <alignment horizontal="right"/>
      <protection locked="0"/>
    </xf>
    <xf numFmtId="245" fontId="92" fillId="0" borderId="0" xfId="17" applyNumberFormat="1" applyFont="1" applyFill="1" applyBorder="1" applyAlignment="1">
      <alignment horizontal="right"/>
    </xf>
    <xf numFmtId="245" fontId="100" fillId="14" borderId="0" xfId="0" applyNumberFormat="1" applyFont="1" applyFill="1" applyAlignment="1">
      <alignment vertical="center"/>
    </xf>
    <xf numFmtId="245" fontId="40" fillId="0" borderId="0" xfId="0" applyNumberFormat="1" applyFont="1"/>
    <xf numFmtId="245" fontId="52" fillId="4" borderId="16" xfId="0" applyNumberFormat="1" applyFont="1" applyFill="1" applyBorder="1"/>
    <xf numFmtId="245" fontId="56" fillId="0" borderId="6" xfId="0" applyNumberFormat="1" applyFont="1" applyBorder="1"/>
    <xf numFmtId="245" fontId="16" fillId="0" borderId="0" xfId="0" applyNumberFormat="1" applyFont="1" applyAlignment="1">
      <alignment horizontal="left" indent="2"/>
    </xf>
    <xf numFmtId="245" fontId="16" fillId="0" borderId="0" xfId="0" applyNumberFormat="1" applyFont="1" applyAlignment="1">
      <alignment horizontal="left"/>
    </xf>
    <xf numFmtId="245" fontId="0" fillId="0" borderId="0" xfId="0" applyNumberFormat="1" applyAlignment="1">
      <alignment horizontal="left"/>
    </xf>
    <xf numFmtId="245" fontId="17" fillId="0" borderId="0" xfId="0" applyNumberFormat="1" applyFont="1" applyAlignment="1">
      <alignment horizontal="left"/>
    </xf>
    <xf numFmtId="245" fontId="33" fillId="0" borderId="0" xfId="0" applyNumberFormat="1" applyFont="1" applyAlignment="1">
      <alignment horizontal="left"/>
    </xf>
    <xf numFmtId="245" fontId="31" fillId="0" borderId="0" xfId="0" applyNumberFormat="1" applyFont="1" applyAlignment="1" applyProtection="1">
      <alignment horizontal="right"/>
      <protection locked="0"/>
    </xf>
    <xf numFmtId="245" fontId="27" fillId="0" borderId="0" xfId="0" applyNumberFormat="1" applyFont="1" applyAlignment="1">
      <alignment horizontal="left"/>
    </xf>
    <xf numFmtId="245" fontId="31" fillId="0" borderId="0" xfId="0" applyNumberFormat="1" applyFont="1" applyAlignment="1">
      <alignment horizontal="right"/>
    </xf>
    <xf numFmtId="245" fontId="73" fillId="0" borderId="0" xfId="0" applyNumberFormat="1" applyFont="1" applyAlignment="1">
      <alignment horizontal="right"/>
    </xf>
    <xf numFmtId="245" fontId="28" fillId="0" borderId="0" xfId="0" applyNumberFormat="1" applyFont="1"/>
    <xf numFmtId="245" fontId="31" fillId="0" borderId="0" xfId="0" applyNumberFormat="1" applyFont="1"/>
    <xf numFmtId="245" fontId="41" fillId="0" borderId="0" xfId="0" applyNumberFormat="1" applyFont="1"/>
    <xf numFmtId="245" fontId="29" fillId="0" borderId="0" xfId="0" applyNumberFormat="1" applyFont="1"/>
    <xf numFmtId="247" fontId="16" fillId="0" borderId="0" xfId="37" applyFont="1" applyFill="1" applyBorder="1" applyAlignment="1">
      <alignment horizontal="left" indent="2"/>
    </xf>
    <xf numFmtId="178" fontId="33" fillId="0" borderId="0" xfId="0" applyNumberFormat="1" applyFont="1" applyAlignment="1">
      <alignment horizontal="center"/>
    </xf>
    <xf numFmtId="178" fontId="33" fillId="0" borderId="0" xfId="0" applyNumberFormat="1" applyFont="1" applyAlignment="1">
      <alignment horizontal="right"/>
    </xf>
    <xf numFmtId="245" fontId="33" fillId="0" borderId="0" xfId="0" applyNumberFormat="1" applyFont="1" applyAlignment="1">
      <alignment horizontal="right"/>
    </xf>
    <xf numFmtId="242" fontId="73" fillId="13" borderId="0" xfId="0" applyNumberFormat="1" applyFont="1" applyFill="1" applyAlignment="1">
      <alignment horizontal="right"/>
    </xf>
    <xf numFmtId="242" fontId="92" fillId="13" borderId="0" xfId="0" applyNumberFormat="1" applyFont="1" applyFill="1" applyAlignment="1">
      <alignment horizontal="right"/>
    </xf>
    <xf numFmtId="242" fontId="92" fillId="0" borderId="0" xfId="0" applyNumberFormat="1" applyFont="1" applyAlignment="1">
      <alignment horizontal="right"/>
    </xf>
    <xf numFmtId="242" fontId="27" fillId="0" borderId="0" xfId="0" applyNumberFormat="1" applyFont="1" applyAlignment="1">
      <alignment horizontal="right"/>
    </xf>
    <xf numFmtId="242" fontId="93" fillId="0" borderId="0" xfId="0" applyNumberFormat="1" applyFont="1" applyAlignment="1">
      <alignment horizontal="right"/>
    </xf>
    <xf numFmtId="242" fontId="92" fillId="0" borderId="0" xfId="0" applyNumberFormat="1" applyFont="1"/>
    <xf numFmtId="242" fontId="27" fillId="13" borderId="0" xfId="0" applyNumberFormat="1" applyFont="1" applyFill="1" applyAlignment="1">
      <alignment horizontal="right"/>
    </xf>
    <xf numFmtId="242" fontId="28" fillId="0" borderId="4" xfId="0" applyNumberFormat="1" applyFont="1" applyBorder="1" applyAlignment="1">
      <alignment horizontal="right"/>
    </xf>
    <xf numFmtId="193" fontId="29" fillId="0" borderId="0" xfId="0" applyNumberFormat="1" applyFont="1"/>
    <xf numFmtId="172" fontId="31" fillId="0" borderId="0" xfId="34" applyNumberFormat="1" applyFont="1" applyFill="1" applyBorder="1" applyAlignment="1">
      <alignment horizontal="right"/>
    </xf>
    <xf numFmtId="9" fontId="16" fillId="0" borderId="0" xfId="34" applyFont="1" applyFill="1" applyBorder="1" applyAlignment="1">
      <alignment horizontal="right"/>
    </xf>
    <xf numFmtId="245" fontId="19" fillId="0" borderId="0" xfId="0" quotePrefix="1" applyFont="1"/>
    <xf numFmtId="252" fontId="92" fillId="0" borderId="0" xfId="0" applyNumberFormat="1" applyFont="1" applyAlignment="1">
      <alignment horizontal="right"/>
    </xf>
    <xf numFmtId="9" fontId="27" fillId="0" borderId="0" xfId="34" applyFont="1" applyFill="1" applyBorder="1" applyAlignment="1">
      <alignment horizontal="right"/>
    </xf>
    <xf numFmtId="172" fontId="27" fillId="0" borderId="0" xfId="34" applyNumberFormat="1" applyFont="1" applyFill="1" applyBorder="1" applyAlignment="1">
      <alignment horizontal="right"/>
    </xf>
    <xf numFmtId="247" fontId="17" fillId="0" borderId="0" xfId="37" applyFont="1" applyFill="1" applyBorder="1" applyAlignment="1"/>
    <xf numFmtId="245" fontId="102" fillId="0" borderId="0" xfId="0" applyFont="1"/>
    <xf numFmtId="208" fontId="28" fillId="0" borderId="0" xfId="0" applyNumberFormat="1" applyFont="1" applyAlignment="1">
      <alignment horizontal="right"/>
    </xf>
    <xf numFmtId="208" fontId="17" fillId="0" borderId="0" xfId="0" applyNumberFormat="1" applyFont="1" applyAlignment="1">
      <alignment horizontal="right"/>
    </xf>
    <xf numFmtId="242" fontId="17" fillId="0" borderId="0" xfId="0" applyNumberFormat="1" applyFont="1" applyAlignment="1">
      <alignment horizontal="right"/>
    </xf>
    <xf numFmtId="242" fontId="28" fillId="0" borderId="0" xfId="0" applyNumberFormat="1" applyFont="1" applyAlignment="1">
      <alignment horizontal="center"/>
    </xf>
    <xf numFmtId="200" fontId="28" fillId="0" borderId="9" xfId="0" applyNumberFormat="1" applyFont="1" applyBorder="1" applyAlignment="1">
      <alignment horizontal="center"/>
    </xf>
    <xf numFmtId="200" fontId="28" fillId="13" borderId="9" xfId="0" quotePrefix="1" applyNumberFormat="1" applyFont="1" applyFill="1" applyBorder="1" applyAlignment="1">
      <alignment horizontal="center" vertical="center"/>
    </xf>
    <xf numFmtId="243" fontId="75" fillId="13" borderId="0" xfId="0" applyNumberFormat="1" applyFont="1" applyFill="1"/>
    <xf numFmtId="267" fontId="27" fillId="0" borderId="0" xfId="0" applyNumberFormat="1" applyFont="1" applyAlignment="1">
      <alignment horizontal="center"/>
    </xf>
    <xf numFmtId="267" fontId="75" fillId="13" borderId="0" xfId="0" quotePrefix="1" applyNumberFormat="1" applyFont="1" applyFill="1" applyAlignment="1">
      <alignment horizontal="center"/>
    </xf>
    <xf numFmtId="198" fontId="16" fillId="0" borderId="0" xfId="0" applyNumberFormat="1" applyFont="1" applyAlignment="1">
      <alignment horizontal="center"/>
    </xf>
    <xf numFmtId="198" fontId="16" fillId="0" borderId="6" xfId="0" applyNumberFormat="1" applyFont="1" applyBorder="1" applyAlignment="1">
      <alignment horizontal="center"/>
    </xf>
    <xf numFmtId="246" fontId="27" fillId="0" borderId="0" xfId="28" applyFont="1" applyFill="1" applyBorder="1" applyAlignment="1">
      <alignment horizontal="center"/>
    </xf>
    <xf numFmtId="246" fontId="27" fillId="0" borderId="6" xfId="28" applyFont="1" applyFill="1" applyBorder="1" applyAlignment="1">
      <alignment horizontal="center"/>
    </xf>
    <xf numFmtId="267" fontId="16" fillId="0" borderId="0" xfId="0" applyNumberFormat="1" applyFont="1" applyAlignment="1">
      <alignment horizontal="center"/>
    </xf>
    <xf numFmtId="267" fontId="16" fillId="0" borderId="6" xfId="0" applyNumberFormat="1" applyFont="1" applyBorder="1" applyAlignment="1">
      <alignment horizontal="center"/>
    </xf>
    <xf numFmtId="251" fontId="37" fillId="10" borderId="0" xfId="0" applyNumberFormat="1" applyFont="1" applyFill="1" applyAlignment="1">
      <alignment horizontal="right"/>
    </xf>
    <xf numFmtId="245" fontId="37" fillId="10" borderId="0" xfId="0" applyFont="1" applyFill="1" applyAlignment="1">
      <alignment horizontal="centerContinuous"/>
    </xf>
    <xf numFmtId="245" fontId="27" fillId="12" borderId="0" xfId="0" applyFont="1" applyFill="1"/>
    <xf numFmtId="37" fontId="16" fillId="0" borderId="0" xfId="0" applyNumberFormat="1" applyFont="1" applyAlignment="1" applyProtection="1">
      <alignment horizontal="left"/>
      <protection locked="0" hidden="1"/>
    </xf>
    <xf numFmtId="245" fontId="27" fillId="11" borderId="0" xfId="0" applyFont="1" applyFill="1"/>
    <xf numFmtId="184" fontId="92" fillId="13" borderId="32" xfId="23" applyNumberFormat="1" applyFont="1" applyFill="1" applyAlignment="1">
      <alignment horizontal="center"/>
      <protection locked="0"/>
    </xf>
    <xf numFmtId="245" fontId="28" fillId="13" borderId="4" xfId="0" applyFont="1" applyFill="1" applyBorder="1"/>
    <xf numFmtId="204" fontId="27" fillId="13" borderId="4" xfId="0" applyNumberFormat="1" applyFont="1" applyFill="1" applyBorder="1"/>
    <xf numFmtId="184" fontId="28" fillId="13" borderId="4" xfId="0" applyNumberFormat="1" applyFont="1" applyFill="1" applyBorder="1"/>
    <xf numFmtId="246" fontId="28" fillId="13" borderId="4" xfId="28" applyFont="1" applyFill="1" applyBorder="1"/>
    <xf numFmtId="252" fontId="0" fillId="13" borderId="0" xfId="0" applyNumberFormat="1" applyFill="1"/>
    <xf numFmtId="208" fontId="28" fillId="11" borderId="0" xfId="0" applyNumberFormat="1" applyFont="1" applyFill="1" applyAlignment="1">
      <alignment horizontal="right"/>
    </xf>
    <xf numFmtId="166" fontId="28" fillId="13" borderId="9" xfId="0" applyNumberFormat="1" applyFont="1" applyFill="1" applyBorder="1"/>
    <xf numFmtId="198" fontId="17" fillId="13" borderId="0" xfId="0" applyNumberFormat="1" applyFont="1" applyFill="1" applyAlignment="1">
      <alignment horizontal="center"/>
    </xf>
    <xf numFmtId="172" fontId="28" fillId="16" borderId="0" xfId="34" applyNumberFormat="1" applyFont="1" applyFill="1" applyAlignment="1">
      <alignment horizontal="right"/>
    </xf>
    <xf numFmtId="245" fontId="103" fillId="17" borderId="24" xfId="0" applyFont="1" applyFill="1" applyBorder="1"/>
    <xf numFmtId="245" fontId="103" fillId="17" borderId="25" xfId="0" applyFont="1" applyFill="1" applyBorder="1"/>
    <xf numFmtId="245" fontId="104" fillId="0" borderId="26" xfId="0" applyFont="1" applyBorder="1"/>
    <xf numFmtId="245" fontId="104" fillId="0" borderId="27" xfId="0" applyFont="1" applyBorder="1"/>
    <xf numFmtId="245" fontId="104" fillId="15" borderId="26" xfId="0" applyFont="1" applyFill="1" applyBorder="1"/>
    <xf numFmtId="245" fontId="104" fillId="0" borderId="28" xfId="0" applyFont="1" applyBorder="1"/>
    <xf numFmtId="245" fontId="104" fillId="0" borderId="5" xfId="0" applyFont="1" applyBorder="1"/>
    <xf numFmtId="245" fontId="104" fillId="18" borderId="26" xfId="0" applyFont="1" applyFill="1" applyBorder="1"/>
    <xf numFmtId="245" fontId="104" fillId="19" borderId="26" xfId="0" applyFont="1" applyFill="1" applyBorder="1"/>
    <xf numFmtId="245" fontId="104" fillId="0" borderId="22" xfId="0" applyFont="1" applyBorder="1"/>
    <xf numFmtId="245" fontId="104" fillId="0" borderId="11" xfId="0" applyFont="1" applyBorder="1"/>
    <xf numFmtId="245" fontId="0" fillId="0" borderId="0" xfId="0" applyNumberFormat="1" applyAlignment="1">
      <alignment horizontal="right"/>
    </xf>
    <xf numFmtId="170" fontId="78" fillId="10" borderId="0" xfId="15" applyFont="1" applyFill="1"/>
    <xf numFmtId="245" fontId="39" fillId="0" borderId="0" xfId="0" quotePrefix="1" applyFont="1" applyAlignment="1">
      <alignment horizontal="left"/>
    </xf>
    <xf numFmtId="245" fontId="104" fillId="0" borderId="0" xfId="0" applyFont="1"/>
    <xf numFmtId="9" fontId="0" fillId="0" borderId="0" xfId="34" applyFont="1"/>
    <xf numFmtId="9" fontId="0" fillId="0" borderId="0" xfId="34" applyFont="1" applyFill="1"/>
    <xf numFmtId="9" fontId="27" fillId="0" borderId="0" xfId="34" applyFont="1" applyFill="1" applyBorder="1"/>
    <xf numFmtId="245" fontId="104" fillId="15" borderId="0" xfId="0" applyFont="1" applyFill="1"/>
    <xf numFmtId="245" fontId="104" fillId="18" borderId="0" xfId="0" applyFont="1" applyFill="1"/>
    <xf numFmtId="245" fontId="104" fillId="19" borderId="0" xfId="0" applyFont="1" applyFill="1"/>
    <xf numFmtId="9" fontId="104" fillId="0" borderId="11" xfId="34" applyFont="1" applyBorder="1"/>
    <xf numFmtId="9" fontId="104" fillId="0" borderId="23" xfId="34" applyFont="1" applyBorder="1"/>
    <xf numFmtId="245" fontId="104" fillId="19" borderId="0" xfId="0" applyFont="1" applyFill="1" applyAlignment="1">
      <alignment horizontal="right"/>
    </xf>
    <xf numFmtId="245" fontId="104" fillId="19" borderId="27" xfId="0" applyFont="1" applyFill="1" applyBorder="1" applyAlignment="1">
      <alignment horizontal="right"/>
    </xf>
    <xf numFmtId="172" fontId="104" fillId="0" borderId="5" xfId="34" applyNumberFormat="1" applyFont="1" applyBorder="1" applyAlignment="1">
      <alignment horizontal="right"/>
    </xf>
    <xf numFmtId="172" fontId="104" fillId="0" borderId="29" xfId="34" applyNumberFormat="1" applyFont="1" applyBorder="1" applyAlignment="1">
      <alignment horizontal="right"/>
    </xf>
    <xf numFmtId="245" fontId="104" fillId="0" borderId="0" xfId="0" applyFont="1" applyAlignment="1">
      <alignment horizontal="right"/>
    </xf>
    <xf numFmtId="245" fontId="104" fillId="0" borderId="27" xfId="0" applyFont="1" applyBorder="1" applyAlignment="1">
      <alignment horizontal="right"/>
    </xf>
    <xf numFmtId="174" fontId="104" fillId="19" borderId="0" xfId="0" applyNumberFormat="1" applyFont="1" applyFill="1" applyAlignment="1">
      <alignment horizontal="right"/>
    </xf>
    <xf numFmtId="174" fontId="104" fillId="19" borderId="27" xfId="0" applyNumberFormat="1" applyFont="1" applyFill="1" applyBorder="1" applyAlignment="1">
      <alignment horizontal="right"/>
    </xf>
    <xf numFmtId="271" fontId="104" fillId="19" borderId="0" xfId="0" applyNumberFormat="1" applyFont="1" applyFill="1" applyAlignment="1">
      <alignment horizontal="right"/>
    </xf>
    <xf numFmtId="9" fontId="104" fillId="0" borderId="0" xfId="34" applyFont="1" applyBorder="1" applyAlignment="1">
      <alignment horizontal="right"/>
    </xf>
    <xf numFmtId="9" fontId="104" fillId="0" borderId="27" xfId="34" applyFont="1" applyBorder="1" applyAlignment="1">
      <alignment horizontal="right"/>
    </xf>
    <xf numFmtId="251" fontId="103" fillId="17" borderId="30" xfId="0" applyNumberFormat="1" applyFont="1" applyFill="1" applyBorder="1" applyAlignment="1">
      <alignment horizontal="right"/>
    </xf>
    <xf numFmtId="271" fontId="104" fillId="19" borderId="27" xfId="0" applyNumberFormat="1" applyFont="1" applyFill="1" applyBorder="1" applyAlignment="1">
      <alignment horizontal="right"/>
    </xf>
    <xf numFmtId="242" fontId="104" fillId="15" borderId="0" xfId="0" applyNumberFormat="1" applyFont="1" applyFill="1" applyAlignment="1">
      <alignment horizontal="right"/>
    </xf>
    <xf numFmtId="242" fontId="104" fillId="15" borderId="27" xfId="0" applyNumberFormat="1" applyFont="1" applyFill="1" applyBorder="1" applyAlignment="1">
      <alignment horizontal="right"/>
    </xf>
    <xf numFmtId="242" fontId="104" fillId="18" borderId="0" xfId="0" applyNumberFormat="1" applyFont="1" applyFill="1" applyAlignment="1">
      <alignment horizontal="right"/>
    </xf>
    <xf numFmtId="242" fontId="104" fillId="18" borderId="27" xfId="0" applyNumberFormat="1" applyFont="1" applyFill="1" applyBorder="1" applyAlignment="1">
      <alignment horizontal="right"/>
    </xf>
    <xf numFmtId="242" fontId="104" fillId="19" borderId="0" xfId="0" applyNumberFormat="1" applyFont="1" applyFill="1" applyAlignment="1">
      <alignment horizontal="right"/>
    </xf>
    <xf numFmtId="242" fontId="104" fillId="19" borderId="27" xfId="0" applyNumberFormat="1" applyFont="1" applyFill="1" applyBorder="1" applyAlignment="1">
      <alignment horizontal="right"/>
    </xf>
    <xf numFmtId="1" fontId="104" fillId="19" borderId="0" xfId="0" applyNumberFormat="1" applyFont="1" applyFill="1" applyAlignment="1">
      <alignment horizontal="right"/>
    </xf>
    <xf numFmtId="1" fontId="104" fillId="19" borderId="27" xfId="0" applyNumberFormat="1" applyFont="1" applyFill="1" applyBorder="1" applyAlignment="1">
      <alignment horizontal="right"/>
    </xf>
    <xf numFmtId="251" fontId="103" fillId="17" borderId="25" xfId="0" applyNumberFormat="1" applyFont="1" applyFill="1" applyBorder="1" applyAlignment="1">
      <alignment horizontal="right"/>
    </xf>
    <xf numFmtId="276" fontId="104" fillId="19" borderId="0" xfId="0" applyNumberFormat="1" applyFont="1" applyFill="1" applyAlignment="1">
      <alignment horizontal="right"/>
    </xf>
    <xf numFmtId="9" fontId="28" fillId="0" borderId="0" xfId="34" applyFont="1" applyFill="1" applyBorder="1" applyAlignment="1">
      <alignment horizontal="right"/>
    </xf>
    <xf numFmtId="9" fontId="31" fillId="0" borderId="0" xfId="34" applyFont="1" applyFill="1" applyAlignment="1">
      <alignment horizontal="right"/>
    </xf>
    <xf numFmtId="245" fontId="37" fillId="10" borderId="0" xfId="0" applyFont="1" applyFill="1" applyAlignment="1">
      <alignment horizontal="center"/>
    </xf>
    <xf numFmtId="172" fontId="0" fillId="0" borderId="0" xfId="34" applyNumberFormat="1" applyFont="1" applyFill="1"/>
    <xf numFmtId="268" fontId="27" fillId="0" borderId="5" xfId="0" applyNumberFormat="1" applyFont="1" applyBorder="1"/>
    <xf numFmtId="245" fontId="17" fillId="0" borderId="0" xfId="0" applyFont="1" applyAlignment="1">
      <alignment horizontal="left"/>
    </xf>
    <xf numFmtId="2" fontId="27" fillId="0" borderId="0" xfId="34" applyNumberFormat="1" applyFont="1" applyFill="1" applyBorder="1" applyAlignment="1">
      <alignment horizontal="right"/>
    </xf>
    <xf numFmtId="248" fontId="37" fillId="10" borderId="0" xfId="0" applyNumberFormat="1" applyFont="1" applyFill="1" applyAlignment="1">
      <alignment horizontal="right"/>
    </xf>
    <xf numFmtId="9" fontId="92" fillId="13" borderId="32" xfId="34" applyFont="1" applyFill="1" applyBorder="1" applyProtection="1">
      <protection locked="0"/>
    </xf>
    <xf numFmtId="245" fontId="91" fillId="13" borderId="0" xfId="0" applyFont="1" applyFill="1"/>
    <xf numFmtId="172" fontId="0" fillId="13" borderId="0" xfId="34" applyNumberFormat="1" applyFont="1" applyFill="1" applyAlignment="1"/>
    <xf numFmtId="268" fontId="27" fillId="0" borderId="0" xfId="0" applyNumberFormat="1" applyFont="1" applyAlignment="1">
      <alignment horizontal="center"/>
    </xf>
    <xf numFmtId="167" fontId="93" fillId="51" borderId="0" xfId="0" applyNumberFormat="1" applyFont="1" applyFill="1"/>
    <xf numFmtId="266" fontId="27" fillId="0" borderId="0" xfId="0" applyNumberFormat="1" applyFont="1" applyAlignment="1">
      <alignment horizontal="right"/>
    </xf>
    <xf numFmtId="245" fontId="92" fillId="50" borderId="0" xfId="0" applyFont="1" applyFill="1"/>
    <xf numFmtId="172" fontId="31" fillId="0" borderId="0" xfId="34" applyNumberFormat="1" applyFont="1" applyAlignment="1">
      <alignment horizontal="right"/>
    </xf>
    <xf numFmtId="277" fontId="27" fillId="0" borderId="0" xfId="28" applyNumberFormat="1" applyFont="1" applyFill="1" applyBorder="1" applyAlignment="1">
      <alignment horizontal="center"/>
    </xf>
    <xf numFmtId="245" fontId="37" fillId="10" borderId="0" xfId="0" applyFont="1" applyFill="1" applyAlignment="1">
      <alignment horizontal="center"/>
    </xf>
    <xf numFmtId="245" fontId="62" fillId="10" borderId="0" xfId="0" applyFont="1" applyFill="1" applyAlignment="1">
      <alignment horizontal="center"/>
    </xf>
    <xf numFmtId="268" fontId="27" fillId="0" borderId="5" xfId="0" applyNumberFormat="1" applyFont="1" applyBorder="1" applyAlignment="1">
      <alignment horizontal="center"/>
    </xf>
    <xf numFmtId="49" fontId="114" fillId="0" borderId="0" xfId="0" applyNumberFormat="1" applyFont="1"/>
    <xf numFmtId="49" fontId="114" fillId="0" borderId="0" xfId="0" applyNumberFormat="1" applyFont="1" applyAlignment="1"/>
    <xf numFmtId="49" fontId="115" fillId="0" borderId="0" xfId="0" applyNumberFormat="1" applyFont="1" applyAlignment="1"/>
    <xf numFmtId="49" fontId="99" fillId="0" borderId="0" xfId="0" applyNumberFormat="1" applyFont="1" applyAlignment="1">
      <alignment horizontal="left" vertical="center"/>
    </xf>
    <xf numFmtId="49" fontId="99" fillId="0" borderId="0" xfId="0" applyNumberFormat="1" applyFont="1" applyAlignment="1"/>
    <xf numFmtId="49" fontId="116" fillId="0" borderId="0" xfId="0" applyNumberFormat="1" applyFont="1" applyAlignment="1"/>
    <xf numFmtId="49" fontId="99" fillId="0" borderId="19" xfId="0" applyNumberFormat="1" applyFont="1" applyBorder="1" applyAlignment="1"/>
    <xf numFmtId="49" fontId="99" fillId="0" borderId="19" xfId="0" applyNumberFormat="1" applyFont="1" applyBorder="1" applyAlignment="1"/>
    <xf numFmtId="2" fontId="114" fillId="0" borderId="0" xfId="0" applyNumberFormat="1" applyFont="1"/>
    <xf numFmtId="49" fontId="117" fillId="52" borderId="0" xfId="0" applyNumberFormat="1" applyFont="1" applyFill="1" applyAlignment="1">
      <alignment wrapText="1"/>
    </xf>
    <xf numFmtId="245" fontId="0" fillId="52" borderId="0" xfId="0" applyFill="1"/>
    <xf numFmtId="49" fontId="118" fillId="52" borderId="0" xfId="0" applyNumberFormat="1" applyFont="1" applyFill="1" applyAlignment="1">
      <alignment wrapText="1"/>
    </xf>
  </cellXfs>
  <cellStyles count="83">
    <cellStyle name=" 1" xfId="1" xr:uid="{00000000-0005-0000-0000-000000000000}"/>
    <cellStyle name="%" xfId="2" xr:uid="{00000000-0005-0000-0000-000001000000}"/>
    <cellStyle name="—_GS_Cash " xfId="3" xr:uid="{00000000-0005-0000-0000-000002000000}"/>
    <cellStyle name="_MWA RR_1-pager " xfId="4" xr:uid="{00000000-0005-0000-0000-000003000000}"/>
    <cellStyle name="_RRS1_1_1-pager " xfId="5" xr:uid="{00000000-0005-0000-0000-000004000000}"/>
    <cellStyle name="_RRS10_1_1-pager " xfId="6" xr:uid="{00000000-0005-0000-0000-000005000000}"/>
    <cellStyle name="_SUMMARY " xfId="7" xr:uid="{00000000-0005-0000-0000-000006000000}"/>
    <cellStyle name="_SUMMARY _1-pager " xfId="8" xr:uid="{00000000-0005-0000-0000-000007000000}"/>
    <cellStyle name="_Wireline Tel Forecast " xfId="9" xr:uid="{00000000-0005-0000-0000-000008000000}"/>
    <cellStyle name="0_Capex &amp; Depreciation " xfId="10" xr:uid="{00000000-0005-0000-0000-000009000000}"/>
    <cellStyle name="0_Valuing BP " xfId="11" xr:uid="{00000000-0005-0000-0000-00000A000000}"/>
    <cellStyle name="0_Wireline Tel Forecast " xfId="12" xr:uid="{00000000-0005-0000-0000-00000B000000}"/>
    <cellStyle name="20% - Accent1" xfId="59" builtinId="30" hidden="1"/>
    <cellStyle name="20% - Accent2" xfId="63" builtinId="34" hidden="1"/>
    <cellStyle name="20% - Accent3" xfId="67" builtinId="38" hidden="1"/>
    <cellStyle name="20% - Accent4" xfId="71" builtinId="42" hidden="1"/>
    <cellStyle name="20% - Accent5" xfId="75" builtinId="46" hidden="1"/>
    <cellStyle name="20% - Accent6" xfId="79" builtinId="50" hidden="1"/>
    <cellStyle name="40% - Accent1" xfId="60" builtinId="31" hidden="1"/>
    <cellStyle name="40% - Accent2" xfId="64" builtinId="35" hidden="1"/>
    <cellStyle name="40% - Accent3" xfId="68" builtinId="39" hidden="1"/>
    <cellStyle name="40% - Accent4" xfId="72" builtinId="43" hidden="1"/>
    <cellStyle name="40% - Accent5" xfId="76" builtinId="47" hidden="1"/>
    <cellStyle name="40% - Accent6" xfId="80" builtinId="51" hidden="1"/>
    <cellStyle name="60% - Accent1" xfId="61" builtinId="32" hidden="1"/>
    <cellStyle name="60% - Accent2" xfId="65" builtinId="36" hidden="1"/>
    <cellStyle name="60% - Accent3" xfId="69" builtinId="40" hidden="1"/>
    <cellStyle name="60% - Accent4" xfId="73" builtinId="44" hidden="1"/>
    <cellStyle name="60% - Accent5" xfId="77" builtinId="48" hidden="1"/>
    <cellStyle name="60% - Accent6" xfId="81" builtinId="52" hidden="1"/>
    <cellStyle name="Accent1" xfId="58" builtinId="29" hidden="1"/>
    <cellStyle name="Accent2" xfId="62" builtinId="33" hidden="1"/>
    <cellStyle name="Accent3" xfId="66" builtinId="37" hidden="1"/>
    <cellStyle name="Accent4" xfId="70" builtinId="41" hidden="1"/>
    <cellStyle name="Accent5" xfId="74" builtinId="45" hidden="1"/>
    <cellStyle name="Accent6" xfId="78" builtinId="49" hidden="1"/>
    <cellStyle name="Assumptions" xfId="13" xr:uid="{00000000-0005-0000-0000-000024000000}"/>
    <cellStyle name="Bad" xfId="48" builtinId="27" hidden="1"/>
    <cellStyle name="c_HardInc " xfId="14" xr:uid="{00000000-0005-0000-0000-000026000000}"/>
    <cellStyle name="Calculation" xfId="51" builtinId="22" hidden="1"/>
    <cellStyle name="Check Cell" xfId="53" builtinId="23" hidden="1"/>
    <cellStyle name="Comma" xfId="15" builtinId="3"/>
    <cellStyle name="Comma 30" xfId="16" xr:uid="{00000000-0005-0000-0000-00002A000000}"/>
    <cellStyle name="Explanatory Text" xfId="56" builtinId="53" hidden="1"/>
    <cellStyle name="Good" xfId="47" builtinId="26" hidden="1"/>
    <cellStyle name="Hard Code" xfId="17" xr:uid="{00000000-0005-0000-0000-00002D000000}"/>
    <cellStyle name="Heading" xfId="18" xr:uid="{00000000-0005-0000-0000-00002E000000}"/>
    <cellStyle name="Heading 1" xfId="19" builtinId="16" customBuiltin="1"/>
    <cellStyle name="Heading 2" xfId="20" builtinId="17" customBuiltin="1"/>
    <cellStyle name="Heading 3" xfId="45" builtinId="18" hidden="1"/>
    <cellStyle name="Heading 4" xfId="46" builtinId="19" hidden="1"/>
    <cellStyle name="Hyperlink 2" xfId="21" xr:uid="{00000000-0005-0000-0000-000033000000}"/>
    <cellStyle name="Hyperlink 3" xfId="22" xr:uid="{00000000-0005-0000-0000-000034000000}"/>
    <cellStyle name="Input" xfId="23" builtinId="20" customBuiltin="1"/>
    <cellStyle name="Internal Links" xfId="24" xr:uid="{00000000-0005-0000-0000-000036000000}"/>
    <cellStyle name="Linked Cell" xfId="52" builtinId="24" hidden="1"/>
    <cellStyle name="Millares_2AV_M_M " xfId="25" xr:uid="{00000000-0005-0000-0000-000038000000}"/>
    <cellStyle name="Moneda [0]_2AV_M_M " xfId="26" xr:uid="{00000000-0005-0000-0000-000039000000}"/>
    <cellStyle name="Multiples" xfId="27" xr:uid="{00000000-0005-0000-0000-00003A000000}"/>
    <cellStyle name="Multiples Format" xfId="28" xr:uid="{00000000-0005-0000-0000-00003B000000}"/>
    <cellStyle name="Neutral" xfId="49" builtinId="28" hidden="1"/>
    <cellStyle name="Normal" xfId="0" builtinId="0" customBuiltin="1"/>
    <cellStyle name="Normal 2" xfId="29" xr:uid="{00000000-0005-0000-0000-00003E000000}"/>
    <cellStyle name="Normal 3" xfId="30" xr:uid="{00000000-0005-0000-0000-00003F000000}"/>
    <cellStyle name="Normal 39" xfId="31" xr:uid="{00000000-0005-0000-0000-000040000000}"/>
    <cellStyle name="Normal 4" xfId="82" xr:uid="{50E36532-00A1-4E5B-99FD-7B252622C33A}"/>
    <cellStyle name="Note" xfId="55" builtinId="10" hidden="1"/>
    <cellStyle name="Other Files" xfId="32" xr:uid="{00000000-0005-0000-0000-000043000000}"/>
    <cellStyle name="Output" xfId="50" builtinId="21" hidden="1"/>
    <cellStyle name="p " xfId="33" xr:uid="{00000000-0005-0000-0000-000045000000}"/>
    <cellStyle name="Percent" xfId="34" builtinId="5"/>
    <cellStyle name="Percent 2" xfId="35" xr:uid="{00000000-0005-0000-0000-000047000000}"/>
    <cellStyle name="Percentage" xfId="36" xr:uid="{00000000-0005-0000-0000-000048000000}"/>
    <cellStyle name="Percentage Format" xfId="37" xr:uid="{00000000-0005-0000-0000-000049000000}"/>
    <cellStyle name="s_DCFLBO Code_Wireline Tel Forecast " xfId="38" xr:uid="{00000000-0005-0000-0000-00004A000000}"/>
    <cellStyle name="s_HardInc " xfId="39" xr:uid="{00000000-0005-0000-0000-00004B000000}"/>
    <cellStyle name="s_Valuation " xfId="40" xr:uid="{00000000-0005-0000-0000-00004C000000}"/>
    <cellStyle name="ssp " xfId="41" xr:uid="{00000000-0005-0000-0000-00004D000000}"/>
    <cellStyle name="Title" xfId="44" builtinId="15" hidden="1"/>
    <cellStyle name="Total" xfId="57" builtinId="25" hidden="1"/>
    <cellStyle name="Warning Text" xfId="54" builtinId="11" hidden="1"/>
    <cellStyle name="뷭?_BOOKSHIP_상세일정 (2) (2) " xfId="42" xr:uid="{00000000-0005-0000-0000-000051000000}"/>
    <cellStyle name="표준_0N-HANDLING " xfId="43" xr:uid="{00000000-0005-0000-0000-000052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FFFFCC"/>
      <color rgb="FF0000FF"/>
      <color rgb="FF000000"/>
      <color rgb="FFFFFF99"/>
      <color rgb="FFFAE4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137CB1"/>
            </a:solidFill>
            <a:ln w="25400">
              <a:noFill/>
            </a:ln>
          </c:spPr>
          <c:invertIfNegative val="0"/>
          <c:dPt>
            <c:idx val="0"/>
            <c:invertIfNegative val="0"/>
            <c:bubble3D val="0"/>
            <c:spPr>
              <a:solidFill>
                <a:schemeClr val="accent1"/>
              </a:solidFill>
              <a:ln w="25400">
                <a:noFill/>
              </a:ln>
            </c:spPr>
            <c:extLst>
              <c:ext xmlns:c16="http://schemas.microsoft.com/office/drawing/2014/chart" uri="{C3380CC4-5D6E-409C-BE32-E72D297353CC}">
                <c16:uniqueId val="{00000000-76CE-4C2F-ADFB-066A97424D87}"/>
              </c:ext>
            </c:extLst>
          </c:dPt>
          <c:dPt>
            <c:idx val="3"/>
            <c:invertIfNegative val="0"/>
            <c:bubble3D val="0"/>
            <c:spPr>
              <a:solidFill>
                <a:schemeClr val="accent2"/>
              </a:solidFill>
              <a:ln w="25400">
                <a:noFill/>
              </a:ln>
            </c:spPr>
            <c:extLst>
              <c:ext xmlns:c16="http://schemas.microsoft.com/office/drawing/2014/chart" uri="{C3380CC4-5D6E-409C-BE32-E72D297353CC}">
                <c16:uniqueId val="{00000001-76CE-4C2F-ADFB-066A97424D87}"/>
              </c:ext>
            </c:extLst>
          </c:dPt>
          <c:dLbls>
            <c:dLbl>
              <c:idx val="0"/>
              <c:spPr>
                <a:noFill/>
                <a:ln w="25400">
                  <a:noFill/>
                </a:ln>
              </c:spPr>
              <c:txPr>
                <a:bodyPr/>
                <a:lstStyle/>
                <a:p>
                  <a:pPr>
                    <a:defRPr sz="1000" b="1" i="0" u="none" strike="noStrike" baseline="0">
                      <a:solidFill>
                        <a:srgbClr val="FFFFFF"/>
                      </a:solidFill>
                      <a:latin typeface="Calibri"/>
                      <a:ea typeface="Calibri"/>
                      <a:cs typeface="Calibri"/>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00-76CE-4C2F-ADFB-066A97424D87}"/>
                </c:ext>
              </c:extLst>
            </c:dLbl>
            <c:dLbl>
              <c:idx val="3"/>
              <c:spPr>
                <a:noFill/>
                <a:ln w="25400">
                  <a:noFill/>
                </a:ln>
              </c:spPr>
              <c:txPr>
                <a:bodyPr/>
                <a:lstStyle/>
                <a:p>
                  <a:pPr>
                    <a:defRPr sz="1000" b="1" i="0" u="none" strike="noStrike" baseline="0">
                      <a:solidFill>
                        <a:srgbClr val="000000"/>
                      </a:solidFill>
                      <a:latin typeface="Calibri"/>
                      <a:ea typeface="Calibri"/>
                      <a:cs typeface="Calibri"/>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01-76CE-4C2F-ADFB-066A97424D87}"/>
                </c:ext>
              </c:extLst>
            </c:dLbl>
            <c:spPr>
              <a:noFill/>
              <a:ln w="25400">
                <a:noFill/>
              </a:ln>
            </c:spPr>
            <c:txPr>
              <a:bodyPr wrap="square" lIns="38100" tIns="19050" rIns="38100" bIns="19050" anchor="ctr">
                <a:spAutoFit/>
              </a:bodyPr>
              <a:lstStyle/>
              <a:p>
                <a:pPr>
                  <a:defRPr sz="1000" b="1" i="0" u="none" strike="noStrike" baseline="0">
                    <a:solidFill>
                      <a:srgbClr val="FFFFFF"/>
                    </a:solidFill>
                    <a:latin typeface="Calibri"/>
                    <a:ea typeface="Calibri"/>
                    <a:cs typeface="Calibri"/>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MENU!$C$29:$C$32</c:f>
              <c:strCache>
                <c:ptCount val="4"/>
                <c:pt idx="0">
                  <c:v>DCF </c:v>
                </c:pt>
                <c:pt idx="1">
                  <c:v>SOTP </c:v>
                </c:pt>
                <c:pt idx="2">
                  <c:v>PE </c:v>
                </c:pt>
                <c:pt idx="3">
                  <c:v>Midpoint </c:v>
                </c:pt>
              </c:strCache>
            </c:strRef>
          </c:cat>
          <c:val>
            <c:numRef>
              <c:f>MENU!$H$29:$H$32</c:f>
              <c:numCache>
                <c:formatCode>"$"#,##0.00_);[Red]\("$"#,##0.00\)</c:formatCode>
                <c:ptCount val="4"/>
                <c:pt idx="0">
                  <c:v>5.303755719409013</c:v>
                </c:pt>
                <c:pt idx="1">
                  <c:v>5.2352894294869641</c:v>
                </c:pt>
                <c:pt idx="2">
                  <c:v>5.4999828490548257</c:v>
                </c:pt>
                <c:pt idx="3">
                  <c:v>4.95</c:v>
                </c:pt>
              </c:numCache>
            </c:numRef>
          </c:val>
          <c:extLst>
            <c:ext xmlns:c16="http://schemas.microsoft.com/office/drawing/2014/chart" uri="{C3380CC4-5D6E-409C-BE32-E72D297353CC}">
              <c16:uniqueId val="{00000002-76CE-4C2F-ADFB-066A97424D87}"/>
            </c:ext>
          </c:extLst>
        </c:ser>
        <c:dLbls>
          <c:showLegendKey val="0"/>
          <c:showVal val="0"/>
          <c:showCatName val="0"/>
          <c:showSerName val="0"/>
          <c:showPercent val="0"/>
          <c:showBubbleSize val="0"/>
        </c:dLbls>
        <c:gapWidth val="75"/>
        <c:overlap val="-27"/>
        <c:axId val="457043264"/>
        <c:axId val="1"/>
      </c:barChart>
      <c:catAx>
        <c:axId val="45704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noMultiLvlLbl val="0"/>
      </c:catAx>
      <c:valAx>
        <c:axId val="1"/>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ln w="9525">
            <a:noFill/>
          </a:ln>
        </c:spPr>
        <c:txPr>
          <a:bodyPr rot="0" vert="horz"/>
          <a:lstStyle/>
          <a:p>
            <a:pPr>
              <a:defRPr sz="1000" b="0" i="0" u="none" strike="noStrike" baseline="0">
                <a:solidFill>
                  <a:srgbClr val="000000"/>
                </a:solidFill>
                <a:latin typeface="Calibri"/>
                <a:ea typeface="Calibri"/>
                <a:cs typeface="Calibri"/>
              </a:defRPr>
            </a:pPr>
            <a:endParaRPr lang="en-US"/>
          </a:p>
        </c:txPr>
        <c:crossAx val="457043264"/>
        <c:crosses val="autoZero"/>
        <c:crossBetween val="between"/>
      </c:valAx>
      <c:spPr>
        <a:noFill/>
        <a:ln w="25400">
          <a:noFill/>
        </a:ln>
      </c:spPr>
    </c:plotArea>
    <c:plotVisOnly val="1"/>
    <c:dispBlanksAs val="gap"/>
    <c:showDLblsOverMax val="0"/>
  </c:chart>
  <c:spPr>
    <a:solidFill>
      <a:schemeClr val="bg1"/>
    </a:solidFill>
    <a:ln w="9525" cap="flat" cmpd="sng" algn="ctr">
      <a:no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8.2366221188207259E-2"/>
          <c:y val="0.10091493721339763"/>
          <c:w val="0.91763377881179276"/>
          <c:h val="0.60098379829314541"/>
        </c:manualLayout>
      </c:layout>
      <c:barChart>
        <c:barDir val="col"/>
        <c:grouping val="percentStacked"/>
        <c:varyColors val="0"/>
        <c:ser>
          <c:idx val="0"/>
          <c:order val="0"/>
          <c:tx>
            <c:strRef>
              <c:f>'P&amp;L'!$BW$40</c:f>
              <c:strCache>
                <c:ptCount val="1"/>
                <c:pt idx="0">
                  <c:v>Mobile </c:v>
                </c:pt>
              </c:strCache>
            </c:strRef>
          </c:tx>
          <c:spPr>
            <a:solidFill>
              <a:srgbClr val="005AA4"/>
            </a:solidFill>
          </c:spPr>
          <c:invertIfNegative val="0"/>
          <c:dLbls>
            <c:numFmt formatCode="&quot;A$&quot;#&quot;m&quot;" sourceLinked="0"/>
            <c:spPr>
              <a:noFill/>
              <a:ln>
                <a:noFill/>
              </a:ln>
              <a:effectLst/>
            </c:spPr>
            <c:txPr>
              <a:bodyPr wrap="square" lIns="38100" tIns="19050" rIns="38100" bIns="19050" anchor="ctr">
                <a:spAutoFit/>
              </a:bodyPr>
              <a:lstStyle/>
              <a:p>
                <a:pPr>
                  <a:defRPr b="1">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'P&amp;L'!$BX$39:$CA$39</c:f>
              <c:strCache>
                <c:ptCount val="4"/>
                <c:pt idx="0">
                  <c:v>FY24 </c:v>
                </c:pt>
                <c:pt idx="1">
                  <c:v>FY25E </c:v>
                </c:pt>
                <c:pt idx="2">
                  <c:v>FY26E </c:v>
                </c:pt>
                <c:pt idx="3">
                  <c:v>FY27E </c:v>
                </c:pt>
              </c:strCache>
            </c:strRef>
          </c:cat>
          <c:val>
            <c:numRef>
              <c:f>'P&amp;L'!$BX$40:$CA$40</c:f>
              <c:numCache>
                <c:formatCode>#,##0.0_);\(#,##0.0\);0.0_);@_)</c:formatCode>
                <c:ptCount val="4"/>
                <c:pt idx="0">
                  <c:v>5026</c:v>
                </c:pt>
                <c:pt idx="1">
                  <c:v>5261</c:v>
                </c:pt>
                <c:pt idx="2">
                  <c:v>5506.7788696534453</c:v>
                </c:pt>
                <c:pt idx="3">
                  <c:v>5757.3635908389933</c:v>
                </c:pt>
              </c:numCache>
            </c:numRef>
          </c:val>
          <c:extLst>
            <c:ext xmlns:c16="http://schemas.microsoft.com/office/drawing/2014/chart" uri="{C3380CC4-5D6E-409C-BE32-E72D297353CC}">
              <c16:uniqueId val="{00000000-7F06-41B0-B86D-F07890E34344}"/>
            </c:ext>
          </c:extLst>
        </c:ser>
        <c:ser>
          <c:idx val="1"/>
          <c:order val="1"/>
          <c:tx>
            <c:strRef>
              <c:f>'P&amp;L'!$BW$41</c:f>
              <c:strCache>
                <c:ptCount val="1"/>
                <c:pt idx="0">
                  <c:v>Fixed (C&amp;SB) </c:v>
                </c:pt>
              </c:strCache>
            </c:strRef>
          </c:tx>
          <c:spPr>
            <a:solidFill>
              <a:srgbClr val="EADFBC"/>
            </a:solidFill>
          </c:spPr>
          <c:invertIfNegative val="0"/>
          <c:cat>
            <c:strRef>
              <c:f>'P&amp;L'!$BX$39:$CA$39</c:f>
              <c:strCache>
                <c:ptCount val="4"/>
                <c:pt idx="0">
                  <c:v>FY24 </c:v>
                </c:pt>
                <c:pt idx="1">
                  <c:v>FY25E </c:v>
                </c:pt>
                <c:pt idx="2">
                  <c:v>FY26E </c:v>
                </c:pt>
                <c:pt idx="3">
                  <c:v>FY27E </c:v>
                </c:pt>
              </c:strCache>
            </c:strRef>
          </c:cat>
          <c:val>
            <c:numRef>
              <c:f>'P&amp;L'!$BX$41:$CA$41</c:f>
              <c:numCache>
                <c:formatCode>#,##0.0_);\(#,##0.0\);0.0_);@_)</c:formatCode>
                <c:ptCount val="4"/>
                <c:pt idx="0">
                  <c:v>254</c:v>
                </c:pt>
                <c:pt idx="1">
                  <c:v>363</c:v>
                </c:pt>
                <c:pt idx="2">
                  <c:v>371.98082615146257</c:v>
                </c:pt>
                <c:pt idx="3">
                  <c:v>377.28422474504259</c:v>
                </c:pt>
              </c:numCache>
            </c:numRef>
          </c:val>
          <c:extLst>
            <c:ext xmlns:c16="http://schemas.microsoft.com/office/drawing/2014/chart" uri="{C3380CC4-5D6E-409C-BE32-E72D297353CC}">
              <c16:uniqueId val="{00000001-7F06-41B0-B86D-F07890E34344}"/>
            </c:ext>
          </c:extLst>
        </c:ser>
        <c:ser>
          <c:idx val="2"/>
          <c:order val="2"/>
          <c:tx>
            <c:strRef>
              <c:f>'P&amp;L'!$BW$42</c:f>
              <c:strCache>
                <c:ptCount val="1"/>
                <c:pt idx="0">
                  <c:v>Fixed (Enterprise)  </c:v>
                </c:pt>
              </c:strCache>
            </c:strRef>
          </c:tx>
          <c:spPr>
            <a:solidFill>
              <a:srgbClr val="226B5A"/>
            </a:solidFill>
          </c:spPr>
          <c:invertIfNegative val="0"/>
          <c:cat>
            <c:strRef>
              <c:f>'P&amp;L'!$BX$39:$CA$39</c:f>
              <c:strCache>
                <c:ptCount val="4"/>
                <c:pt idx="0">
                  <c:v>FY24 </c:v>
                </c:pt>
                <c:pt idx="1">
                  <c:v>FY25E </c:v>
                </c:pt>
                <c:pt idx="2">
                  <c:v>FY26E </c:v>
                </c:pt>
                <c:pt idx="3">
                  <c:v>FY27E </c:v>
                </c:pt>
              </c:strCache>
            </c:strRef>
          </c:cat>
          <c:val>
            <c:numRef>
              <c:f>'P&amp;L'!$BX$42:$CA$42</c:f>
              <c:numCache>
                <c:formatCode>#,##0.0_);\(#,##0.0\);0.0_);@_)</c:formatCode>
                <c:ptCount val="4"/>
                <c:pt idx="0">
                  <c:v>136</c:v>
                </c:pt>
                <c:pt idx="1">
                  <c:v>239</c:v>
                </c:pt>
                <c:pt idx="2">
                  <c:v>167.03189989518896</c:v>
                </c:pt>
                <c:pt idx="3">
                  <c:v>165.69338539567656</c:v>
                </c:pt>
              </c:numCache>
            </c:numRef>
          </c:val>
          <c:extLst>
            <c:ext xmlns:c16="http://schemas.microsoft.com/office/drawing/2014/chart" uri="{C3380CC4-5D6E-409C-BE32-E72D297353CC}">
              <c16:uniqueId val="{00000002-7F06-41B0-B86D-F07890E34344}"/>
            </c:ext>
          </c:extLst>
        </c:ser>
        <c:ser>
          <c:idx val="3"/>
          <c:order val="3"/>
          <c:tx>
            <c:strRef>
              <c:f>'P&amp;L'!$BW$43</c:f>
              <c:strCache>
                <c:ptCount val="1"/>
                <c:pt idx="0">
                  <c:v>Fixed (Wholesale) </c:v>
                </c:pt>
              </c:strCache>
            </c:strRef>
          </c:tx>
          <c:spPr>
            <a:solidFill>
              <a:srgbClr val="8CD5F2"/>
            </a:solidFill>
          </c:spPr>
          <c:invertIfNegative val="0"/>
          <c:cat>
            <c:strRef>
              <c:f>'P&amp;L'!$BX$39:$CA$39</c:f>
              <c:strCache>
                <c:ptCount val="4"/>
                <c:pt idx="0">
                  <c:v>FY24 </c:v>
                </c:pt>
                <c:pt idx="1">
                  <c:v>FY25E </c:v>
                </c:pt>
                <c:pt idx="2">
                  <c:v>FY26E </c:v>
                </c:pt>
                <c:pt idx="3">
                  <c:v>FY27E </c:v>
                </c:pt>
              </c:strCache>
            </c:strRef>
          </c:cat>
          <c:val>
            <c:numRef>
              <c:f>'P&amp;L'!$BX$43:$CA$43</c:f>
              <c:numCache>
                <c:formatCode>#,##0.0_);\(#,##0.0\);0.0_);@_)</c:formatCode>
                <c:ptCount val="4"/>
                <c:pt idx="0">
                  <c:v>94</c:v>
                </c:pt>
                <c:pt idx="1">
                  <c:v>82</c:v>
                </c:pt>
                <c:pt idx="2">
                  <c:v>68.29356231917869</c:v>
                </c:pt>
                <c:pt idx="3">
                  <c:v>67.825910966733844</c:v>
                </c:pt>
              </c:numCache>
            </c:numRef>
          </c:val>
          <c:extLst>
            <c:ext xmlns:c16="http://schemas.microsoft.com/office/drawing/2014/chart" uri="{C3380CC4-5D6E-409C-BE32-E72D297353CC}">
              <c16:uniqueId val="{00000003-7F06-41B0-B86D-F07890E34344}"/>
            </c:ext>
          </c:extLst>
        </c:ser>
        <c:ser>
          <c:idx val="4"/>
          <c:order val="4"/>
          <c:tx>
            <c:strRef>
              <c:f>'P&amp;L'!$BW$44</c:f>
              <c:strCache>
                <c:ptCount val="1"/>
                <c:pt idx="0">
                  <c:v>International </c:v>
                </c:pt>
              </c:strCache>
            </c:strRef>
          </c:tx>
          <c:spPr>
            <a:solidFill>
              <a:srgbClr val="D0B86A"/>
            </a:solidFill>
            <a:ln w="25400">
              <a:noFill/>
            </a:ln>
          </c:spPr>
          <c:invertIfNegative val="0"/>
          <c:cat>
            <c:strRef>
              <c:f>'P&amp;L'!$BX$39:$CA$39</c:f>
              <c:strCache>
                <c:ptCount val="4"/>
                <c:pt idx="0">
                  <c:v>FY24 </c:v>
                </c:pt>
                <c:pt idx="1">
                  <c:v>FY25E </c:v>
                </c:pt>
                <c:pt idx="2">
                  <c:v>FY26E </c:v>
                </c:pt>
                <c:pt idx="3">
                  <c:v>FY27E </c:v>
                </c:pt>
              </c:strCache>
            </c:strRef>
          </c:cat>
          <c:val>
            <c:numRef>
              <c:f>'P&amp;L'!$BX$44:$CA$44</c:f>
              <c:numCache>
                <c:formatCode>#,##0.0_);\(#,##0.0\);0.0_);@_)</c:formatCode>
                <c:ptCount val="4"/>
                <c:pt idx="0">
                  <c:v>774</c:v>
                </c:pt>
                <c:pt idx="1">
                  <c:v>678</c:v>
                </c:pt>
                <c:pt idx="2">
                  <c:v>691.96998040346409</c:v>
                </c:pt>
                <c:pt idx="3">
                  <c:v>706.38192062259589</c:v>
                </c:pt>
              </c:numCache>
            </c:numRef>
          </c:val>
          <c:extLst>
            <c:ext xmlns:c16="http://schemas.microsoft.com/office/drawing/2014/chart" uri="{C3380CC4-5D6E-409C-BE32-E72D297353CC}">
              <c16:uniqueId val="{00000004-7F06-41B0-B86D-F07890E34344}"/>
            </c:ext>
          </c:extLst>
        </c:ser>
        <c:ser>
          <c:idx val="5"/>
          <c:order val="5"/>
          <c:tx>
            <c:strRef>
              <c:f>'P&amp;L'!$BW$45</c:f>
              <c:strCache>
                <c:ptCount val="1"/>
                <c:pt idx="0">
                  <c:v>InfraCo + Mobile Towers + fibre project </c:v>
                </c:pt>
              </c:strCache>
            </c:strRef>
          </c:tx>
          <c:spPr>
            <a:solidFill>
              <a:srgbClr val="93DECC"/>
            </a:solidFill>
            <a:ln w="25400">
              <a:noFill/>
            </a:ln>
          </c:spPr>
          <c:invertIfNegative val="0"/>
          <c:cat>
            <c:strRef>
              <c:f>'P&amp;L'!$BX$39:$CA$39</c:f>
              <c:strCache>
                <c:ptCount val="4"/>
                <c:pt idx="0">
                  <c:v>FY24 </c:v>
                </c:pt>
                <c:pt idx="1">
                  <c:v>FY25E </c:v>
                </c:pt>
                <c:pt idx="2">
                  <c:v>FY26E </c:v>
                </c:pt>
                <c:pt idx="3">
                  <c:v>FY27E </c:v>
                </c:pt>
              </c:strCache>
            </c:strRef>
          </c:cat>
          <c:val>
            <c:numRef>
              <c:f>'P&amp;L'!$BX$45:$CA$45</c:f>
              <c:numCache>
                <c:formatCode>#,##0.0_);\(#,##0.0\);0.0_);@_)</c:formatCode>
                <c:ptCount val="4"/>
                <c:pt idx="0">
                  <c:v>821.35</c:v>
                </c:pt>
                <c:pt idx="1">
                  <c:v>819.30000000000007</c:v>
                </c:pt>
                <c:pt idx="2">
                  <c:v>951.72633210332117</c:v>
                </c:pt>
                <c:pt idx="3">
                  <c:v>943.80178195571966</c:v>
                </c:pt>
              </c:numCache>
            </c:numRef>
          </c:val>
          <c:extLst>
            <c:ext xmlns:c16="http://schemas.microsoft.com/office/drawing/2014/chart" uri="{C3380CC4-5D6E-409C-BE32-E72D297353CC}">
              <c16:uniqueId val="{00000005-7F06-41B0-B86D-F07890E34344}"/>
            </c:ext>
          </c:extLst>
        </c:ser>
        <c:ser>
          <c:idx val="6"/>
          <c:order val="6"/>
          <c:tx>
            <c:strRef>
              <c:f>'P&amp;L'!$BW$46</c:f>
              <c:strCache>
                <c:ptCount val="1"/>
                <c:pt idx="0">
                  <c:v>NBN Recurring Payments </c:v>
                </c:pt>
              </c:strCache>
            </c:strRef>
          </c:tx>
          <c:spPr>
            <a:solidFill>
              <a:srgbClr val="6769E2"/>
            </a:solidFill>
            <a:ln w="25400">
              <a:noFill/>
            </a:ln>
          </c:spPr>
          <c:invertIfNegative val="0"/>
          <c:dLbls>
            <c:numFmt formatCode="&quot;A$&quot;#&quot;m&quot;" sourceLinked="0"/>
            <c:spPr>
              <a:noFill/>
              <a:ln>
                <a:noFill/>
              </a:ln>
              <a:effectLst/>
            </c:spPr>
            <c:txPr>
              <a:bodyPr wrap="square" lIns="38100" tIns="19050" rIns="38100" bIns="19050" anchor="ctr">
                <a:spAutoFit/>
              </a:bodyPr>
              <a:lstStyle/>
              <a:p>
                <a:pPr>
                  <a:defRPr b="1">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'P&amp;L'!$BX$39:$CA$39</c:f>
              <c:strCache>
                <c:ptCount val="4"/>
                <c:pt idx="0">
                  <c:v>FY24 </c:v>
                </c:pt>
                <c:pt idx="1">
                  <c:v>FY25E </c:v>
                </c:pt>
                <c:pt idx="2">
                  <c:v>FY26E </c:v>
                </c:pt>
                <c:pt idx="3">
                  <c:v>FY27E </c:v>
                </c:pt>
              </c:strCache>
            </c:strRef>
          </c:cat>
          <c:val>
            <c:numRef>
              <c:f>'P&amp;L'!$BX$46:$CA$46</c:f>
              <c:numCache>
                <c:formatCode>#,##0.0_);\(#,##0.0\);0.0_);@_)</c:formatCode>
                <c:ptCount val="4"/>
                <c:pt idx="0">
                  <c:v>937.65</c:v>
                </c:pt>
                <c:pt idx="1">
                  <c:v>993.69999999999993</c:v>
                </c:pt>
                <c:pt idx="2">
                  <c:v>1023.5110000000001</c:v>
                </c:pt>
                <c:pt idx="3">
                  <c:v>1054.2163300000002</c:v>
                </c:pt>
              </c:numCache>
            </c:numRef>
          </c:val>
          <c:extLst>
            <c:ext xmlns:c16="http://schemas.microsoft.com/office/drawing/2014/chart" uri="{C3380CC4-5D6E-409C-BE32-E72D297353CC}">
              <c16:uniqueId val="{00000006-7F06-41B0-B86D-F07890E34344}"/>
            </c:ext>
          </c:extLst>
        </c:ser>
        <c:ser>
          <c:idx val="7"/>
          <c:order val="7"/>
          <c:tx>
            <c:strRef>
              <c:f>'P&amp;L'!$BW$47</c:f>
              <c:strCache>
                <c:ptCount val="1"/>
                <c:pt idx="0">
                  <c:v>Amplitel </c:v>
                </c:pt>
              </c:strCache>
            </c:strRef>
          </c:tx>
          <c:spPr>
            <a:solidFill>
              <a:srgbClr val="606165"/>
            </a:solidFill>
            <a:ln w="25400">
              <a:noFill/>
            </a:ln>
          </c:spPr>
          <c:invertIfNegative val="0"/>
          <c:cat>
            <c:strRef>
              <c:f>'P&amp;L'!$BX$39:$CA$39</c:f>
              <c:strCache>
                <c:ptCount val="4"/>
                <c:pt idx="0">
                  <c:v>FY24 </c:v>
                </c:pt>
                <c:pt idx="1">
                  <c:v>FY25E </c:v>
                </c:pt>
                <c:pt idx="2">
                  <c:v>FY26E </c:v>
                </c:pt>
                <c:pt idx="3">
                  <c:v>FY27E </c:v>
                </c:pt>
              </c:strCache>
            </c:strRef>
          </c:cat>
          <c:val>
            <c:numRef>
              <c:f>'P&amp;L'!$BX$47:$CA$47</c:f>
              <c:numCache>
                <c:formatCode>#,##0.0_);\(#,##0.0\);0.0_);@_)</c:formatCode>
                <c:ptCount val="4"/>
                <c:pt idx="0">
                  <c:v>369</c:v>
                </c:pt>
                <c:pt idx="1">
                  <c:v>382</c:v>
                </c:pt>
                <c:pt idx="2">
                  <c:v>382</c:v>
                </c:pt>
                <c:pt idx="3">
                  <c:v>382</c:v>
                </c:pt>
              </c:numCache>
            </c:numRef>
          </c:val>
          <c:extLst>
            <c:ext xmlns:c16="http://schemas.microsoft.com/office/drawing/2014/chart" uri="{C3380CC4-5D6E-409C-BE32-E72D297353CC}">
              <c16:uniqueId val="{00000007-7F06-41B0-B86D-F07890E34344}"/>
            </c:ext>
          </c:extLst>
        </c:ser>
        <c:dLbls>
          <c:showLegendKey val="0"/>
          <c:showVal val="0"/>
          <c:showCatName val="0"/>
          <c:showSerName val="0"/>
          <c:showPercent val="0"/>
          <c:showBubbleSize val="0"/>
        </c:dLbls>
        <c:gapWidth val="150"/>
        <c:overlap val="100"/>
        <c:axId val="96813440"/>
        <c:axId val="96814976"/>
      </c:barChart>
      <c:catAx>
        <c:axId val="96813440"/>
        <c:scaling>
          <c:orientation val="minMax"/>
        </c:scaling>
        <c:delete val="0"/>
        <c:axPos val="b"/>
        <c:numFmt formatCode="General" sourceLinked="0"/>
        <c:majorTickMark val="none"/>
        <c:minorTickMark val="none"/>
        <c:tickLblPos val="nextTo"/>
        <c:spPr>
          <a:ln w="15875" cap="rnd" cmpd="sng" algn="ctr">
            <a:solidFill>
              <a:srgbClr val="808080"/>
            </a:solidFill>
            <a:prstDash val="solid"/>
            <a:round/>
            <a:headEnd type="none" w="med" len="med"/>
            <a:tailEnd type="none" w="med" len="med"/>
          </a:ln>
        </c:spPr>
        <c:crossAx val="96814976"/>
        <c:crosses val="autoZero"/>
        <c:auto val="1"/>
        <c:lblAlgn val="ctr"/>
        <c:lblOffset val="100"/>
        <c:noMultiLvlLbl val="0"/>
      </c:catAx>
      <c:valAx>
        <c:axId val="96814976"/>
        <c:scaling>
          <c:orientation val="minMax"/>
        </c:scaling>
        <c:delete val="0"/>
        <c:axPos val="l"/>
        <c:majorGridlines>
          <c:spPr>
            <a:ln w="6350" cap="rnd" cmpd="sng" algn="ctr">
              <a:solidFill>
                <a:srgbClr val="C0C0C0"/>
              </a:solidFill>
              <a:prstDash val="solid"/>
              <a:round/>
              <a:headEnd type="none" w="med" len="med"/>
              <a:tailEnd type="none" w="med" len="med"/>
            </a:ln>
          </c:spPr>
        </c:majorGridlines>
        <c:numFmt formatCode="0%" sourceLinked="1"/>
        <c:majorTickMark val="out"/>
        <c:minorTickMark val="none"/>
        <c:tickLblPos val="nextTo"/>
        <c:spPr>
          <a:ln>
            <a:noFill/>
          </a:ln>
        </c:spPr>
        <c:crossAx val="96813440"/>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legend>
      <c:legendPos val="b"/>
      <c:layout>
        <c:manualLayout>
          <c:xMode val="edge"/>
          <c:yMode val="edge"/>
          <c:x val="7.9954452929564712E-2"/>
          <c:y val="0.79563861825367699"/>
          <c:w val="0.84009109414087058"/>
          <c:h val="0.17718750947027376"/>
        </c:manualLayout>
      </c:layout>
      <c:overlay val="0"/>
      <c:spPr>
        <a:solidFill>
          <a:srgbClr val="FFFFFF"/>
        </a:solidFill>
      </c:spPr>
    </c:legend>
    <c:plotVisOnly val="1"/>
    <c:dispBlanksAs val="gap"/>
    <c:showDLblsOverMax val="0"/>
    <c:extLst/>
  </c:chart>
  <c:spPr>
    <a:solidFill>
      <a:srgbClr val="FFFFFF"/>
    </a:solidFill>
    <a:ln>
      <a:noFill/>
    </a:ln>
  </c:spPr>
  <c:txPr>
    <a:bodyPr/>
    <a:lstStyle/>
    <a:p>
      <a:pPr>
        <a:defRPr sz="900">
          <a:latin typeface="Roboto Condensed" panose="02000000000000000000" pitchFamily="2" charset="0"/>
          <a:ea typeface="Roboto Condensed" panose="02000000000000000000" pitchFamily="2" charset="0"/>
          <a:cs typeface="Arial" pitchFamily="34" charset="0"/>
        </a:defRPr>
      </a:pPr>
      <a:endParaRPr lang="en-US"/>
    </a:p>
  </c:txPr>
  <c:printSettings>
    <c:headerFooter/>
    <c:pageMargins b="0.75" l="0.7" r="0.7" t="0.75" header="0.3" footer="0.3"/>
    <c:pageSetup orientation="portrait"/>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63500</xdr:colOff>
      <xdr:row>0</xdr:row>
      <xdr:rowOff>0</xdr:rowOff>
    </xdr:from>
    <xdr:to>
      <xdr:col>2</xdr:col>
      <xdr:colOff>406618</xdr:colOff>
      <xdr:row>1</xdr:row>
      <xdr:rowOff>5756</xdr:rowOff>
    </xdr:to>
    <xdr:pic>
      <xdr:nvPicPr>
        <xdr:cNvPr id="3" name="Picture 2">
          <a:extLst>
            <a:ext uri="{FF2B5EF4-FFF2-40B4-BE49-F238E27FC236}">
              <a16:creationId xmlns:a16="http://schemas.microsoft.com/office/drawing/2014/main" id="{0AD164C7-36DB-B5F6-CF5F-D0DEBE14C1E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0"/>
          <a:ext cx="1562318" cy="295316"/>
        </a:xfrm>
        <a:prstGeom prst="rect">
          <a:avLst/>
        </a:prstGeom>
      </xdr:spPr>
    </xdr:pic>
    <xdr:clientData/>
  </xdr:twoCellAnchor>
  <xdr:twoCellAnchor editAs="oneCell">
    <xdr:from>
      <xdr:col>0</xdr:col>
      <xdr:colOff>127000</xdr:colOff>
      <xdr:row>190</xdr:row>
      <xdr:rowOff>0</xdr:rowOff>
    </xdr:from>
    <xdr:to>
      <xdr:col>10</xdr:col>
      <xdr:colOff>527050</xdr:colOff>
      <xdr:row>211</xdr:row>
      <xdr:rowOff>158115</xdr:rowOff>
    </xdr:to>
    <xdr:pic>
      <xdr:nvPicPr>
        <xdr:cNvPr id="5" name="Picture 4">
          <a:extLst>
            <a:ext uri="{FF2B5EF4-FFF2-40B4-BE49-F238E27FC236}">
              <a16:creationId xmlns:a16="http://schemas.microsoft.com/office/drawing/2014/main" id="{F475601B-353A-E328-935B-6FD79D2D54D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7000" y="33596580"/>
          <a:ext cx="6496050" cy="3838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38100</xdr:colOff>
      <xdr:row>1</xdr:row>
      <xdr:rowOff>85725</xdr:rowOff>
    </xdr:from>
    <xdr:to>
      <xdr:col>5</xdr:col>
      <xdr:colOff>381000</xdr:colOff>
      <xdr:row>4</xdr:row>
      <xdr:rowOff>133350</xdr:rowOff>
    </xdr:to>
    <xdr:pic>
      <xdr:nvPicPr>
        <xdr:cNvPr id="8059084" name="Picture 2">
          <a:extLst>
            <a:ext uri="{FF2B5EF4-FFF2-40B4-BE49-F238E27FC236}">
              <a16:creationId xmlns:a16="http://schemas.microsoft.com/office/drawing/2014/main" id="{4DE23AEA-F929-4AEA-85EC-D0FCA3F963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247650"/>
          <a:ext cx="237172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19050</xdr:colOff>
      <xdr:row>7</xdr:row>
      <xdr:rowOff>85725</xdr:rowOff>
    </xdr:from>
    <xdr:to>
      <xdr:col>3</xdr:col>
      <xdr:colOff>180975</xdr:colOff>
      <xdr:row>13</xdr:row>
      <xdr:rowOff>19050</xdr:rowOff>
    </xdr:to>
    <xdr:pic>
      <xdr:nvPicPr>
        <xdr:cNvPr id="8059085" name="Picture 3" descr="Image result for telstra logo png">
          <a:extLst>
            <a:ext uri="{FF2B5EF4-FFF2-40B4-BE49-F238E27FC236}">
              <a16:creationId xmlns:a16="http://schemas.microsoft.com/office/drawing/2014/main" id="{F5657C8F-6F69-440A-83CC-CF68F877637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1000" y="1428750"/>
          <a:ext cx="971550"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34</xdr:row>
      <xdr:rowOff>47625</xdr:rowOff>
    </xdr:from>
    <xdr:to>
      <xdr:col>8</xdr:col>
      <xdr:colOff>9525</xdr:colOff>
      <xdr:row>48</xdr:row>
      <xdr:rowOff>95250</xdr:rowOff>
    </xdr:to>
    <xdr:graphicFrame macro="">
      <xdr:nvGraphicFramePr>
        <xdr:cNvPr id="8059086" name="Chart 1">
          <a:extLst>
            <a:ext uri="{FF2B5EF4-FFF2-40B4-BE49-F238E27FC236}">
              <a16:creationId xmlns:a16="http://schemas.microsoft.com/office/drawing/2014/main" id="{51DA235C-E0BC-48D9-B1C3-73D9586531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22</xdr:col>
      <xdr:colOff>38100</xdr:colOff>
      <xdr:row>29</xdr:row>
      <xdr:rowOff>27</xdr:rowOff>
    </xdr:from>
    <xdr:to>
      <xdr:col>25</xdr:col>
      <xdr:colOff>112368</xdr:colOff>
      <xdr:row>30</xdr:row>
      <xdr:rowOff>28575</xdr:rowOff>
    </xdr:to>
    <xdr:sp macro="" textlink="">
      <xdr:nvSpPr>
        <xdr:cNvPr id="2" name="Oval 1">
          <a:extLst>
            <a:ext uri="{FF2B5EF4-FFF2-40B4-BE49-F238E27FC236}">
              <a16:creationId xmlns:a16="http://schemas.microsoft.com/office/drawing/2014/main" id="{FA7F3C71-FF1B-4BC5-A089-7D0EB459250A}"/>
            </a:ext>
          </a:extLst>
        </xdr:cNvPr>
        <xdr:cNvSpPr/>
      </xdr:nvSpPr>
      <xdr:spPr>
        <a:xfrm>
          <a:off x="3933825" y="4933977"/>
          <a:ext cx="2017368" cy="190473"/>
        </a:xfrm>
        <a:prstGeom prst="ellipse">
          <a:avLst/>
        </a:prstGeom>
        <a:noFill/>
        <a:ln w="1270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AU"/>
        </a:p>
      </xdr:txBody>
    </xdr:sp>
    <xdr:clientData/>
  </xdr:twoCellAnchor>
  <xdr:twoCellAnchor>
    <xdr:from>
      <xdr:col>21</xdr:col>
      <xdr:colOff>628650</xdr:colOff>
      <xdr:row>52</xdr:row>
      <xdr:rowOff>0</xdr:rowOff>
    </xdr:from>
    <xdr:to>
      <xdr:col>25</xdr:col>
      <xdr:colOff>112368</xdr:colOff>
      <xdr:row>53</xdr:row>
      <xdr:rowOff>38100</xdr:rowOff>
    </xdr:to>
    <xdr:sp macro="" textlink="">
      <xdr:nvSpPr>
        <xdr:cNvPr id="6" name="Oval 5">
          <a:extLst>
            <a:ext uri="{FF2B5EF4-FFF2-40B4-BE49-F238E27FC236}">
              <a16:creationId xmlns:a16="http://schemas.microsoft.com/office/drawing/2014/main" id="{C20DB2BA-E4D9-4005-84D1-71014AB0033A}"/>
            </a:ext>
          </a:extLst>
        </xdr:cNvPr>
        <xdr:cNvSpPr/>
      </xdr:nvSpPr>
      <xdr:spPr>
        <a:xfrm>
          <a:off x="3876675" y="8696325"/>
          <a:ext cx="2074518" cy="200025"/>
        </a:xfrm>
        <a:prstGeom prst="ellipse">
          <a:avLst/>
        </a:prstGeom>
        <a:noFill/>
        <a:ln w="1270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AU"/>
        </a:p>
      </xdr:txBody>
    </xdr:sp>
    <xdr:clientData/>
  </xdr:twoCellAnchor>
  <xdr:twoCellAnchor>
    <xdr:from>
      <xdr:col>21</xdr:col>
      <xdr:colOff>638175</xdr:colOff>
      <xdr:row>53</xdr:row>
      <xdr:rowOff>182880</xdr:rowOff>
    </xdr:from>
    <xdr:to>
      <xdr:col>25</xdr:col>
      <xdr:colOff>89508</xdr:colOff>
      <xdr:row>55</xdr:row>
      <xdr:rowOff>19050</xdr:rowOff>
    </xdr:to>
    <xdr:sp macro="" textlink="">
      <xdr:nvSpPr>
        <xdr:cNvPr id="7" name="Oval 6">
          <a:extLst>
            <a:ext uri="{FF2B5EF4-FFF2-40B4-BE49-F238E27FC236}">
              <a16:creationId xmlns:a16="http://schemas.microsoft.com/office/drawing/2014/main" id="{B92A6D1F-C0F5-46E8-85CC-C29896E8B53B}"/>
            </a:ext>
          </a:extLst>
        </xdr:cNvPr>
        <xdr:cNvSpPr/>
      </xdr:nvSpPr>
      <xdr:spPr>
        <a:xfrm>
          <a:off x="3886200" y="9041130"/>
          <a:ext cx="2042133" cy="198120"/>
        </a:xfrm>
        <a:prstGeom prst="ellipse">
          <a:avLst/>
        </a:prstGeom>
        <a:noFill/>
        <a:ln w="1270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AU"/>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0</xdr:colOff>
      <xdr:row>805</xdr:row>
      <xdr:rowOff>0</xdr:rowOff>
    </xdr:from>
    <xdr:to>
      <xdr:col>3</xdr:col>
      <xdr:colOff>0</xdr:colOff>
      <xdr:row>1933</xdr:row>
      <xdr:rowOff>82550</xdr:rowOff>
    </xdr:to>
    <xdr:sp macro="" textlink="">
      <xdr:nvSpPr>
        <xdr:cNvPr id="66493786" name="Text Box 1">
          <a:extLst>
            <a:ext uri="{FF2B5EF4-FFF2-40B4-BE49-F238E27FC236}">
              <a16:creationId xmlns:a16="http://schemas.microsoft.com/office/drawing/2014/main" id="{6B907F58-AC7B-4CE5-BDC7-296901DEFC6D}"/>
            </a:ext>
          </a:extLst>
        </xdr:cNvPr>
        <xdr:cNvSpPr txBox="1">
          <a:spLocks noChangeArrowheads="1"/>
        </xdr:cNvSpPr>
      </xdr:nvSpPr>
      <xdr:spPr bwMode="auto">
        <a:xfrm>
          <a:off x="14573250" y="76095225"/>
          <a:ext cx="0"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10</xdr:col>
      <xdr:colOff>0</xdr:colOff>
      <xdr:row>1</xdr:row>
      <xdr:rowOff>0</xdr:rowOff>
    </xdr:from>
    <xdr:to>
      <xdr:col>25</xdr:col>
      <xdr:colOff>304800</xdr:colOff>
      <xdr:row>2</xdr:row>
      <xdr:rowOff>9525</xdr:rowOff>
    </xdr:to>
    <xdr:sp macro="" textlink="">
      <xdr:nvSpPr>
        <xdr:cNvPr id="66493787" name="AutoShape 2" descr="621213704@02032006-321D">
          <a:extLst>
            <a:ext uri="{FF2B5EF4-FFF2-40B4-BE49-F238E27FC236}">
              <a16:creationId xmlns:a16="http://schemas.microsoft.com/office/drawing/2014/main" id="{0AC2F2AD-2D42-4D0D-ADAA-DEACE47E3394}"/>
            </a:ext>
          </a:extLst>
        </xdr:cNvPr>
        <xdr:cNvSpPr>
          <a:spLocks noChangeAspect="1" noChangeArrowheads="1"/>
        </xdr:cNvSpPr>
      </xdr:nvSpPr>
      <xdr:spPr bwMode="auto">
        <a:xfrm>
          <a:off x="8743950" y="16192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805</xdr:row>
      <xdr:rowOff>0</xdr:rowOff>
    </xdr:from>
    <xdr:to>
      <xdr:col>3</xdr:col>
      <xdr:colOff>0</xdr:colOff>
      <xdr:row>1933</xdr:row>
      <xdr:rowOff>82550</xdr:rowOff>
    </xdr:to>
    <xdr:sp macro="" textlink="">
      <xdr:nvSpPr>
        <xdr:cNvPr id="66493788" name="Text Box 3">
          <a:extLst>
            <a:ext uri="{FF2B5EF4-FFF2-40B4-BE49-F238E27FC236}">
              <a16:creationId xmlns:a16="http://schemas.microsoft.com/office/drawing/2014/main" id="{4C19E52E-CB42-4885-A9A5-63F3DA7EBEE7}"/>
            </a:ext>
          </a:extLst>
        </xdr:cNvPr>
        <xdr:cNvSpPr txBox="1">
          <a:spLocks noChangeArrowheads="1"/>
        </xdr:cNvSpPr>
      </xdr:nvSpPr>
      <xdr:spPr bwMode="auto">
        <a:xfrm>
          <a:off x="14573250" y="76095225"/>
          <a:ext cx="0"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3</xdr:col>
      <xdr:colOff>0</xdr:colOff>
      <xdr:row>805</xdr:row>
      <xdr:rowOff>0</xdr:rowOff>
    </xdr:from>
    <xdr:to>
      <xdr:col>3</xdr:col>
      <xdr:colOff>0</xdr:colOff>
      <xdr:row>1933</xdr:row>
      <xdr:rowOff>82550</xdr:rowOff>
    </xdr:to>
    <xdr:sp macro="" textlink="">
      <xdr:nvSpPr>
        <xdr:cNvPr id="66493789" name="Text Box 4">
          <a:extLst>
            <a:ext uri="{FF2B5EF4-FFF2-40B4-BE49-F238E27FC236}">
              <a16:creationId xmlns:a16="http://schemas.microsoft.com/office/drawing/2014/main" id="{37BE354E-1E19-405D-B776-FE6AC58A63D1}"/>
            </a:ext>
          </a:extLst>
        </xdr:cNvPr>
        <xdr:cNvSpPr txBox="1">
          <a:spLocks noChangeArrowheads="1"/>
        </xdr:cNvSpPr>
      </xdr:nvSpPr>
      <xdr:spPr bwMode="auto">
        <a:xfrm>
          <a:off x="14573250" y="76095225"/>
          <a:ext cx="0"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3</xdr:col>
      <xdr:colOff>0</xdr:colOff>
      <xdr:row>805</xdr:row>
      <xdr:rowOff>0</xdr:rowOff>
    </xdr:from>
    <xdr:to>
      <xdr:col>3</xdr:col>
      <xdr:colOff>0</xdr:colOff>
      <xdr:row>1933</xdr:row>
      <xdr:rowOff>82550</xdr:rowOff>
    </xdr:to>
    <xdr:sp macro="" textlink="">
      <xdr:nvSpPr>
        <xdr:cNvPr id="66493790" name="Text Box 5">
          <a:extLst>
            <a:ext uri="{FF2B5EF4-FFF2-40B4-BE49-F238E27FC236}">
              <a16:creationId xmlns:a16="http://schemas.microsoft.com/office/drawing/2014/main" id="{E38A17EE-70F3-429F-A644-A8D45A1B4EA5}"/>
            </a:ext>
          </a:extLst>
        </xdr:cNvPr>
        <xdr:cNvSpPr txBox="1">
          <a:spLocks noChangeArrowheads="1"/>
        </xdr:cNvSpPr>
      </xdr:nvSpPr>
      <xdr:spPr bwMode="auto">
        <a:xfrm>
          <a:off x="14573250" y="76095225"/>
          <a:ext cx="0"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23</xdr:col>
      <xdr:colOff>152400</xdr:colOff>
      <xdr:row>805</xdr:row>
      <xdr:rowOff>0</xdr:rowOff>
    </xdr:from>
    <xdr:to>
      <xdr:col>25</xdr:col>
      <xdr:colOff>95250</xdr:colOff>
      <xdr:row>1933</xdr:row>
      <xdr:rowOff>82550</xdr:rowOff>
    </xdr:to>
    <xdr:sp macro="" textlink="">
      <xdr:nvSpPr>
        <xdr:cNvPr id="66493791" name="Text Box 6">
          <a:extLst>
            <a:ext uri="{FF2B5EF4-FFF2-40B4-BE49-F238E27FC236}">
              <a16:creationId xmlns:a16="http://schemas.microsoft.com/office/drawing/2014/main" id="{CB340894-CC19-40FB-A1DE-18EB2B82B7C7}"/>
            </a:ext>
          </a:extLst>
        </xdr:cNvPr>
        <xdr:cNvSpPr txBox="1">
          <a:spLocks noChangeArrowheads="1"/>
        </xdr:cNvSpPr>
      </xdr:nvSpPr>
      <xdr:spPr bwMode="auto">
        <a:xfrm>
          <a:off x="17316450" y="76095225"/>
          <a:ext cx="95250"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3</xdr:col>
      <xdr:colOff>0</xdr:colOff>
      <xdr:row>805</xdr:row>
      <xdr:rowOff>0</xdr:rowOff>
    </xdr:from>
    <xdr:to>
      <xdr:col>3</xdr:col>
      <xdr:colOff>0</xdr:colOff>
      <xdr:row>1933</xdr:row>
      <xdr:rowOff>82550</xdr:rowOff>
    </xdr:to>
    <xdr:sp macro="" textlink="">
      <xdr:nvSpPr>
        <xdr:cNvPr id="66493792" name="Text Box 9">
          <a:extLst>
            <a:ext uri="{FF2B5EF4-FFF2-40B4-BE49-F238E27FC236}">
              <a16:creationId xmlns:a16="http://schemas.microsoft.com/office/drawing/2014/main" id="{DD52D346-4F49-40D7-8572-AF0EC307D59F}"/>
            </a:ext>
          </a:extLst>
        </xdr:cNvPr>
        <xdr:cNvSpPr txBox="1">
          <a:spLocks noChangeArrowheads="1"/>
        </xdr:cNvSpPr>
      </xdr:nvSpPr>
      <xdr:spPr bwMode="auto">
        <a:xfrm>
          <a:off x="14573250" y="76095225"/>
          <a:ext cx="0"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3</xdr:col>
      <xdr:colOff>0</xdr:colOff>
      <xdr:row>805</xdr:row>
      <xdr:rowOff>0</xdr:rowOff>
    </xdr:from>
    <xdr:to>
      <xdr:col>3</xdr:col>
      <xdr:colOff>0</xdr:colOff>
      <xdr:row>1933</xdr:row>
      <xdr:rowOff>82550</xdr:rowOff>
    </xdr:to>
    <xdr:sp macro="" textlink="">
      <xdr:nvSpPr>
        <xdr:cNvPr id="66493793" name="Text Box 10">
          <a:extLst>
            <a:ext uri="{FF2B5EF4-FFF2-40B4-BE49-F238E27FC236}">
              <a16:creationId xmlns:a16="http://schemas.microsoft.com/office/drawing/2014/main" id="{A3A2B189-3403-4AA4-A800-3496317CD911}"/>
            </a:ext>
          </a:extLst>
        </xdr:cNvPr>
        <xdr:cNvSpPr txBox="1">
          <a:spLocks noChangeArrowheads="1"/>
        </xdr:cNvSpPr>
      </xdr:nvSpPr>
      <xdr:spPr bwMode="auto">
        <a:xfrm>
          <a:off x="14573250" y="76095225"/>
          <a:ext cx="0"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3</xdr:col>
      <xdr:colOff>0</xdr:colOff>
      <xdr:row>805</xdr:row>
      <xdr:rowOff>0</xdr:rowOff>
    </xdr:from>
    <xdr:to>
      <xdr:col>3</xdr:col>
      <xdr:colOff>0</xdr:colOff>
      <xdr:row>1933</xdr:row>
      <xdr:rowOff>82550</xdr:rowOff>
    </xdr:to>
    <xdr:sp macro="" textlink="">
      <xdr:nvSpPr>
        <xdr:cNvPr id="66493794" name="Text Box 11">
          <a:extLst>
            <a:ext uri="{FF2B5EF4-FFF2-40B4-BE49-F238E27FC236}">
              <a16:creationId xmlns:a16="http://schemas.microsoft.com/office/drawing/2014/main" id="{F2D8ED26-2270-4DF8-88DE-2C6AAD20BBC7}"/>
            </a:ext>
          </a:extLst>
        </xdr:cNvPr>
        <xdr:cNvSpPr txBox="1">
          <a:spLocks noChangeArrowheads="1"/>
        </xdr:cNvSpPr>
      </xdr:nvSpPr>
      <xdr:spPr bwMode="auto">
        <a:xfrm>
          <a:off x="14573250" y="76095225"/>
          <a:ext cx="0"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3</xdr:col>
      <xdr:colOff>0</xdr:colOff>
      <xdr:row>805</xdr:row>
      <xdr:rowOff>0</xdr:rowOff>
    </xdr:from>
    <xdr:to>
      <xdr:col>3</xdr:col>
      <xdr:colOff>0</xdr:colOff>
      <xdr:row>1933</xdr:row>
      <xdr:rowOff>82550</xdr:rowOff>
    </xdr:to>
    <xdr:sp macro="" textlink="">
      <xdr:nvSpPr>
        <xdr:cNvPr id="66493795" name="Text Box 12">
          <a:extLst>
            <a:ext uri="{FF2B5EF4-FFF2-40B4-BE49-F238E27FC236}">
              <a16:creationId xmlns:a16="http://schemas.microsoft.com/office/drawing/2014/main" id="{2D13BD4F-5230-4464-A3D8-5960202A1F54}"/>
            </a:ext>
          </a:extLst>
        </xdr:cNvPr>
        <xdr:cNvSpPr txBox="1">
          <a:spLocks noChangeArrowheads="1"/>
        </xdr:cNvSpPr>
      </xdr:nvSpPr>
      <xdr:spPr bwMode="auto">
        <a:xfrm>
          <a:off x="14573250" y="76095225"/>
          <a:ext cx="0"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23</xdr:col>
      <xdr:colOff>152400</xdr:colOff>
      <xdr:row>805</xdr:row>
      <xdr:rowOff>0</xdr:rowOff>
    </xdr:from>
    <xdr:to>
      <xdr:col>25</xdr:col>
      <xdr:colOff>95250</xdr:colOff>
      <xdr:row>1933</xdr:row>
      <xdr:rowOff>82550</xdr:rowOff>
    </xdr:to>
    <xdr:sp macro="" textlink="">
      <xdr:nvSpPr>
        <xdr:cNvPr id="66493796" name="Text Box 13">
          <a:extLst>
            <a:ext uri="{FF2B5EF4-FFF2-40B4-BE49-F238E27FC236}">
              <a16:creationId xmlns:a16="http://schemas.microsoft.com/office/drawing/2014/main" id="{B0A0D801-DFEC-4E11-B1D2-A2CEF21B3282}"/>
            </a:ext>
          </a:extLst>
        </xdr:cNvPr>
        <xdr:cNvSpPr txBox="1">
          <a:spLocks noChangeArrowheads="1"/>
        </xdr:cNvSpPr>
      </xdr:nvSpPr>
      <xdr:spPr bwMode="auto">
        <a:xfrm>
          <a:off x="17316450" y="76095225"/>
          <a:ext cx="95250"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3</xdr:col>
      <xdr:colOff>0</xdr:colOff>
      <xdr:row>805</xdr:row>
      <xdr:rowOff>0</xdr:rowOff>
    </xdr:from>
    <xdr:to>
      <xdr:col>3</xdr:col>
      <xdr:colOff>0</xdr:colOff>
      <xdr:row>1933</xdr:row>
      <xdr:rowOff>82550</xdr:rowOff>
    </xdr:to>
    <xdr:sp macro="" textlink="">
      <xdr:nvSpPr>
        <xdr:cNvPr id="66493797" name="Text Box 14">
          <a:extLst>
            <a:ext uri="{FF2B5EF4-FFF2-40B4-BE49-F238E27FC236}">
              <a16:creationId xmlns:a16="http://schemas.microsoft.com/office/drawing/2014/main" id="{4A5FC94A-CF81-4BDA-ABD2-8DCE72B4B230}"/>
            </a:ext>
          </a:extLst>
        </xdr:cNvPr>
        <xdr:cNvSpPr txBox="1">
          <a:spLocks noChangeArrowheads="1"/>
        </xdr:cNvSpPr>
      </xdr:nvSpPr>
      <xdr:spPr bwMode="auto">
        <a:xfrm>
          <a:off x="14573250" y="76095225"/>
          <a:ext cx="0"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3</xdr:col>
      <xdr:colOff>0</xdr:colOff>
      <xdr:row>805</xdr:row>
      <xdr:rowOff>0</xdr:rowOff>
    </xdr:from>
    <xdr:to>
      <xdr:col>3</xdr:col>
      <xdr:colOff>0</xdr:colOff>
      <xdr:row>1933</xdr:row>
      <xdr:rowOff>82550</xdr:rowOff>
    </xdr:to>
    <xdr:sp macro="" textlink="">
      <xdr:nvSpPr>
        <xdr:cNvPr id="66493798" name="Text Box 15">
          <a:extLst>
            <a:ext uri="{FF2B5EF4-FFF2-40B4-BE49-F238E27FC236}">
              <a16:creationId xmlns:a16="http://schemas.microsoft.com/office/drawing/2014/main" id="{4027ACD5-065D-4BD0-AFC1-30542980BE95}"/>
            </a:ext>
          </a:extLst>
        </xdr:cNvPr>
        <xdr:cNvSpPr txBox="1">
          <a:spLocks noChangeArrowheads="1"/>
        </xdr:cNvSpPr>
      </xdr:nvSpPr>
      <xdr:spPr bwMode="auto">
        <a:xfrm>
          <a:off x="14573250" y="76095225"/>
          <a:ext cx="0"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3</xdr:col>
      <xdr:colOff>0</xdr:colOff>
      <xdr:row>805</xdr:row>
      <xdr:rowOff>0</xdr:rowOff>
    </xdr:from>
    <xdr:to>
      <xdr:col>3</xdr:col>
      <xdr:colOff>0</xdr:colOff>
      <xdr:row>1933</xdr:row>
      <xdr:rowOff>82550</xdr:rowOff>
    </xdr:to>
    <xdr:sp macro="" textlink="">
      <xdr:nvSpPr>
        <xdr:cNvPr id="66493799" name="Text Box 16">
          <a:extLst>
            <a:ext uri="{FF2B5EF4-FFF2-40B4-BE49-F238E27FC236}">
              <a16:creationId xmlns:a16="http://schemas.microsoft.com/office/drawing/2014/main" id="{A78B9FC7-C48C-48F7-97AB-9C9850E01B49}"/>
            </a:ext>
          </a:extLst>
        </xdr:cNvPr>
        <xdr:cNvSpPr txBox="1">
          <a:spLocks noChangeArrowheads="1"/>
        </xdr:cNvSpPr>
      </xdr:nvSpPr>
      <xdr:spPr bwMode="auto">
        <a:xfrm>
          <a:off x="14573250" y="76095225"/>
          <a:ext cx="0"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3</xdr:col>
      <xdr:colOff>0</xdr:colOff>
      <xdr:row>805</xdr:row>
      <xdr:rowOff>0</xdr:rowOff>
    </xdr:from>
    <xdr:to>
      <xdr:col>3</xdr:col>
      <xdr:colOff>0</xdr:colOff>
      <xdr:row>1933</xdr:row>
      <xdr:rowOff>82550</xdr:rowOff>
    </xdr:to>
    <xdr:sp macro="" textlink="">
      <xdr:nvSpPr>
        <xdr:cNvPr id="66493800" name="Text Box 17">
          <a:extLst>
            <a:ext uri="{FF2B5EF4-FFF2-40B4-BE49-F238E27FC236}">
              <a16:creationId xmlns:a16="http://schemas.microsoft.com/office/drawing/2014/main" id="{39324BC7-A7BE-4ECF-AEF1-47644E232AAD}"/>
            </a:ext>
          </a:extLst>
        </xdr:cNvPr>
        <xdr:cNvSpPr txBox="1">
          <a:spLocks noChangeArrowheads="1"/>
        </xdr:cNvSpPr>
      </xdr:nvSpPr>
      <xdr:spPr bwMode="auto">
        <a:xfrm>
          <a:off x="14573250" y="76095225"/>
          <a:ext cx="0"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22</xdr:col>
      <xdr:colOff>123825</xdr:colOff>
      <xdr:row>871</xdr:row>
      <xdr:rowOff>171450</xdr:rowOff>
    </xdr:from>
    <xdr:to>
      <xdr:col>23</xdr:col>
      <xdr:colOff>104775</xdr:colOff>
      <xdr:row>873</xdr:row>
      <xdr:rowOff>28575</xdr:rowOff>
    </xdr:to>
    <xdr:sp macro="" textlink="">
      <xdr:nvSpPr>
        <xdr:cNvPr id="66493801" name="Oval 116">
          <a:extLst>
            <a:ext uri="{FF2B5EF4-FFF2-40B4-BE49-F238E27FC236}">
              <a16:creationId xmlns:a16="http://schemas.microsoft.com/office/drawing/2014/main" id="{F409DE63-AD83-46B9-B19A-BBCE924683C0}"/>
            </a:ext>
          </a:extLst>
        </xdr:cNvPr>
        <xdr:cNvSpPr>
          <a:spLocks noChangeArrowheads="1"/>
        </xdr:cNvSpPr>
      </xdr:nvSpPr>
      <xdr:spPr bwMode="auto">
        <a:xfrm>
          <a:off x="16640175" y="76095225"/>
          <a:ext cx="628650" cy="0"/>
        </a:xfrm>
        <a:prstGeom prst="ellipse">
          <a:avLst/>
        </a:prstGeom>
        <a:noFill/>
        <a:ln w="17145">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19</xdr:col>
      <xdr:colOff>47625</xdr:colOff>
      <xdr:row>996</xdr:row>
      <xdr:rowOff>142875</xdr:rowOff>
    </xdr:from>
    <xdr:to>
      <xdr:col>20</xdr:col>
      <xdr:colOff>28575</xdr:colOff>
      <xdr:row>998</xdr:row>
      <xdr:rowOff>38100</xdr:rowOff>
    </xdr:to>
    <xdr:sp macro="" textlink="">
      <xdr:nvSpPr>
        <xdr:cNvPr id="66493802" name="Oval 117">
          <a:extLst>
            <a:ext uri="{FF2B5EF4-FFF2-40B4-BE49-F238E27FC236}">
              <a16:creationId xmlns:a16="http://schemas.microsoft.com/office/drawing/2014/main" id="{C80A8702-CB22-4706-A285-8EA8DD4C8262}"/>
            </a:ext>
          </a:extLst>
        </xdr:cNvPr>
        <xdr:cNvSpPr>
          <a:spLocks noChangeArrowheads="1"/>
        </xdr:cNvSpPr>
      </xdr:nvSpPr>
      <xdr:spPr bwMode="auto">
        <a:xfrm>
          <a:off x="14620875" y="76095225"/>
          <a:ext cx="628650" cy="0"/>
        </a:xfrm>
        <a:prstGeom prst="ellipse">
          <a:avLst/>
        </a:prstGeom>
        <a:noFill/>
        <a:ln w="17145">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23</xdr:col>
      <xdr:colOff>428625</xdr:colOff>
      <xdr:row>551</xdr:row>
      <xdr:rowOff>142875</xdr:rowOff>
    </xdr:from>
    <xdr:to>
      <xdr:col>25</xdr:col>
      <xdr:colOff>142875</xdr:colOff>
      <xdr:row>553</xdr:row>
      <xdr:rowOff>66675</xdr:rowOff>
    </xdr:to>
    <xdr:sp macro="" textlink="">
      <xdr:nvSpPr>
        <xdr:cNvPr id="66493803" name="Oval 394">
          <a:extLst>
            <a:ext uri="{FF2B5EF4-FFF2-40B4-BE49-F238E27FC236}">
              <a16:creationId xmlns:a16="http://schemas.microsoft.com/office/drawing/2014/main" id="{4B25962B-498A-4839-BCAD-1FB2616674BB}"/>
            </a:ext>
          </a:extLst>
        </xdr:cNvPr>
        <xdr:cNvSpPr>
          <a:spLocks noChangeArrowheads="1"/>
        </xdr:cNvSpPr>
      </xdr:nvSpPr>
      <xdr:spPr bwMode="auto">
        <a:xfrm>
          <a:off x="17592675" y="76095225"/>
          <a:ext cx="1009650" cy="0"/>
        </a:xfrm>
        <a:prstGeom prst="ellipse">
          <a:avLst/>
        </a:prstGeom>
        <a:solidFill>
          <a:srgbClr xmlns:mc="http://schemas.openxmlformats.org/markup-compatibility/2006" xmlns:a14="http://schemas.microsoft.com/office/drawing/2010/main" val="FFFFFF" mc:Ignorable="a14" a14:legacySpreadsheetColorIndex="65">
            <a:alpha val="0"/>
          </a:srgbClr>
        </a:solidFill>
        <a:ln w="9525" algn="ctr">
          <a:solidFill>
            <a:srgbClr xmlns:mc="http://schemas.openxmlformats.org/markup-compatibility/2006" xmlns:a14="http://schemas.microsoft.com/office/drawing/2010/main" val="FF0000" mc:Ignorable="a14" a14:legacySpreadsheetColorIndex="10"/>
          </a:solidFill>
          <a:prstDash val="dash"/>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26</xdr:col>
      <xdr:colOff>76200</xdr:colOff>
      <xdr:row>1259</xdr:row>
      <xdr:rowOff>0</xdr:rowOff>
    </xdr:from>
    <xdr:to>
      <xdr:col>29</xdr:col>
      <xdr:colOff>114300</xdr:colOff>
      <xdr:row>1260</xdr:row>
      <xdr:rowOff>9525</xdr:rowOff>
    </xdr:to>
    <xdr:sp macro="" textlink="">
      <xdr:nvSpPr>
        <xdr:cNvPr id="66493804" name="Oval 656">
          <a:extLst>
            <a:ext uri="{FF2B5EF4-FFF2-40B4-BE49-F238E27FC236}">
              <a16:creationId xmlns:a16="http://schemas.microsoft.com/office/drawing/2014/main" id="{ACB44E1C-8FEF-43E9-8A0F-325C0C0A04B0}"/>
            </a:ext>
          </a:extLst>
        </xdr:cNvPr>
        <xdr:cNvSpPr>
          <a:spLocks noChangeArrowheads="1"/>
        </xdr:cNvSpPr>
      </xdr:nvSpPr>
      <xdr:spPr bwMode="auto">
        <a:xfrm>
          <a:off x="19183350" y="76095225"/>
          <a:ext cx="1981200" cy="0"/>
        </a:xfrm>
        <a:prstGeom prst="ellipse">
          <a:avLst/>
        </a:prstGeom>
        <a:noFill/>
        <a:ln w="17145">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29</xdr:col>
      <xdr:colOff>9524</xdr:colOff>
      <xdr:row>96</xdr:row>
      <xdr:rowOff>9215</xdr:rowOff>
    </xdr:from>
    <xdr:to>
      <xdr:col>32</xdr:col>
      <xdr:colOff>57151</xdr:colOff>
      <xdr:row>97</xdr:row>
      <xdr:rowOff>18740</xdr:rowOff>
    </xdr:to>
    <xdr:sp macro="" textlink="">
      <xdr:nvSpPr>
        <xdr:cNvPr id="8535299" name="Oval 2">
          <a:extLst>
            <a:ext uri="{FF2B5EF4-FFF2-40B4-BE49-F238E27FC236}">
              <a16:creationId xmlns:a16="http://schemas.microsoft.com/office/drawing/2014/main" id="{9202BA62-0731-4342-AFF4-4DDCD2C9CC94}"/>
            </a:ext>
          </a:extLst>
        </xdr:cNvPr>
        <xdr:cNvSpPr>
          <a:spLocks noChangeArrowheads="1"/>
        </xdr:cNvSpPr>
      </xdr:nvSpPr>
      <xdr:spPr bwMode="auto">
        <a:xfrm>
          <a:off x="8967994" y="13473424"/>
          <a:ext cx="2035453" cy="181803"/>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29</xdr:col>
      <xdr:colOff>100011</xdr:colOff>
      <xdr:row>103</xdr:row>
      <xdr:rowOff>11907</xdr:rowOff>
    </xdr:from>
    <xdr:to>
      <xdr:col>32</xdr:col>
      <xdr:colOff>147638</xdr:colOff>
      <xdr:row>104</xdr:row>
      <xdr:rowOff>21431</xdr:rowOff>
    </xdr:to>
    <xdr:sp macro="" textlink="">
      <xdr:nvSpPr>
        <xdr:cNvPr id="8535300" name="Oval 2">
          <a:extLst>
            <a:ext uri="{FF2B5EF4-FFF2-40B4-BE49-F238E27FC236}">
              <a16:creationId xmlns:a16="http://schemas.microsoft.com/office/drawing/2014/main" id="{F9364831-1709-435B-BC2C-34CA579D34A7}"/>
            </a:ext>
          </a:extLst>
        </xdr:cNvPr>
        <xdr:cNvSpPr>
          <a:spLocks noChangeArrowheads="1"/>
        </xdr:cNvSpPr>
      </xdr:nvSpPr>
      <xdr:spPr bwMode="auto">
        <a:xfrm>
          <a:off x="8803480" y="14573251"/>
          <a:ext cx="1976439" cy="176211"/>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29</xdr:col>
      <xdr:colOff>95248</xdr:colOff>
      <xdr:row>106</xdr:row>
      <xdr:rowOff>0</xdr:rowOff>
    </xdr:from>
    <xdr:to>
      <xdr:col>32</xdr:col>
      <xdr:colOff>142875</xdr:colOff>
      <xdr:row>107</xdr:row>
      <xdr:rowOff>9525</xdr:rowOff>
    </xdr:to>
    <xdr:sp macro="" textlink="">
      <xdr:nvSpPr>
        <xdr:cNvPr id="8535301" name="Oval 2">
          <a:extLst>
            <a:ext uri="{FF2B5EF4-FFF2-40B4-BE49-F238E27FC236}">
              <a16:creationId xmlns:a16="http://schemas.microsoft.com/office/drawing/2014/main" id="{9CE9460A-CEA3-47D7-B1F5-1EC7EBABD195}"/>
            </a:ext>
          </a:extLst>
        </xdr:cNvPr>
        <xdr:cNvSpPr>
          <a:spLocks noChangeArrowheads="1"/>
        </xdr:cNvSpPr>
      </xdr:nvSpPr>
      <xdr:spPr bwMode="auto">
        <a:xfrm>
          <a:off x="8798717" y="15061406"/>
          <a:ext cx="1976439" cy="176213"/>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editAs="oneCell">
    <xdr:from>
      <xdr:col>80</xdr:col>
      <xdr:colOff>61912</xdr:colOff>
      <xdr:row>34</xdr:row>
      <xdr:rowOff>157162</xdr:rowOff>
    </xdr:from>
    <xdr:to>
      <xdr:col>88</xdr:col>
      <xdr:colOff>358140</xdr:colOff>
      <xdr:row>53</xdr:row>
      <xdr:rowOff>160019</xdr:rowOff>
    </xdr:to>
    <xdr:graphicFrame macro="">
      <xdr:nvGraphicFramePr>
        <xdr:cNvPr id="4" name="Chart 3">
          <a:extLst>
            <a:ext uri="{FF2B5EF4-FFF2-40B4-BE49-F238E27FC236}">
              <a16:creationId xmlns:a16="http://schemas.microsoft.com/office/drawing/2014/main" id="{DC41FE98-43A9-3F0C-F367-85F6CD9E10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3</xdr:col>
      <xdr:colOff>0</xdr:colOff>
      <xdr:row>1</xdr:row>
      <xdr:rowOff>161925</xdr:rowOff>
    </xdr:to>
    <xdr:sp macro="" textlink="">
      <xdr:nvSpPr>
        <xdr:cNvPr id="8571269" name="AutoShape 2" descr="621213704@02032006-321D">
          <a:extLst>
            <a:ext uri="{FF2B5EF4-FFF2-40B4-BE49-F238E27FC236}">
              <a16:creationId xmlns:a16="http://schemas.microsoft.com/office/drawing/2014/main" id="{BA0D09E7-16CF-480D-80A7-88CCA348B0C6}"/>
            </a:ext>
          </a:extLst>
        </xdr:cNvPr>
        <xdr:cNvSpPr>
          <a:spLocks noChangeAspect="1" noChangeArrowheads="1"/>
        </xdr:cNvSpPr>
      </xdr:nvSpPr>
      <xdr:spPr bwMode="auto">
        <a:xfrm>
          <a:off x="4210050" y="0"/>
          <a:ext cx="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0</xdr:row>
      <xdr:rowOff>0</xdr:rowOff>
    </xdr:from>
    <xdr:to>
      <xdr:col>22</xdr:col>
      <xdr:colOff>304800</xdr:colOff>
      <xdr:row>1</xdr:row>
      <xdr:rowOff>219075</xdr:rowOff>
    </xdr:to>
    <xdr:sp macro="" textlink="">
      <xdr:nvSpPr>
        <xdr:cNvPr id="8571270" name="AutoShape 2" descr="621213704@02032006-321D">
          <a:extLst>
            <a:ext uri="{FF2B5EF4-FFF2-40B4-BE49-F238E27FC236}">
              <a16:creationId xmlns:a16="http://schemas.microsoft.com/office/drawing/2014/main" id="{40959EEC-71E4-4FB0-BA52-D45E999D7902}"/>
            </a:ext>
          </a:extLst>
        </xdr:cNvPr>
        <xdr:cNvSpPr>
          <a:spLocks noChangeAspect="1" noChangeArrowheads="1"/>
        </xdr:cNvSpPr>
      </xdr:nvSpPr>
      <xdr:spPr bwMode="auto">
        <a:xfrm>
          <a:off x="4210050" y="0"/>
          <a:ext cx="304800"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3</xdr:row>
      <xdr:rowOff>0</xdr:rowOff>
    </xdr:from>
    <xdr:to>
      <xdr:col>3</xdr:col>
      <xdr:colOff>0</xdr:colOff>
      <xdr:row>4</xdr:row>
      <xdr:rowOff>133350</xdr:rowOff>
    </xdr:to>
    <xdr:sp macro="" textlink="">
      <xdr:nvSpPr>
        <xdr:cNvPr id="8571271" name="AutoShape 2" descr="621213704@02032006-321D">
          <a:extLst>
            <a:ext uri="{FF2B5EF4-FFF2-40B4-BE49-F238E27FC236}">
              <a16:creationId xmlns:a16="http://schemas.microsoft.com/office/drawing/2014/main" id="{4F536750-76C0-4518-BFD1-681651B094F1}"/>
            </a:ext>
          </a:extLst>
        </xdr:cNvPr>
        <xdr:cNvSpPr>
          <a:spLocks noChangeAspect="1" noChangeArrowheads="1"/>
        </xdr:cNvSpPr>
      </xdr:nvSpPr>
      <xdr:spPr bwMode="auto">
        <a:xfrm>
          <a:off x="4210050" y="695325"/>
          <a:ext cx="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0</xdr:row>
      <xdr:rowOff>0</xdr:rowOff>
    </xdr:from>
    <xdr:to>
      <xdr:col>22</xdr:col>
      <xdr:colOff>304800</xdr:colOff>
      <xdr:row>1</xdr:row>
      <xdr:rowOff>142875</xdr:rowOff>
    </xdr:to>
    <xdr:sp macro="" textlink="">
      <xdr:nvSpPr>
        <xdr:cNvPr id="8571272" name="AutoShape 2" descr="621213704@02032006-321D">
          <a:extLst>
            <a:ext uri="{FF2B5EF4-FFF2-40B4-BE49-F238E27FC236}">
              <a16:creationId xmlns:a16="http://schemas.microsoft.com/office/drawing/2014/main" id="{61210EF0-288D-4210-BDF4-09D5869AB7D5}"/>
            </a:ext>
          </a:extLst>
        </xdr:cNvPr>
        <xdr:cNvSpPr>
          <a:spLocks noChangeAspect="1" noChangeArrowheads="1"/>
        </xdr:cNvSpPr>
      </xdr:nvSpPr>
      <xdr:spPr bwMode="auto">
        <a:xfrm>
          <a:off x="4210050" y="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0</xdr:row>
      <xdr:rowOff>0</xdr:rowOff>
    </xdr:from>
    <xdr:to>
      <xdr:col>22</xdr:col>
      <xdr:colOff>304800</xdr:colOff>
      <xdr:row>1</xdr:row>
      <xdr:rowOff>219075</xdr:rowOff>
    </xdr:to>
    <xdr:sp macro="" textlink="">
      <xdr:nvSpPr>
        <xdr:cNvPr id="8571273" name="AutoShape 2" descr="621213704@02032006-321D">
          <a:extLst>
            <a:ext uri="{FF2B5EF4-FFF2-40B4-BE49-F238E27FC236}">
              <a16:creationId xmlns:a16="http://schemas.microsoft.com/office/drawing/2014/main" id="{4BFE2BD5-E246-4B1D-9597-28210E2928AE}"/>
            </a:ext>
          </a:extLst>
        </xdr:cNvPr>
        <xdr:cNvSpPr>
          <a:spLocks noChangeAspect="1" noChangeArrowheads="1"/>
        </xdr:cNvSpPr>
      </xdr:nvSpPr>
      <xdr:spPr bwMode="auto">
        <a:xfrm>
          <a:off x="4210050" y="0"/>
          <a:ext cx="304800"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3</xdr:row>
      <xdr:rowOff>0</xdr:rowOff>
    </xdr:from>
    <xdr:to>
      <xdr:col>22</xdr:col>
      <xdr:colOff>304800</xdr:colOff>
      <xdr:row>4</xdr:row>
      <xdr:rowOff>142875</xdr:rowOff>
    </xdr:to>
    <xdr:sp macro="" textlink="">
      <xdr:nvSpPr>
        <xdr:cNvPr id="8571274" name="AutoShape 2" descr="621213704@02032006-321D">
          <a:extLst>
            <a:ext uri="{FF2B5EF4-FFF2-40B4-BE49-F238E27FC236}">
              <a16:creationId xmlns:a16="http://schemas.microsoft.com/office/drawing/2014/main" id="{A11A66A8-FDAB-4DFA-8AA3-356B610E9728}"/>
            </a:ext>
          </a:extLst>
        </xdr:cNvPr>
        <xdr:cNvSpPr>
          <a:spLocks noChangeAspect="1" noChangeArrowheads="1"/>
        </xdr:cNvSpPr>
      </xdr:nvSpPr>
      <xdr:spPr bwMode="auto">
        <a:xfrm>
          <a:off x="4210050" y="695325"/>
          <a:ext cx="3048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3</xdr:row>
      <xdr:rowOff>0</xdr:rowOff>
    </xdr:from>
    <xdr:to>
      <xdr:col>22</xdr:col>
      <xdr:colOff>304800</xdr:colOff>
      <xdr:row>5</xdr:row>
      <xdr:rowOff>66675</xdr:rowOff>
    </xdr:to>
    <xdr:sp macro="" textlink="">
      <xdr:nvSpPr>
        <xdr:cNvPr id="8571275" name="AutoShape 2" descr="621213704@02032006-321D">
          <a:extLst>
            <a:ext uri="{FF2B5EF4-FFF2-40B4-BE49-F238E27FC236}">
              <a16:creationId xmlns:a16="http://schemas.microsoft.com/office/drawing/2014/main" id="{2C9C8D19-6B0D-418E-BF2E-9E57C079EB35}"/>
            </a:ext>
          </a:extLst>
        </xdr:cNvPr>
        <xdr:cNvSpPr>
          <a:spLocks noChangeAspect="1" noChangeArrowheads="1"/>
        </xdr:cNvSpPr>
      </xdr:nvSpPr>
      <xdr:spPr bwMode="auto">
        <a:xfrm>
          <a:off x="4210050" y="695325"/>
          <a:ext cx="30480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3</xdr:col>
      <xdr:colOff>0</xdr:colOff>
      <xdr:row>1</xdr:row>
      <xdr:rowOff>161925</xdr:rowOff>
    </xdr:to>
    <xdr:sp macro="" textlink="">
      <xdr:nvSpPr>
        <xdr:cNvPr id="8547008" name="AutoShape 2" descr="621213704@02032006-321D">
          <a:extLst>
            <a:ext uri="{FF2B5EF4-FFF2-40B4-BE49-F238E27FC236}">
              <a16:creationId xmlns:a16="http://schemas.microsoft.com/office/drawing/2014/main" id="{6B249DA2-B5C1-41CA-8B42-7227CA7AD641}"/>
            </a:ext>
          </a:extLst>
        </xdr:cNvPr>
        <xdr:cNvSpPr>
          <a:spLocks noChangeAspect="1" noChangeArrowheads="1"/>
        </xdr:cNvSpPr>
      </xdr:nvSpPr>
      <xdr:spPr bwMode="auto">
        <a:xfrm>
          <a:off x="4210050" y="0"/>
          <a:ext cx="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0</xdr:row>
      <xdr:rowOff>0</xdr:rowOff>
    </xdr:from>
    <xdr:to>
      <xdr:col>22</xdr:col>
      <xdr:colOff>304800</xdr:colOff>
      <xdr:row>1</xdr:row>
      <xdr:rowOff>219075</xdr:rowOff>
    </xdr:to>
    <xdr:sp macro="" textlink="">
      <xdr:nvSpPr>
        <xdr:cNvPr id="8547009" name="AutoShape 2" descr="621213704@02032006-321D">
          <a:extLst>
            <a:ext uri="{FF2B5EF4-FFF2-40B4-BE49-F238E27FC236}">
              <a16:creationId xmlns:a16="http://schemas.microsoft.com/office/drawing/2014/main" id="{BA984ECF-EDCF-454A-9883-D357E8E5F3F4}"/>
            </a:ext>
          </a:extLst>
        </xdr:cNvPr>
        <xdr:cNvSpPr>
          <a:spLocks noChangeAspect="1" noChangeArrowheads="1"/>
        </xdr:cNvSpPr>
      </xdr:nvSpPr>
      <xdr:spPr bwMode="auto">
        <a:xfrm>
          <a:off x="4210050" y="0"/>
          <a:ext cx="304800"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xdr:row>
      <xdr:rowOff>0</xdr:rowOff>
    </xdr:from>
    <xdr:to>
      <xdr:col>27</xdr:col>
      <xdr:colOff>400050</xdr:colOff>
      <xdr:row>2</xdr:row>
      <xdr:rowOff>9525</xdr:rowOff>
    </xdr:to>
    <xdr:sp macro="" textlink="">
      <xdr:nvSpPr>
        <xdr:cNvPr id="8547010" name="AutoShape 2" descr="621213704@02032006-321D">
          <a:extLst>
            <a:ext uri="{FF2B5EF4-FFF2-40B4-BE49-F238E27FC236}">
              <a16:creationId xmlns:a16="http://schemas.microsoft.com/office/drawing/2014/main" id="{D9F4A32B-5484-49C7-BCE0-1D3825FBE1C2}"/>
            </a:ext>
          </a:extLst>
        </xdr:cNvPr>
        <xdr:cNvSpPr>
          <a:spLocks noChangeAspect="1" noChangeArrowheads="1"/>
        </xdr:cNvSpPr>
      </xdr:nvSpPr>
      <xdr:spPr bwMode="auto">
        <a:xfrm>
          <a:off x="4210050" y="161925"/>
          <a:ext cx="363855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0</xdr:row>
      <xdr:rowOff>0</xdr:rowOff>
    </xdr:from>
    <xdr:to>
      <xdr:col>22</xdr:col>
      <xdr:colOff>304800</xdr:colOff>
      <xdr:row>1</xdr:row>
      <xdr:rowOff>142875</xdr:rowOff>
    </xdr:to>
    <xdr:sp macro="" textlink="">
      <xdr:nvSpPr>
        <xdr:cNvPr id="8547011" name="AutoShape 2" descr="621213704@02032006-321D">
          <a:extLst>
            <a:ext uri="{FF2B5EF4-FFF2-40B4-BE49-F238E27FC236}">
              <a16:creationId xmlns:a16="http://schemas.microsoft.com/office/drawing/2014/main" id="{AE0934BF-7270-4AF2-B55E-4581B7B520C8}"/>
            </a:ext>
          </a:extLst>
        </xdr:cNvPr>
        <xdr:cNvSpPr>
          <a:spLocks noChangeAspect="1" noChangeArrowheads="1"/>
        </xdr:cNvSpPr>
      </xdr:nvSpPr>
      <xdr:spPr bwMode="auto">
        <a:xfrm>
          <a:off x="4210050" y="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0</xdr:row>
      <xdr:rowOff>0</xdr:rowOff>
    </xdr:from>
    <xdr:to>
      <xdr:col>22</xdr:col>
      <xdr:colOff>304800</xdr:colOff>
      <xdr:row>1</xdr:row>
      <xdr:rowOff>219075</xdr:rowOff>
    </xdr:to>
    <xdr:sp macro="" textlink="">
      <xdr:nvSpPr>
        <xdr:cNvPr id="8547012" name="AutoShape 2" descr="621213704@02032006-321D">
          <a:extLst>
            <a:ext uri="{FF2B5EF4-FFF2-40B4-BE49-F238E27FC236}">
              <a16:creationId xmlns:a16="http://schemas.microsoft.com/office/drawing/2014/main" id="{9C6D98CE-104E-461A-B5D9-392A11EFD985}"/>
            </a:ext>
          </a:extLst>
        </xdr:cNvPr>
        <xdr:cNvSpPr>
          <a:spLocks noChangeAspect="1" noChangeArrowheads="1"/>
        </xdr:cNvSpPr>
      </xdr:nvSpPr>
      <xdr:spPr bwMode="auto">
        <a:xfrm>
          <a:off x="4210050" y="0"/>
          <a:ext cx="304800"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3</xdr:row>
      <xdr:rowOff>0</xdr:rowOff>
    </xdr:from>
    <xdr:to>
      <xdr:col>22</xdr:col>
      <xdr:colOff>304800</xdr:colOff>
      <xdr:row>4</xdr:row>
      <xdr:rowOff>142875</xdr:rowOff>
    </xdr:to>
    <xdr:sp macro="" textlink="">
      <xdr:nvSpPr>
        <xdr:cNvPr id="8547013" name="AutoShape 2" descr="621213704@02032006-321D">
          <a:extLst>
            <a:ext uri="{FF2B5EF4-FFF2-40B4-BE49-F238E27FC236}">
              <a16:creationId xmlns:a16="http://schemas.microsoft.com/office/drawing/2014/main" id="{435E1CC9-7E55-4EBA-88F9-D5985B51BB8A}"/>
            </a:ext>
          </a:extLst>
        </xdr:cNvPr>
        <xdr:cNvSpPr>
          <a:spLocks noChangeAspect="1" noChangeArrowheads="1"/>
        </xdr:cNvSpPr>
      </xdr:nvSpPr>
      <xdr:spPr bwMode="auto">
        <a:xfrm>
          <a:off x="4210050" y="695325"/>
          <a:ext cx="3048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3</xdr:row>
      <xdr:rowOff>0</xdr:rowOff>
    </xdr:from>
    <xdr:to>
      <xdr:col>22</xdr:col>
      <xdr:colOff>304800</xdr:colOff>
      <xdr:row>5</xdr:row>
      <xdr:rowOff>66675</xdr:rowOff>
    </xdr:to>
    <xdr:sp macro="" textlink="">
      <xdr:nvSpPr>
        <xdr:cNvPr id="8547014" name="AutoShape 2" descr="621213704@02032006-321D">
          <a:extLst>
            <a:ext uri="{FF2B5EF4-FFF2-40B4-BE49-F238E27FC236}">
              <a16:creationId xmlns:a16="http://schemas.microsoft.com/office/drawing/2014/main" id="{7C4EC332-5DDB-49E7-B9AE-7716379A6211}"/>
            </a:ext>
          </a:extLst>
        </xdr:cNvPr>
        <xdr:cNvSpPr>
          <a:spLocks noChangeAspect="1" noChangeArrowheads="1"/>
        </xdr:cNvSpPr>
      </xdr:nvSpPr>
      <xdr:spPr bwMode="auto">
        <a:xfrm>
          <a:off x="4210050" y="695325"/>
          <a:ext cx="30480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7</xdr:row>
      <xdr:rowOff>0</xdr:rowOff>
    </xdr:from>
    <xdr:to>
      <xdr:col>0</xdr:col>
      <xdr:colOff>0</xdr:colOff>
      <xdr:row>7</xdr:row>
      <xdr:rowOff>0</xdr:rowOff>
    </xdr:to>
    <xdr:sp macro="" textlink="">
      <xdr:nvSpPr>
        <xdr:cNvPr id="8598997" name="Oval 1">
          <a:extLst>
            <a:ext uri="{FF2B5EF4-FFF2-40B4-BE49-F238E27FC236}">
              <a16:creationId xmlns:a16="http://schemas.microsoft.com/office/drawing/2014/main" id="{497F1E18-235B-4600-9A68-A9A217D1968C}"/>
            </a:ext>
          </a:extLst>
        </xdr:cNvPr>
        <xdr:cNvSpPr>
          <a:spLocks noChangeArrowheads="1"/>
        </xdr:cNvSpPr>
      </xdr:nvSpPr>
      <xdr:spPr bwMode="auto">
        <a:xfrm>
          <a:off x="0" y="1209675"/>
          <a:ext cx="0" cy="0"/>
        </a:xfrm>
        <a:prstGeom prst="ellipse">
          <a:avLst/>
        </a:prstGeom>
        <a:noFill/>
        <a:ln w="17145">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409575</xdr:colOff>
      <xdr:row>13</xdr:row>
      <xdr:rowOff>152400</xdr:rowOff>
    </xdr:from>
    <xdr:to>
      <xdr:col>7</xdr:col>
      <xdr:colOff>47625</xdr:colOff>
      <xdr:row>15</xdr:row>
      <xdr:rowOff>9525</xdr:rowOff>
    </xdr:to>
    <xdr:sp macro="" textlink="">
      <xdr:nvSpPr>
        <xdr:cNvPr id="8598998" name="Oval 3">
          <a:extLst>
            <a:ext uri="{FF2B5EF4-FFF2-40B4-BE49-F238E27FC236}">
              <a16:creationId xmlns:a16="http://schemas.microsoft.com/office/drawing/2014/main" id="{A9DD1AB0-B707-46F7-A931-6588ABE36A33}"/>
            </a:ext>
          </a:extLst>
        </xdr:cNvPr>
        <xdr:cNvSpPr>
          <a:spLocks noChangeArrowheads="1"/>
        </xdr:cNvSpPr>
      </xdr:nvSpPr>
      <xdr:spPr bwMode="auto">
        <a:xfrm>
          <a:off x="4467225" y="1209675"/>
          <a:ext cx="933450" cy="0"/>
        </a:xfrm>
        <a:prstGeom prst="ellipse">
          <a:avLst/>
        </a:prstGeom>
        <a:noFill/>
        <a:ln w="22225">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400050</xdr:colOff>
      <xdr:row>25</xdr:row>
      <xdr:rowOff>152400</xdr:rowOff>
    </xdr:from>
    <xdr:to>
      <xdr:col>7</xdr:col>
      <xdr:colOff>38100</xdr:colOff>
      <xdr:row>27</xdr:row>
      <xdr:rowOff>9525</xdr:rowOff>
    </xdr:to>
    <xdr:sp macro="" textlink="">
      <xdr:nvSpPr>
        <xdr:cNvPr id="8598999" name="Oval 4">
          <a:extLst>
            <a:ext uri="{FF2B5EF4-FFF2-40B4-BE49-F238E27FC236}">
              <a16:creationId xmlns:a16="http://schemas.microsoft.com/office/drawing/2014/main" id="{81433287-C521-4D1A-8FFE-28E899710A2E}"/>
            </a:ext>
          </a:extLst>
        </xdr:cNvPr>
        <xdr:cNvSpPr>
          <a:spLocks noChangeArrowheads="1"/>
        </xdr:cNvSpPr>
      </xdr:nvSpPr>
      <xdr:spPr bwMode="auto">
        <a:xfrm>
          <a:off x="4457700" y="1209675"/>
          <a:ext cx="933450" cy="0"/>
        </a:xfrm>
        <a:prstGeom prst="ellipse">
          <a:avLst/>
        </a:prstGeom>
        <a:noFill/>
        <a:ln w="22225">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400050</xdr:colOff>
      <xdr:row>37</xdr:row>
      <xdr:rowOff>152400</xdr:rowOff>
    </xdr:from>
    <xdr:to>
      <xdr:col>7</xdr:col>
      <xdr:colOff>38100</xdr:colOff>
      <xdr:row>39</xdr:row>
      <xdr:rowOff>9525</xdr:rowOff>
    </xdr:to>
    <xdr:sp macro="" textlink="">
      <xdr:nvSpPr>
        <xdr:cNvPr id="8599000" name="Oval 5">
          <a:extLst>
            <a:ext uri="{FF2B5EF4-FFF2-40B4-BE49-F238E27FC236}">
              <a16:creationId xmlns:a16="http://schemas.microsoft.com/office/drawing/2014/main" id="{5192F0E9-1FAC-460A-A7C1-D22DF576688E}"/>
            </a:ext>
          </a:extLst>
        </xdr:cNvPr>
        <xdr:cNvSpPr>
          <a:spLocks noChangeArrowheads="1"/>
        </xdr:cNvSpPr>
      </xdr:nvSpPr>
      <xdr:spPr bwMode="auto">
        <a:xfrm>
          <a:off x="4457700" y="1209675"/>
          <a:ext cx="933450" cy="0"/>
        </a:xfrm>
        <a:prstGeom prst="ellipse">
          <a:avLst/>
        </a:prstGeom>
        <a:noFill/>
        <a:ln w="22225">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400050</xdr:colOff>
      <xdr:row>50</xdr:row>
      <xdr:rowOff>152400</xdr:rowOff>
    </xdr:from>
    <xdr:to>
      <xdr:col>7</xdr:col>
      <xdr:colOff>38100</xdr:colOff>
      <xdr:row>52</xdr:row>
      <xdr:rowOff>9525</xdr:rowOff>
    </xdr:to>
    <xdr:sp macro="" textlink="">
      <xdr:nvSpPr>
        <xdr:cNvPr id="8599001" name="Oval 12">
          <a:extLst>
            <a:ext uri="{FF2B5EF4-FFF2-40B4-BE49-F238E27FC236}">
              <a16:creationId xmlns:a16="http://schemas.microsoft.com/office/drawing/2014/main" id="{1F1DA256-57D6-43C4-9055-5D74B19CD65B}"/>
            </a:ext>
          </a:extLst>
        </xdr:cNvPr>
        <xdr:cNvSpPr>
          <a:spLocks noChangeArrowheads="1"/>
        </xdr:cNvSpPr>
      </xdr:nvSpPr>
      <xdr:spPr bwMode="auto">
        <a:xfrm>
          <a:off x="4457700" y="1209675"/>
          <a:ext cx="933450" cy="0"/>
        </a:xfrm>
        <a:prstGeom prst="ellipse">
          <a:avLst/>
        </a:prstGeom>
        <a:noFill/>
        <a:ln w="22225">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361950</xdr:colOff>
      <xdr:row>80</xdr:row>
      <xdr:rowOff>9525</xdr:rowOff>
    </xdr:from>
    <xdr:to>
      <xdr:col>7</xdr:col>
      <xdr:colOff>28575</xdr:colOff>
      <xdr:row>81</xdr:row>
      <xdr:rowOff>28575</xdr:rowOff>
    </xdr:to>
    <xdr:sp macro="" textlink="">
      <xdr:nvSpPr>
        <xdr:cNvPr id="8599002" name="Oval 13">
          <a:extLst>
            <a:ext uri="{FF2B5EF4-FFF2-40B4-BE49-F238E27FC236}">
              <a16:creationId xmlns:a16="http://schemas.microsoft.com/office/drawing/2014/main" id="{C53F11CF-AD8B-448C-B137-723CA78B4D5B}"/>
            </a:ext>
          </a:extLst>
        </xdr:cNvPr>
        <xdr:cNvSpPr>
          <a:spLocks noChangeArrowheads="1"/>
        </xdr:cNvSpPr>
      </xdr:nvSpPr>
      <xdr:spPr bwMode="auto">
        <a:xfrm>
          <a:off x="4419600" y="1209675"/>
          <a:ext cx="962025" cy="0"/>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333375</xdr:colOff>
      <xdr:row>93</xdr:row>
      <xdr:rowOff>152400</xdr:rowOff>
    </xdr:from>
    <xdr:to>
      <xdr:col>7</xdr:col>
      <xdr:colOff>0</xdr:colOff>
      <xdr:row>95</xdr:row>
      <xdr:rowOff>9525</xdr:rowOff>
    </xdr:to>
    <xdr:sp macro="" textlink="">
      <xdr:nvSpPr>
        <xdr:cNvPr id="8599003" name="Oval 13">
          <a:extLst>
            <a:ext uri="{FF2B5EF4-FFF2-40B4-BE49-F238E27FC236}">
              <a16:creationId xmlns:a16="http://schemas.microsoft.com/office/drawing/2014/main" id="{D5A6AD1A-8EC2-4260-884D-FB41EFF56DAE}"/>
            </a:ext>
          </a:extLst>
        </xdr:cNvPr>
        <xdr:cNvSpPr>
          <a:spLocks noChangeArrowheads="1"/>
        </xdr:cNvSpPr>
      </xdr:nvSpPr>
      <xdr:spPr bwMode="auto">
        <a:xfrm>
          <a:off x="4391025" y="1209675"/>
          <a:ext cx="962025" cy="0"/>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6</xdr:col>
      <xdr:colOff>9525</xdr:colOff>
      <xdr:row>114</xdr:row>
      <xdr:rowOff>133350</xdr:rowOff>
    </xdr:from>
    <xdr:to>
      <xdr:col>7</xdr:col>
      <xdr:colOff>57150</xdr:colOff>
      <xdr:row>115</xdr:row>
      <xdr:rowOff>152400</xdr:rowOff>
    </xdr:to>
    <xdr:sp macro="" textlink="">
      <xdr:nvSpPr>
        <xdr:cNvPr id="8599004" name="Oval 13">
          <a:extLst>
            <a:ext uri="{FF2B5EF4-FFF2-40B4-BE49-F238E27FC236}">
              <a16:creationId xmlns:a16="http://schemas.microsoft.com/office/drawing/2014/main" id="{2E9AD01D-CB95-4C68-BE73-3374CAC3B2BA}"/>
            </a:ext>
          </a:extLst>
        </xdr:cNvPr>
        <xdr:cNvSpPr>
          <a:spLocks noChangeArrowheads="1"/>
        </xdr:cNvSpPr>
      </xdr:nvSpPr>
      <xdr:spPr bwMode="auto">
        <a:xfrm>
          <a:off x="4714875" y="1209675"/>
          <a:ext cx="695325" cy="0"/>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0</xdr:colOff>
      <xdr:row>113</xdr:row>
      <xdr:rowOff>0</xdr:rowOff>
    </xdr:from>
    <xdr:to>
      <xdr:col>3</xdr:col>
      <xdr:colOff>428625</xdr:colOff>
      <xdr:row>114</xdr:row>
      <xdr:rowOff>19050</xdr:rowOff>
    </xdr:to>
    <xdr:sp macro="" textlink="">
      <xdr:nvSpPr>
        <xdr:cNvPr id="8599005" name="Oval 13">
          <a:extLst>
            <a:ext uri="{FF2B5EF4-FFF2-40B4-BE49-F238E27FC236}">
              <a16:creationId xmlns:a16="http://schemas.microsoft.com/office/drawing/2014/main" id="{9AEBD5A1-F5E5-4060-B3C4-F866C84DFD3D}"/>
            </a:ext>
          </a:extLst>
        </xdr:cNvPr>
        <xdr:cNvSpPr>
          <a:spLocks noChangeArrowheads="1"/>
        </xdr:cNvSpPr>
      </xdr:nvSpPr>
      <xdr:spPr bwMode="auto">
        <a:xfrm>
          <a:off x="2762250" y="1209675"/>
          <a:ext cx="428625" cy="0"/>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6</xdr:col>
      <xdr:colOff>9525</xdr:colOff>
      <xdr:row>133</xdr:row>
      <xdr:rowOff>133350</xdr:rowOff>
    </xdr:from>
    <xdr:to>
      <xdr:col>7</xdr:col>
      <xdr:colOff>57150</xdr:colOff>
      <xdr:row>134</xdr:row>
      <xdr:rowOff>152400</xdr:rowOff>
    </xdr:to>
    <xdr:sp macro="" textlink="">
      <xdr:nvSpPr>
        <xdr:cNvPr id="8599006" name="Oval 13">
          <a:extLst>
            <a:ext uri="{FF2B5EF4-FFF2-40B4-BE49-F238E27FC236}">
              <a16:creationId xmlns:a16="http://schemas.microsoft.com/office/drawing/2014/main" id="{0D93CC70-04A5-4B8A-BD67-61870A1A86AF}"/>
            </a:ext>
          </a:extLst>
        </xdr:cNvPr>
        <xdr:cNvSpPr>
          <a:spLocks noChangeArrowheads="1"/>
        </xdr:cNvSpPr>
      </xdr:nvSpPr>
      <xdr:spPr bwMode="auto">
        <a:xfrm>
          <a:off x="4714875" y="1209675"/>
          <a:ext cx="695325" cy="0"/>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0</xdr:colOff>
      <xdr:row>132</xdr:row>
      <xdr:rowOff>0</xdr:rowOff>
    </xdr:from>
    <xdr:to>
      <xdr:col>3</xdr:col>
      <xdr:colOff>428625</xdr:colOff>
      <xdr:row>133</xdr:row>
      <xdr:rowOff>19050</xdr:rowOff>
    </xdr:to>
    <xdr:sp macro="" textlink="">
      <xdr:nvSpPr>
        <xdr:cNvPr id="8599007" name="Oval 13">
          <a:extLst>
            <a:ext uri="{FF2B5EF4-FFF2-40B4-BE49-F238E27FC236}">
              <a16:creationId xmlns:a16="http://schemas.microsoft.com/office/drawing/2014/main" id="{B397C5B0-4C67-4342-B031-059CB141C83A}"/>
            </a:ext>
          </a:extLst>
        </xdr:cNvPr>
        <xdr:cNvSpPr>
          <a:spLocks noChangeArrowheads="1"/>
        </xdr:cNvSpPr>
      </xdr:nvSpPr>
      <xdr:spPr bwMode="auto">
        <a:xfrm>
          <a:off x="2762250" y="1209675"/>
          <a:ext cx="428625" cy="0"/>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3</xdr:col>
      <xdr:colOff>0</xdr:colOff>
      <xdr:row>132</xdr:row>
      <xdr:rowOff>0</xdr:rowOff>
    </xdr:from>
    <xdr:to>
      <xdr:col>3</xdr:col>
      <xdr:colOff>428625</xdr:colOff>
      <xdr:row>133</xdr:row>
      <xdr:rowOff>19050</xdr:rowOff>
    </xdr:to>
    <xdr:sp macro="" textlink="">
      <xdr:nvSpPr>
        <xdr:cNvPr id="8599008" name="Oval 13">
          <a:extLst>
            <a:ext uri="{FF2B5EF4-FFF2-40B4-BE49-F238E27FC236}">
              <a16:creationId xmlns:a16="http://schemas.microsoft.com/office/drawing/2014/main" id="{E888AE12-BFA2-44D4-AAA8-BC16FD59FE96}"/>
            </a:ext>
          </a:extLst>
        </xdr:cNvPr>
        <xdr:cNvSpPr>
          <a:spLocks noChangeArrowheads="1"/>
        </xdr:cNvSpPr>
      </xdr:nvSpPr>
      <xdr:spPr bwMode="auto">
        <a:xfrm>
          <a:off x="2762250" y="1209675"/>
          <a:ext cx="428625" cy="0"/>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6</xdr:col>
      <xdr:colOff>9525</xdr:colOff>
      <xdr:row>152</xdr:row>
      <xdr:rowOff>133350</xdr:rowOff>
    </xdr:from>
    <xdr:to>
      <xdr:col>7</xdr:col>
      <xdr:colOff>57150</xdr:colOff>
      <xdr:row>153</xdr:row>
      <xdr:rowOff>152400</xdr:rowOff>
    </xdr:to>
    <xdr:sp macro="" textlink="">
      <xdr:nvSpPr>
        <xdr:cNvPr id="8599009" name="Oval 13">
          <a:extLst>
            <a:ext uri="{FF2B5EF4-FFF2-40B4-BE49-F238E27FC236}">
              <a16:creationId xmlns:a16="http://schemas.microsoft.com/office/drawing/2014/main" id="{FAF2A329-1C75-487D-8629-2F215115416D}"/>
            </a:ext>
          </a:extLst>
        </xdr:cNvPr>
        <xdr:cNvSpPr>
          <a:spLocks noChangeArrowheads="1"/>
        </xdr:cNvSpPr>
      </xdr:nvSpPr>
      <xdr:spPr bwMode="auto">
        <a:xfrm>
          <a:off x="4714875" y="1209675"/>
          <a:ext cx="695325" cy="0"/>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590550</xdr:colOff>
      <xdr:row>151</xdr:row>
      <xdr:rowOff>38100</xdr:rowOff>
    </xdr:from>
    <xdr:to>
      <xdr:col>6</xdr:col>
      <xdr:colOff>638175</xdr:colOff>
      <xdr:row>152</xdr:row>
      <xdr:rowOff>57150</xdr:rowOff>
    </xdr:to>
    <xdr:sp macro="" textlink="">
      <xdr:nvSpPr>
        <xdr:cNvPr id="8599010" name="Oval 13">
          <a:extLst>
            <a:ext uri="{FF2B5EF4-FFF2-40B4-BE49-F238E27FC236}">
              <a16:creationId xmlns:a16="http://schemas.microsoft.com/office/drawing/2014/main" id="{6853DFE4-7707-4F68-8F69-CCFE4E9C9A27}"/>
            </a:ext>
          </a:extLst>
        </xdr:cNvPr>
        <xdr:cNvSpPr>
          <a:spLocks noChangeArrowheads="1"/>
        </xdr:cNvSpPr>
      </xdr:nvSpPr>
      <xdr:spPr bwMode="auto">
        <a:xfrm>
          <a:off x="4648200" y="1209675"/>
          <a:ext cx="695325" cy="0"/>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9525</xdr:colOff>
      <xdr:row>175</xdr:row>
      <xdr:rowOff>142875</xdr:rowOff>
    </xdr:from>
    <xdr:to>
      <xdr:col>6</xdr:col>
      <xdr:colOff>57150</xdr:colOff>
      <xdr:row>177</xdr:row>
      <xdr:rowOff>0</xdr:rowOff>
    </xdr:to>
    <xdr:sp macro="" textlink="">
      <xdr:nvSpPr>
        <xdr:cNvPr id="8599011" name="Oval 13">
          <a:extLst>
            <a:ext uri="{FF2B5EF4-FFF2-40B4-BE49-F238E27FC236}">
              <a16:creationId xmlns:a16="http://schemas.microsoft.com/office/drawing/2014/main" id="{8B95D8B4-A7ED-4140-BAA6-31FA76DE0970}"/>
            </a:ext>
          </a:extLst>
        </xdr:cNvPr>
        <xdr:cNvSpPr>
          <a:spLocks noChangeArrowheads="1"/>
        </xdr:cNvSpPr>
      </xdr:nvSpPr>
      <xdr:spPr bwMode="auto">
        <a:xfrm>
          <a:off x="4067175" y="1209675"/>
          <a:ext cx="695325" cy="0"/>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381000</xdr:colOff>
      <xdr:row>165</xdr:row>
      <xdr:rowOff>152400</xdr:rowOff>
    </xdr:from>
    <xdr:to>
      <xdr:col>7</xdr:col>
      <xdr:colOff>38100</xdr:colOff>
      <xdr:row>167</xdr:row>
      <xdr:rowOff>9525</xdr:rowOff>
    </xdr:to>
    <xdr:sp macro="" textlink="">
      <xdr:nvSpPr>
        <xdr:cNvPr id="8599012" name="Oval 13">
          <a:extLst>
            <a:ext uri="{FF2B5EF4-FFF2-40B4-BE49-F238E27FC236}">
              <a16:creationId xmlns:a16="http://schemas.microsoft.com/office/drawing/2014/main" id="{3D347ED2-9AE2-4311-B2CA-30284F78B830}"/>
            </a:ext>
          </a:extLst>
        </xdr:cNvPr>
        <xdr:cNvSpPr>
          <a:spLocks noChangeArrowheads="1"/>
        </xdr:cNvSpPr>
      </xdr:nvSpPr>
      <xdr:spPr bwMode="auto">
        <a:xfrm>
          <a:off x="4438650" y="1209675"/>
          <a:ext cx="952500" cy="0"/>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4</xdr:col>
      <xdr:colOff>371475</xdr:colOff>
      <xdr:row>199</xdr:row>
      <xdr:rowOff>28575</xdr:rowOff>
    </xdr:from>
    <xdr:to>
      <xdr:col>6</xdr:col>
      <xdr:colOff>47625</xdr:colOff>
      <xdr:row>201</xdr:row>
      <xdr:rowOff>47625</xdr:rowOff>
    </xdr:to>
    <xdr:sp macro="" textlink="">
      <xdr:nvSpPr>
        <xdr:cNvPr id="8599013" name="Oval 13">
          <a:extLst>
            <a:ext uri="{FF2B5EF4-FFF2-40B4-BE49-F238E27FC236}">
              <a16:creationId xmlns:a16="http://schemas.microsoft.com/office/drawing/2014/main" id="{E87B14CD-5914-4E54-B51B-2EB06A5DED50}"/>
            </a:ext>
          </a:extLst>
        </xdr:cNvPr>
        <xdr:cNvSpPr>
          <a:spLocks noChangeArrowheads="1"/>
        </xdr:cNvSpPr>
      </xdr:nvSpPr>
      <xdr:spPr bwMode="auto">
        <a:xfrm>
          <a:off x="3781425" y="1209675"/>
          <a:ext cx="971550" cy="0"/>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428625</xdr:colOff>
      <xdr:row>188</xdr:row>
      <xdr:rowOff>152400</xdr:rowOff>
    </xdr:from>
    <xdr:to>
      <xdr:col>7</xdr:col>
      <xdr:colOff>85725</xdr:colOff>
      <xdr:row>190</xdr:row>
      <xdr:rowOff>9525</xdr:rowOff>
    </xdr:to>
    <xdr:sp macro="" textlink="">
      <xdr:nvSpPr>
        <xdr:cNvPr id="8599014" name="Oval 13">
          <a:extLst>
            <a:ext uri="{FF2B5EF4-FFF2-40B4-BE49-F238E27FC236}">
              <a16:creationId xmlns:a16="http://schemas.microsoft.com/office/drawing/2014/main" id="{D191C9C3-5472-4E01-B60D-070E0D037DA6}"/>
            </a:ext>
          </a:extLst>
        </xdr:cNvPr>
        <xdr:cNvSpPr>
          <a:spLocks noChangeArrowheads="1"/>
        </xdr:cNvSpPr>
      </xdr:nvSpPr>
      <xdr:spPr bwMode="auto">
        <a:xfrm>
          <a:off x="4486275" y="1209675"/>
          <a:ext cx="952500" cy="0"/>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editAs="oneCell">
    <xdr:from>
      <xdr:col>3</xdr:col>
      <xdr:colOff>0</xdr:colOff>
      <xdr:row>0</xdr:row>
      <xdr:rowOff>0</xdr:rowOff>
    </xdr:from>
    <xdr:to>
      <xdr:col>3</xdr:col>
      <xdr:colOff>0</xdr:colOff>
      <xdr:row>1</xdr:row>
      <xdr:rowOff>161925</xdr:rowOff>
    </xdr:to>
    <xdr:sp macro="" textlink="">
      <xdr:nvSpPr>
        <xdr:cNvPr id="8599015" name="AutoShape 2" descr="621213704@02032006-321D">
          <a:extLst>
            <a:ext uri="{FF2B5EF4-FFF2-40B4-BE49-F238E27FC236}">
              <a16:creationId xmlns:a16="http://schemas.microsoft.com/office/drawing/2014/main" id="{51C1B82E-74D9-476D-A0A6-B2F3CEE50705}"/>
            </a:ext>
          </a:extLst>
        </xdr:cNvPr>
        <xdr:cNvSpPr>
          <a:spLocks noChangeAspect="1" noChangeArrowheads="1"/>
        </xdr:cNvSpPr>
      </xdr:nvSpPr>
      <xdr:spPr bwMode="auto">
        <a:xfrm>
          <a:off x="2762250" y="0"/>
          <a:ext cx="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0</xdr:row>
      <xdr:rowOff>0</xdr:rowOff>
    </xdr:from>
    <xdr:to>
      <xdr:col>3</xdr:col>
      <xdr:colOff>304800</xdr:colOff>
      <xdr:row>1</xdr:row>
      <xdr:rowOff>219075</xdr:rowOff>
    </xdr:to>
    <xdr:sp macro="" textlink="">
      <xdr:nvSpPr>
        <xdr:cNvPr id="8599016" name="AutoShape 2" descr="621213704@02032006-321D">
          <a:extLst>
            <a:ext uri="{FF2B5EF4-FFF2-40B4-BE49-F238E27FC236}">
              <a16:creationId xmlns:a16="http://schemas.microsoft.com/office/drawing/2014/main" id="{F0A82E8D-1772-4E40-B127-619C51B7A788}"/>
            </a:ext>
          </a:extLst>
        </xdr:cNvPr>
        <xdr:cNvSpPr>
          <a:spLocks noChangeAspect="1" noChangeArrowheads="1"/>
        </xdr:cNvSpPr>
      </xdr:nvSpPr>
      <xdr:spPr bwMode="auto">
        <a:xfrm>
          <a:off x="2762250" y="0"/>
          <a:ext cx="304800"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xdr:row>
      <xdr:rowOff>0</xdr:rowOff>
    </xdr:from>
    <xdr:to>
      <xdr:col>8</xdr:col>
      <xdr:colOff>390525</xdr:colOff>
      <xdr:row>2</xdr:row>
      <xdr:rowOff>9525</xdr:rowOff>
    </xdr:to>
    <xdr:sp macro="" textlink="">
      <xdr:nvSpPr>
        <xdr:cNvPr id="8599017" name="AutoShape 2" descr="621213704@02032006-321D">
          <a:extLst>
            <a:ext uri="{FF2B5EF4-FFF2-40B4-BE49-F238E27FC236}">
              <a16:creationId xmlns:a16="http://schemas.microsoft.com/office/drawing/2014/main" id="{03C86577-39F3-44A8-A025-73EB9DCCB86D}"/>
            </a:ext>
          </a:extLst>
        </xdr:cNvPr>
        <xdr:cNvSpPr>
          <a:spLocks noChangeAspect="1" noChangeArrowheads="1"/>
        </xdr:cNvSpPr>
      </xdr:nvSpPr>
      <xdr:spPr bwMode="auto">
        <a:xfrm>
          <a:off x="2762250" y="161925"/>
          <a:ext cx="362902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5</xdr:col>
      <xdr:colOff>28575</xdr:colOff>
      <xdr:row>223</xdr:row>
      <xdr:rowOff>142875</xdr:rowOff>
    </xdr:from>
    <xdr:to>
      <xdr:col>5</xdr:col>
      <xdr:colOff>561975</xdr:colOff>
      <xdr:row>225</xdr:row>
      <xdr:rowOff>9525</xdr:rowOff>
    </xdr:to>
    <xdr:sp macro="" textlink="">
      <xdr:nvSpPr>
        <xdr:cNvPr id="8599018" name="Oval 13">
          <a:extLst>
            <a:ext uri="{FF2B5EF4-FFF2-40B4-BE49-F238E27FC236}">
              <a16:creationId xmlns:a16="http://schemas.microsoft.com/office/drawing/2014/main" id="{D837FBF9-3D0C-4C94-BD99-5B2B5516387A}"/>
            </a:ext>
          </a:extLst>
        </xdr:cNvPr>
        <xdr:cNvSpPr>
          <a:spLocks noChangeArrowheads="1"/>
        </xdr:cNvSpPr>
      </xdr:nvSpPr>
      <xdr:spPr bwMode="auto">
        <a:xfrm>
          <a:off x="4086225" y="4752975"/>
          <a:ext cx="533400" cy="190500"/>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7</xdr:col>
      <xdr:colOff>33056</xdr:colOff>
      <xdr:row>224</xdr:row>
      <xdr:rowOff>32498</xdr:rowOff>
    </xdr:from>
    <xdr:to>
      <xdr:col>7</xdr:col>
      <xdr:colOff>575981</xdr:colOff>
      <xdr:row>225</xdr:row>
      <xdr:rowOff>51547</xdr:rowOff>
    </xdr:to>
    <xdr:sp macro="" textlink="">
      <xdr:nvSpPr>
        <xdr:cNvPr id="8599019" name="Oval 13">
          <a:extLst>
            <a:ext uri="{FF2B5EF4-FFF2-40B4-BE49-F238E27FC236}">
              <a16:creationId xmlns:a16="http://schemas.microsoft.com/office/drawing/2014/main" id="{45046CC6-0490-42E8-A5BC-F87D9624D628}"/>
            </a:ext>
          </a:extLst>
        </xdr:cNvPr>
        <xdr:cNvSpPr>
          <a:spLocks noChangeArrowheads="1"/>
        </xdr:cNvSpPr>
      </xdr:nvSpPr>
      <xdr:spPr bwMode="auto">
        <a:xfrm>
          <a:off x="5400674" y="4671733"/>
          <a:ext cx="542925" cy="175932"/>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8</xdr:col>
      <xdr:colOff>56030</xdr:colOff>
      <xdr:row>220</xdr:row>
      <xdr:rowOff>56029</xdr:rowOff>
    </xdr:from>
    <xdr:to>
      <xdr:col>19</xdr:col>
      <xdr:colOff>268941</xdr:colOff>
      <xdr:row>228</xdr:row>
      <xdr:rowOff>100853</xdr:rowOff>
    </xdr:to>
    <xdr:cxnSp macro="">
      <xdr:nvCxnSpPr>
        <xdr:cNvPr id="25" name="Straight Arrow Connector 24">
          <a:extLst>
            <a:ext uri="{FF2B5EF4-FFF2-40B4-BE49-F238E27FC236}">
              <a16:creationId xmlns:a16="http://schemas.microsoft.com/office/drawing/2014/main" id="{899AFC2D-0F50-4FD7-AB67-87281BDE243A}"/>
            </a:ext>
          </a:extLst>
        </xdr:cNvPr>
        <xdr:cNvCxnSpPr/>
      </xdr:nvCxnSpPr>
      <xdr:spPr>
        <a:xfrm flipH="1" flipV="1">
          <a:off x="6073589" y="4067735"/>
          <a:ext cx="7384676" cy="12998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33617</xdr:colOff>
      <xdr:row>221</xdr:row>
      <xdr:rowOff>89647</xdr:rowOff>
    </xdr:from>
    <xdr:to>
      <xdr:col>19</xdr:col>
      <xdr:colOff>313764</xdr:colOff>
      <xdr:row>229</xdr:row>
      <xdr:rowOff>100853</xdr:rowOff>
    </xdr:to>
    <xdr:cxnSp macro="">
      <xdr:nvCxnSpPr>
        <xdr:cNvPr id="26" name="Straight Arrow Connector 25">
          <a:extLst>
            <a:ext uri="{FF2B5EF4-FFF2-40B4-BE49-F238E27FC236}">
              <a16:creationId xmlns:a16="http://schemas.microsoft.com/office/drawing/2014/main" id="{30CF768A-F4A3-49FA-AF9A-AFEE1BD29677}"/>
            </a:ext>
          </a:extLst>
        </xdr:cNvPr>
        <xdr:cNvCxnSpPr/>
      </xdr:nvCxnSpPr>
      <xdr:spPr>
        <a:xfrm flipH="1" flipV="1">
          <a:off x="6051176" y="4258235"/>
          <a:ext cx="7451912" cy="126626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638735</xdr:colOff>
      <xdr:row>222</xdr:row>
      <xdr:rowOff>134470</xdr:rowOff>
    </xdr:from>
    <xdr:to>
      <xdr:col>19</xdr:col>
      <xdr:colOff>246529</xdr:colOff>
      <xdr:row>230</xdr:row>
      <xdr:rowOff>89647</xdr:rowOff>
    </xdr:to>
    <xdr:cxnSp macro="">
      <xdr:nvCxnSpPr>
        <xdr:cNvPr id="27" name="Straight Arrow Connector 26">
          <a:extLst>
            <a:ext uri="{FF2B5EF4-FFF2-40B4-BE49-F238E27FC236}">
              <a16:creationId xmlns:a16="http://schemas.microsoft.com/office/drawing/2014/main" id="{4295BFD6-9290-4946-AA17-BFDE7AF8A122}"/>
            </a:ext>
          </a:extLst>
        </xdr:cNvPr>
        <xdr:cNvCxnSpPr/>
      </xdr:nvCxnSpPr>
      <xdr:spPr>
        <a:xfrm flipH="1" flipV="1">
          <a:off x="6006353" y="4459941"/>
          <a:ext cx="7429500" cy="12102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638175</xdr:colOff>
      <xdr:row>224</xdr:row>
      <xdr:rowOff>0</xdr:rowOff>
    </xdr:from>
    <xdr:to>
      <xdr:col>9</xdr:col>
      <xdr:colOff>533400</xdr:colOff>
      <xdr:row>225</xdr:row>
      <xdr:rowOff>19050</xdr:rowOff>
    </xdr:to>
    <xdr:sp macro="" textlink="">
      <xdr:nvSpPr>
        <xdr:cNvPr id="8599023" name="Oval 13">
          <a:extLst>
            <a:ext uri="{FF2B5EF4-FFF2-40B4-BE49-F238E27FC236}">
              <a16:creationId xmlns:a16="http://schemas.microsoft.com/office/drawing/2014/main" id="{D43E3833-B03F-4379-A6C6-92BCEDB8A613}"/>
            </a:ext>
          </a:extLst>
        </xdr:cNvPr>
        <xdr:cNvSpPr>
          <a:spLocks noChangeArrowheads="1"/>
        </xdr:cNvSpPr>
      </xdr:nvSpPr>
      <xdr:spPr bwMode="auto">
        <a:xfrm>
          <a:off x="6638925" y="4772025"/>
          <a:ext cx="542925" cy="180975"/>
        </a:xfrm>
        <a:prstGeom prst="ellipse">
          <a:avLst/>
        </a:prstGeom>
        <a:noFill/>
        <a:ln w="1270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71</xdr:col>
      <xdr:colOff>38100</xdr:colOff>
      <xdr:row>0</xdr:row>
      <xdr:rowOff>0</xdr:rowOff>
    </xdr:from>
    <xdr:to>
      <xdr:col>74</xdr:col>
      <xdr:colOff>647700</xdr:colOff>
      <xdr:row>2</xdr:row>
      <xdr:rowOff>200025</xdr:rowOff>
    </xdr:to>
    <xdr:sp macro="" textlink="">
      <xdr:nvSpPr>
        <xdr:cNvPr id="8598016" name="AutoShape 2" descr="621213704@02032006-321D">
          <a:extLst>
            <a:ext uri="{FF2B5EF4-FFF2-40B4-BE49-F238E27FC236}">
              <a16:creationId xmlns:a16="http://schemas.microsoft.com/office/drawing/2014/main" id="{AE4E6FF7-AE70-4621-8801-345B25548890}"/>
            </a:ext>
          </a:extLst>
        </xdr:cNvPr>
        <xdr:cNvSpPr>
          <a:spLocks noChangeAspect="1" noChangeArrowheads="1"/>
        </xdr:cNvSpPr>
      </xdr:nvSpPr>
      <xdr:spPr bwMode="auto">
        <a:xfrm>
          <a:off x="9448800" y="0"/>
          <a:ext cx="647700"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72</xdr:col>
      <xdr:colOff>38100</xdr:colOff>
      <xdr:row>0</xdr:row>
      <xdr:rowOff>0</xdr:rowOff>
    </xdr:from>
    <xdr:to>
      <xdr:col>74</xdr:col>
      <xdr:colOff>647700</xdr:colOff>
      <xdr:row>2</xdr:row>
      <xdr:rowOff>200025</xdr:rowOff>
    </xdr:to>
    <xdr:sp macro="" textlink="">
      <xdr:nvSpPr>
        <xdr:cNvPr id="8598021" name="AutoShape 2" descr="621213704@02032006-321D">
          <a:extLst>
            <a:ext uri="{FF2B5EF4-FFF2-40B4-BE49-F238E27FC236}">
              <a16:creationId xmlns:a16="http://schemas.microsoft.com/office/drawing/2014/main" id="{BDAE6405-1822-49F2-95E1-0AD8808823BD}"/>
            </a:ext>
          </a:extLst>
        </xdr:cNvPr>
        <xdr:cNvSpPr>
          <a:spLocks noChangeAspect="1" noChangeArrowheads="1"/>
        </xdr:cNvSpPr>
      </xdr:nvSpPr>
      <xdr:spPr bwMode="auto">
        <a:xfrm>
          <a:off x="10144125" y="0"/>
          <a:ext cx="647700"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27</xdr:col>
      <xdr:colOff>133350</xdr:colOff>
      <xdr:row>8</xdr:row>
      <xdr:rowOff>104775</xdr:rowOff>
    </xdr:from>
    <xdr:to>
      <xdr:col>27</xdr:col>
      <xdr:colOff>847725</xdr:colOff>
      <xdr:row>10</xdr:row>
      <xdr:rowOff>28575</xdr:rowOff>
    </xdr:to>
    <xdr:sp macro="" textlink="">
      <xdr:nvSpPr>
        <xdr:cNvPr id="8598024" name="Oval 35">
          <a:extLst>
            <a:ext uri="{FF2B5EF4-FFF2-40B4-BE49-F238E27FC236}">
              <a16:creationId xmlns:a16="http://schemas.microsoft.com/office/drawing/2014/main" id="{0BB62741-22F0-4E38-8E5E-DA456ACA885B}"/>
            </a:ext>
          </a:extLst>
        </xdr:cNvPr>
        <xdr:cNvSpPr>
          <a:spLocks noChangeArrowheads="1"/>
        </xdr:cNvSpPr>
      </xdr:nvSpPr>
      <xdr:spPr bwMode="auto">
        <a:xfrm>
          <a:off x="5543550" y="1628775"/>
          <a:ext cx="714375" cy="200025"/>
        </a:xfrm>
        <a:prstGeom prst="ellipse">
          <a:avLst/>
        </a:prstGeom>
        <a:noFill/>
        <a:ln w="1397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23</xdr:col>
      <xdr:colOff>68915</xdr:colOff>
      <xdr:row>8</xdr:row>
      <xdr:rowOff>106456</xdr:rowOff>
    </xdr:from>
    <xdr:to>
      <xdr:col>24</xdr:col>
      <xdr:colOff>149038</xdr:colOff>
      <xdr:row>10</xdr:row>
      <xdr:rowOff>30256</xdr:rowOff>
    </xdr:to>
    <xdr:sp macro="" textlink="">
      <xdr:nvSpPr>
        <xdr:cNvPr id="8598026" name="Oval 35">
          <a:extLst>
            <a:ext uri="{FF2B5EF4-FFF2-40B4-BE49-F238E27FC236}">
              <a16:creationId xmlns:a16="http://schemas.microsoft.com/office/drawing/2014/main" id="{EAAAA825-66E6-45C8-B130-0AB181339DA8}"/>
            </a:ext>
          </a:extLst>
        </xdr:cNvPr>
        <xdr:cNvSpPr>
          <a:spLocks noChangeArrowheads="1"/>
        </xdr:cNvSpPr>
      </xdr:nvSpPr>
      <xdr:spPr bwMode="auto">
        <a:xfrm>
          <a:off x="4103033" y="1657350"/>
          <a:ext cx="743511" cy="219635"/>
        </a:xfrm>
        <a:prstGeom prst="ellipse">
          <a:avLst/>
        </a:prstGeom>
        <a:noFill/>
        <a:ln w="1397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51</xdr:col>
      <xdr:colOff>53226</xdr:colOff>
      <xdr:row>9</xdr:row>
      <xdr:rowOff>6164</xdr:rowOff>
    </xdr:from>
    <xdr:to>
      <xdr:col>52</xdr:col>
      <xdr:colOff>119904</xdr:colOff>
      <xdr:row>10</xdr:row>
      <xdr:rowOff>46505</xdr:rowOff>
    </xdr:to>
    <xdr:sp macro="" textlink="">
      <xdr:nvSpPr>
        <xdr:cNvPr id="8598027" name="Oval 35">
          <a:extLst>
            <a:ext uri="{FF2B5EF4-FFF2-40B4-BE49-F238E27FC236}">
              <a16:creationId xmlns:a16="http://schemas.microsoft.com/office/drawing/2014/main" id="{9B8CDAF6-F5C3-4027-B56B-A48BD8E425C2}"/>
            </a:ext>
          </a:extLst>
        </xdr:cNvPr>
        <xdr:cNvSpPr>
          <a:spLocks noChangeArrowheads="1"/>
        </xdr:cNvSpPr>
      </xdr:nvSpPr>
      <xdr:spPr bwMode="auto">
        <a:xfrm>
          <a:off x="8175250" y="1673599"/>
          <a:ext cx="730066" cy="219635"/>
        </a:xfrm>
        <a:prstGeom prst="ellipse">
          <a:avLst/>
        </a:prstGeom>
        <a:noFill/>
        <a:ln w="1397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76</xdr:col>
      <xdr:colOff>104215</xdr:colOff>
      <xdr:row>31</xdr:row>
      <xdr:rowOff>154641</xdr:rowOff>
    </xdr:from>
    <xdr:to>
      <xdr:col>77</xdr:col>
      <xdr:colOff>170887</xdr:colOff>
      <xdr:row>33</xdr:row>
      <xdr:rowOff>35858</xdr:rowOff>
    </xdr:to>
    <xdr:sp macro="" textlink="">
      <xdr:nvSpPr>
        <xdr:cNvPr id="8598028" name="Oval 35">
          <a:extLst>
            <a:ext uri="{FF2B5EF4-FFF2-40B4-BE49-F238E27FC236}">
              <a16:creationId xmlns:a16="http://schemas.microsoft.com/office/drawing/2014/main" id="{49745F51-6BCC-4361-84C7-F1536FF863A7}"/>
            </a:ext>
          </a:extLst>
        </xdr:cNvPr>
        <xdr:cNvSpPr>
          <a:spLocks noChangeArrowheads="1"/>
        </xdr:cNvSpPr>
      </xdr:nvSpPr>
      <xdr:spPr bwMode="auto">
        <a:xfrm>
          <a:off x="11166662" y="5730688"/>
          <a:ext cx="783849" cy="239805"/>
        </a:xfrm>
        <a:prstGeom prst="ellipse">
          <a:avLst/>
        </a:prstGeom>
        <a:noFill/>
        <a:ln w="1397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76</xdr:col>
      <xdr:colOff>165849</xdr:colOff>
      <xdr:row>41</xdr:row>
      <xdr:rowOff>177614</xdr:rowOff>
    </xdr:from>
    <xdr:to>
      <xdr:col>77</xdr:col>
      <xdr:colOff>232521</xdr:colOff>
      <xdr:row>43</xdr:row>
      <xdr:rowOff>2803</xdr:rowOff>
    </xdr:to>
    <xdr:sp macro="" textlink="">
      <xdr:nvSpPr>
        <xdr:cNvPr id="8598029" name="Oval 36">
          <a:extLst>
            <a:ext uri="{FF2B5EF4-FFF2-40B4-BE49-F238E27FC236}">
              <a16:creationId xmlns:a16="http://schemas.microsoft.com/office/drawing/2014/main" id="{53E9437A-9B4D-441D-BD41-D2B43C094201}"/>
            </a:ext>
          </a:extLst>
        </xdr:cNvPr>
        <xdr:cNvSpPr>
          <a:spLocks noChangeArrowheads="1"/>
        </xdr:cNvSpPr>
      </xdr:nvSpPr>
      <xdr:spPr bwMode="auto">
        <a:xfrm>
          <a:off x="11228296" y="7600390"/>
          <a:ext cx="783849" cy="183778"/>
        </a:xfrm>
        <a:prstGeom prst="ellipse">
          <a:avLst/>
        </a:prstGeom>
        <a:noFill/>
        <a:ln w="1397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76</xdr:col>
      <xdr:colOff>76201</xdr:colOff>
      <xdr:row>44</xdr:row>
      <xdr:rowOff>154640</xdr:rowOff>
    </xdr:from>
    <xdr:to>
      <xdr:col>77</xdr:col>
      <xdr:colOff>142873</xdr:colOff>
      <xdr:row>46</xdr:row>
      <xdr:rowOff>35858</xdr:rowOff>
    </xdr:to>
    <xdr:sp macro="" textlink="">
      <xdr:nvSpPr>
        <xdr:cNvPr id="8598030" name="Oval 37">
          <a:extLst>
            <a:ext uri="{FF2B5EF4-FFF2-40B4-BE49-F238E27FC236}">
              <a16:creationId xmlns:a16="http://schemas.microsoft.com/office/drawing/2014/main" id="{94D7F553-406D-484D-8857-458D4492B18E}"/>
            </a:ext>
          </a:extLst>
        </xdr:cNvPr>
        <xdr:cNvSpPr>
          <a:spLocks noChangeArrowheads="1"/>
        </xdr:cNvSpPr>
      </xdr:nvSpPr>
      <xdr:spPr bwMode="auto">
        <a:xfrm>
          <a:off x="11138648" y="8115299"/>
          <a:ext cx="783849" cy="239806"/>
        </a:xfrm>
        <a:prstGeom prst="ellipse">
          <a:avLst/>
        </a:prstGeom>
        <a:noFill/>
        <a:ln w="1397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76</xdr:col>
      <xdr:colOff>143997</xdr:colOff>
      <xdr:row>48</xdr:row>
      <xdr:rowOff>10085</xdr:rowOff>
    </xdr:from>
    <xdr:to>
      <xdr:col>77</xdr:col>
      <xdr:colOff>210669</xdr:colOff>
      <xdr:row>49</xdr:row>
      <xdr:rowOff>65554</xdr:rowOff>
    </xdr:to>
    <xdr:sp macro="" textlink="">
      <xdr:nvSpPr>
        <xdr:cNvPr id="8598031" name="Oval 38">
          <a:extLst>
            <a:ext uri="{FF2B5EF4-FFF2-40B4-BE49-F238E27FC236}">
              <a16:creationId xmlns:a16="http://schemas.microsoft.com/office/drawing/2014/main" id="{1B8E6CD6-1BE7-49C2-ADDF-D55CDC92A4A0}"/>
            </a:ext>
          </a:extLst>
        </xdr:cNvPr>
        <xdr:cNvSpPr>
          <a:spLocks noChangeArrowheads="1"/>
        </xdr:cNvSpPr>
      </xdr:nvSpPr>
      <xdr:spPr bwMode="auto">
        <a:xfrm>
          <a:off x="11206444" y="8687920"/>
          <a:ext cx="783849" cy="234763"/>
        </a:xfrm>
        <a:prstGeom prst="ellipse">
          <a:avLst/>
        </a:prstGeom>
        <a:noFill/>
        <a:ln w="1397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75</xdr:col>
      <xdr:colOff>178175</xdr:colOff>
      <xdr:row>8</xdr:row>
      <xdr:rowOff>113179</xdr:rowOff>
    </xdr:from>
    <xdr:to>
      <xdr:col>76</xdr:col>
      <xdr:colOff>244848</xdr:colOff>
      <xdr:row>10</xdr:row>
      <xdr:rowOff>36979</xdr:rowOff>
    </xdr:to>
    <xdr:sp macro="" textlink="">
      <xdr:nvSpPr>
        <xdr:cNvPr id="8598032" name="Oval 35">
          <a:extLst>
            <a:ext uri="{FF2B5EF4-FFF2-40B4-BE49-F238E27FC236}">
              <a16:creationId xmlns:a16="http://schemas.microsoft.com/office/drawing/2014/main" id="{129C7B88-A6BC-40DC-A7D7-9A447C7C58F0}"/>
            </a:ext>
          </a:extLst>
        </xdr:cNvPr>
        <xdr:cNvSpPr>
          <a:spLocks noChangeArrowheads="1"/>
        </xdr:cNvSpPr>
      </xdr:nvSpPr>
      <xdr:spPr bwMode="auto">
        <a:xfrm>
          <a:off x="11240622" y="1664073"/>
          <a:ext cx="783850" cy="219635"/>
        </a:xfrm>
        <a:prstGeom prst="ellipse">
          <a:avLst/>
        </a:prstGeom>
        <a:noFill/>
        <a:ln w="13970">
          <a:solidFill>
            <a:srgbClr xmlns:mc="http://schemas.openxmlformats.org/markup-compatibility/2006" xmlns:a14="http://schemas.microsoft.com/office/drawing/2010/main" val="FF0000" mc:Ignorable="a14" a14:legacySpreadsheetColorIndex="10"/>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wsDr>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_NewOffice365">
    <a:dk1>
      <a:sysClr val="windowText" lastClr="000000"/>
    </a:dk1>
    <a:lt1>
      <a:sysClr val="window" lastClr="FFFFFF"/>
    </a:lt1>
    <a:dk2>
      <a:srgbClr val="003366"/>
    </a:dk2>
    <a:lt2>
      <a:srgbClr val="C6D9E2"/>
    </a:lt2>
    <a:accent1>
      <a:srgbClr val="005AA4"/>
    </a:accent1>
    <a:accent2>
      <a:srgbClr val="D0B86A"/>
    </a:accent2>
    <a:accent3>
      <a:srgbClr val="226B5A"/>
    </a:accent3>
    <a:accent4>
      <a:srgbClr val="00A1E2"/>
    </a:accent4>
    <a:accent5>
      <a:srgbClr val="873246"/>
    </a:accent5>
    <a:accent6>
      <a:srgbClr val="6769E2"/>
    </a:accent6>
    <a:hlink>
      <a:srgbClr val="0000FF"/>
    </a:hlink>
    <a:folHlink>
      <a:srgbClr val="800080"/>
    </a:folHlink>
  </a:clrScheme>
  <a:fontScheme name="Rothschild">
    <a:majorFont>
      <a:latin typeface="Georg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rial"/>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Rothschild">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7500"/>
              <a:satMod val="137000"/>
            </a:schemeClr>
          </a:gs>
          <a:gs pos="55000">
            <a:schemeClr val="phClr">
              <a:shade val="69000"/>
              <a:satMod val="137000"/>
            </a:schemeClr>
          </a:gs>
          <a:gs pos="100000">
            <a:schemeClr val="phClr">
              <a:shade val="98000"/>
              <a:satMod val="137000"/>
            </a:schemeClr>
          </a:gs>
        </a:gsLst>
        <a:lin ang="16200000" scaled="0"/>
      </a:gradFill>
    </a:fillStyleLst>
    <a:lnStyleLst>
      <a:ln w="6350" cap="rnd" cmpd="sng" algn="ctr">
        <a:solidFill>
          <a:schemeClr val="phClr">
            <a:shade val="95000"/>
            <a:satMod val="105000"/>
          </a:schemeClr>
        </a:solidFill>
        <a:prstDash val="solid"/>
      </a:ln>
      <a:ln w="48000" cap="flat" cmpd="thickThin" algn="ctr">
        <a:solidFill>
          <a:schemeClr val="phClr"/>
        </a:solidFill>
        <a:prstDash val="solid"/>
      </a:ln>
      <a:ln w="48500" cap="flat" cmpd="thickThin" algn="ctr">
        <a:solidFill>
          <a:schemeClr val="phClr"/>
        </a:solidFill>
        <a:prstDash val="solid"/>
      </a:ln>
    </a:lnStyleLst>
    <a:effectStyleLst>
      <a:effectStyle>
        <a:effectLst>
          <a:outerShdw blurRad="45000" dist="25000" dir="5400000" rotWithShape="0">
            <a:srgbClr val="000000">
              <a:alpha val="38000"/>
            </a:srgbClr>
          </a:outerShdw>
        </a:effectLst>
      </a:effectStyle>
      <a:effectStyle>
        <a:effectLst>
          <a:outerShdw blurRad="39000" dist="25400" dir="5400000" rotWithShape="0">
            <a:srgbClr val="000000">
              <a:alpha val="38000"/>
            </a:srgbClr>
          </a:outerShdw>
        </a:effectLst>
      </a:effectStyle>
      <a:effectStyle>
        <a:effectLst>
          <a:outerShdw blurRad="39000" dist="25400" dir="5400000" rotWithShape="0">
            <a:srgbClr val="000000">
              <a:alpha val="38000"/>
            </a:srgbClr>
          </a:outerShdw>
        </a:effectLst>
        <a:scene3d>
          <a:camera prst="orthographicFront">
            <a:rot lat="0" lon="0" rev="0"/>
          </a:camera>
          <a:lightRig rig="threePt" dir="t">
            <a:rot lat="0" lon="0" rev="1800000"/>
          </a:lightRig>
        </a:scene3d>
        <a:sp3d prstMaterial="matte">
          <a:bevelT h="20000"/>
        </a:sp3d>
      </a:effectStyle>
    </a:effectStyleLst>
    <a:bgFillStyleLst>
      <a:solidFill>
        <a:schemeClr val="phClr"/>
      </a:solidFill>
      <a:gradFill rotWithShape="1">
        <a:gsLst>
          <a:gs pos="0">
            <a:schemeClr val="phClr">
              <a:tint val="48000"/>
              <a:satMod val="300000"/>
            </a:schemeClr>
          </a:gs>
          <a:gs pos="12000">
            <a:schemeClr val="phClr">
              <a:tint val="48000"/>
              <a:satMod val="300000"/>
            </a:schemeClr>
          </a:gs>
          <a:gs pos="20000">
            <a:schemeClr val="phClr">
              <a:tint val="49000"/>
              <a:satMod val="300000"/>
            </a:schemeClr>
          </a:gs>
          <a:gs pos="100000">
            <a:schemeClr val="phClr">
              <a:shade val="30000"/>
            </a:schemeClr>
          </a:gs>
        </a:gsLst>
        <a:path path="circle">
          <a:fillToRect l="10000" t="-25000" r="10000" b="125000"/>
        </a:path>
      </a:gradFill>
      <a:blipFill>
        <a:blip xmlns:r="http://schemas.openxmlformats.org/officeDocument/2006/relationships">
          <a:duotone>
            <a:schemeClr val="phClr">
              <a:shade val="75000"/>
              <a:satMod val="105000"/>
            </a:schemeClr>
            <a:schemeClr val="phClr">
              <a:tint val="95000"/>
              <a:satMod val="105000"/>
            </a:schemeClr>
          </a:duotone>
        </a:blip>
        <a:tile tx="0" ty="0" sx="38000" sy="38000" flip="none" algn="tl"/>
      </a:blipFill>
    </a:bgFillStyleLst>
  </a:fmtScheme>
</a:themeOverrid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CAFFD-F0AD-44E0-9E8B-414E130CF9A2}">
  <dimension ref="B2:B9"/>
  <sheetViews>
    <sheetView showGridLines="0" showRowColHeaders="0" tabSelected="1" workbookViewId="0">
      <selection activeCell="Z1" sqref="Z1"/>
    </sheetView>
  </sheetViews>
  <sheetFormatPr defaultRowHeight="13.8"/>
  <cols>
    <col min="1" max="1" width="8.88671875" style="1225"/>
    <col min="2" max="2" width="101.109375" style="1225" customWidth="1"/>
    <col min="3" max="16384" width="8.88671875" style="1225"/>
  </cols>
  <sheetData>
    <row r="2" spans="2:2" ht="52.2">
      <c r="B2" s="1224" t="s">
        <v>1893</v>
      </c>
    </row>
    <row r="3" spans="2:2" ht="17.399999999999999">
      <c r="B3" s="1224"/>
    </row>
    <row r="4" spans="2:2" ht="17.399999999999999">
      <c r="B4" s="1224"/>
    </row>
    <row r="5" spans="2:2" ht="17.399999999999999">
      <c r="B5" s="1224" t="s">
        <v>1894</v>
      </c>
    </row>
    <row r="6" spans="2:2" ht="17.399999999999999">
      <c r="B6" s="1224" t="s">
        <v>1895</v>
      </c>
    </row>
    <row r="7" spans="2:2" ht="17.399999999999999">
      <c r="B7" s="1224" t="s">
        <v>1896</v>
      </c>
    </row>
    <row r="8" spans="2:2" ht="17.399999999999999">
      <c r="B8" s="1224"/>
    </row>
    <row r="9" spans="2:2" ht="34.799999999999997">
      <c r="B9" s="1226" t="s">
        <v>1897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9B35E-AC00-4AE9-89C2-9702514AE47B}">
  <dimension ref="A1:H440"/>
  <sheetViews>
    <sheetView showGridLines="0" workbookViewId="0">
      <selection activeCell="Z1" sqref="Z1"/>
    </sheetView>
  </sheetViews>
  <sheetFormatPr defaultRowHeight="13.8"/>
  <sheetData>
    <row r="1" spans="1:8" ht="23.25" customHeight="1">
      <c r="A1" s="1218"/>
      <c r="B1" s="1219"/>
      <c r="C1" s="1219"/>
      <c r="D1" s="1219"/>
      <c r="E1" s="1219"/>
      <c r="F1" s="1219"/>
      <c r="G1" s="1219"/>
      <c r="H1" s="1219"/>
    </row>
    <row r="2" spans="1:8">
      <c r="A2" s="1216" t="s">
        <v>1491</v>
      </c>
      <c r="B2" s="1219"/>
      <c r="C2" s="1219"/>
      <c r="D2" s="1219"/>
      <c r="E2" s="1219"/>
      <c r="F2" s="1219"/>
      <c r="G2" s="1219"/>
      <c r="H2" s="1219"/>
    </row>
    <row r="3" spans="1:8">
      <c r="A3" s="1216" t="s">
        <v>1492</v>
      </c>
      <c r="B3" s="1219"/>
      <c r="C3" s="1219"/>
      <c r="D3" s="1219"/>
      <c r="E3" s="1219"/>
      <c r="F3" s="1219"/>
      <c r="G3" s="1219"/>
      <c r="H3" s="1219"/>
    </row>
    <row r="4" spans="1:8">
      <c r="A4" s="1216" t="s">
        <v>1493</v>
      </c>
      <c r="B4" s="1219"/>
      <c r="C4" s="1219"/>
      <c r="D4" s="1219"/>
      <c r="E4" s="1219"/>
      <c r="F4" s="1219"/>
      <c r="G4" s="1219"/>
      <c r="H4" s="1219"/>
    </row>
    <row r="5" spans="1:8">
      <c r="A5" s="1216" t="s">
        <v>1494</v>
      </c>
      <c r="B5" s="1219"/>
      <c r="C5" s="1219"/>
      <c r="D5" s="1219"/>
      <c r="E5" s="1219"/>
      <c r="F5" s="1219"/>
      <c r="G5" s="1219"/>
      <c r="H5" s="1219"/>
    </row>
    <row r="6" spans="1:8">
      <c r="A6" s="1216"/>
      <c r="B6" s="1219"/>
      <c r="C6" s="1219"/>
      <c r="D6" s="1219"/>
      <c r="E6" s="1219"/>
      <c r="F6" s="1219"/>
      <c r="G6" s="1219"/>
      <c r="H6" s="1219"/>
    </row>
    <row r="7" spans="1:8">
      <c r="A7" s="1216" t="s">
        <v>1495</v>
      </c>
      <c r="B7" s="1219"/>
      <c r="C7" s="1219"/>
      <c r="D7" s="1219"/>
      <c r="E7" s="1219"/>
      <c r="F7" s="1219"/>
      <c r="G7" s="1219"/>
      <c r="H7" s="1219"/>
    </row>
    <row r="8" spans="1:8">
      <c r="A8" s="1216" t="s">
        <v>1496</v>
      </c>
      <c r="B8" s="1219"/>
      <c r="C8" s="1219"/>
      <c r="D8" s="1219"/>
      <c r="E8" s="1219"/>
      <c r="F8" s="1219"/>
      <c r="G8" s="1219"/>
      <c r="H8" s="1219"/>
    </row>
    <row r="9" spans="1:8">
      <c r="A9" s="1216"/>
      <c r="B9" s="1219"/>
      <c r="C9" s="1219"/>
      <c r="D9" s="1219"/>
      <c r="E9" s="1219"/>
      <c r="F9" s="1219"/>
      <c r="G9" s="1219"/>
      <c r="H9" s="1219"/>
    </row>
    <row r="10" spans="1:8">
      <c r="A10" s="1216" t="s">
        <v>1497</v>
      </c>
      <c r="B10" s="1219"/>
      <c r="C10" s="1219"/>
      <c r="D10" s="1219"/>
      <c r="E10" s="1219"/>
      <c r="F10" s="1219"/>
      <c r="G10" s="1219"/>
      <c r="H10" s="1219"/>
    </row>
    <row r="11" spans="1:8">
      <c r="A11" s="1216" t="s">
        <v>1498</v>
      </c>
      <c r="B11" s="1219"/>
      <c r="C11" s="1219"/>
      <c r="D11" s="1219"/>
      <c r="E11" s="1219"/>
      <c r="F11" s="1219"/>
      <c r="G11" s="1219"/>
      <c r="H11" s="1219"/>
    </row>
    <row r="12" spans="1:8">
      <c r="A12" s="1216" t="s">
        <v>1499</v>
      </c>
      <c r="B12" s="1219"/>
      <c r="C12" s="1219"/>
      <c r="D12" s="1219"/>
      <c r="E12" s="1219"/>
      <c r="F12" s="1219"/>
      <c r="G12" s="1219"/>
      <c r="H12" s="1219"/>
    </row>
    <row r="13" spans="1:8">
      <c r="A13" s="1216" t="s">
        <v>1500</v>
      </c>
      <c r="B13" s="1219"/>
      <c r="C13" s="1219"/>
      <c r="D13" s="1219"/>
      <c r="E13" s="1219"/>
      <c r="F13" s="1219"/>
      <c r="G13" s="1219"/>
      <c r="H13" s="1219"/>
    </row>
    <row r="14" spans="1:8">
      <c r="A14" s="1216" t="s">
        <v>1501</v>
      </c>
      <c r="B14" s="1219"/>
      <c r="C14" s="1219"/>
      <c r="D14" s="1219"/>
      <c r="E14" s="1219"/>
      <c r="F14" s="1219"/>
      <c r="G14" s="1219"/>
      <c r="H14" s="1219"/>
    </row>
    <row r="15" spans="1:8">
      <c r="A15" s="1216" t="s">
        <v>1502</v>
      </c>
      <c r="B15" s="1219"/>
      <c r="C15" s="1219"/>
      <c r="D15" s="1219"/>
      <c r="E15" s="1219"/>
      <c r="F15" s="1219"/>
      <c r="G15" s="1219"/>
      <c r="H15" s="1219"/>
    </row>
    <row r="16" spans="1:8">
      <c r="A16" s="1216"/>
      <c r="B16" s="1219"/>
      <c r="C16" s="1219"/>
      <c r="D16" s="1219"/>
      <c r="E16" s="1219"/>
      <c r="F16" s="1219"/>
      <c r="G16" s="1219"/>
      <c r="H16" s="1219"/>
    </row>
    <row r="17" spans="1:8">
      <c r="A17" s="1216" t="s">
        <v>1503</v>
      </c>
      <c r="B17" s="1219"/>
      <c r="C17" s="1219"/>
      <c r="D17" s="1219"/>
      <c r="E17" s="1219"/>
      <c r="F17" s="1219"/>
      <c r="G17" s="1219"/>
      <c r="H17" s="1219"/>
    </row>
    <row r="18" spans="1:8">
      <c r="A18" s="1216"/>
      <c r="B18" s="1219"/>
      <c r="C18" s="1219"/>
      <c r="D18" s="1219"/>
      <c r="E18" s="1219"/>
      <c r="F18" s="1219"/>
      <c r="G18" s="1219"/>
      <c r="H18" s="1219"/>
    </row>
    <row r="19" spans="1:8">
      <c r="A19" s="1216" t="s">
        <v>1504</v>
      </c>
      <c r="B19" s="1219"/>
      <c r="C19" s="1219"/>
      <c r="D19" s="1219"/>
      <c r="E19" s="1219"/>
      <c r="F19" s="1219"/>
      <c r="G19" s="1219"/>
      <c r="H19" s="1219"/>
    </row>
    <row r="20" spans="1:8">
      <c r="A20" s="1216"/>
      <c r="B20" s="1219"/>
      <c r="C20" s="1219"/>
      <c r="D20" s="1219"/>
      <c r="E20" s="1219"/>
      <c r="F20" s="1219"/>
      <c r="G20" s="1219"/>
      <c r="H20" s="1219"/>
    </row>
    <row r="21" spans="1:8">
      <c r="A21" s="1217" t="s">
        <v>1505</v>
      </c>
      <c r="B21" s="1219"/>
      <c r="C21" s="1219"/>
      <c r="D21" s="1219"/>
      <c r="E21" s="1219"/>
      <c r="F21" s="1219"/>
      <c r="G21" s="1219"/>
      <c r="H21" s="1219"/>
    </row>
    <row r="22" spans="1:8">
      <c r="A22" s="1219"/>
      <c r="B22" s="1219"/>
      <c r="C22" s="1219"/>
      <c r="D22" s="1219"/>
      <c r="E22" s="1219"/>
      <c r="F22" s="1219"/>
      <c r="G22" s="1219"/>
      <c r="H22" s="1219"/>
    </row>
    <row r="23" spans="1:8">
      <c r="A23" s="1219" t="s">
        <v>1506</v>
      </c>
      <c r="B23" s="1219"/>
      <c r="C23" s="1219"/>
      <c r="D23" s="1219"/>
      <c r="E23" s="1219"/>
      <c r="F23" s="1219"/>
      <c r="G23" s="1219"/>
      <c r="H23" s="1219"/>
    </row>
    <row r="24" spans="1:8">
      <c r="A24" s="1219" t="s">
        <v>1507</v>
      </c>
      <c r="B24" s="1219"/>
      <c r="C24" s="1219"/>
      <c r="D24" s="1219"/>
      <c r="E24" s="1219"/>
      <c r="F24" s="1219"/>
      <c r="G24" s="1219"/>
      <c r="H24" s="1219"/>
    </row>
    <row r="25" spans="1:8">
      <c r="A25" s="1219" t="s">
        <v>1508</v>
      </c>
      <c r="B25" s="1219"/>
      <c r="C25" s="1219"/>
      <c r="D25" s="1219"/>
      <c r="E25" s="1219"/>
      <c r="F25" s="1219"/>
      <c r="G25" s="1219"/>
      <c r="H25" s="1219"/>
    </row>
    <row r="26" spans="1:8">
      <c r="A26" s="1219" t="s">
        <v>1509</v>
      </c>
      <c r="B26" s="1219"/>
      <c r="C26" s="1219"/>
      <c r="D26" s="1219"/>
      <c r="E26" s="1219"/>
      <c r="F26" s="1219"/>
      <c r="G26" s="1219"/>
      <c r="H26" s="1219"/>
    </row>
    <row r="27" spans="1:8">
      <c r="A27" s="1219"/>
      <c r="B27" s="1219"/>
      <c r="C27" s="1219"/>
      <c r="D27" s="1219"/>
      <c r="E27" s="1219"/>
      <c r="F27" s="1219"/>
      <c r="G27" s="1219"/>
      <c r="H27" s="1219"/>
    </row>
    <row r="28" spans="1:8">
      <c r="A28" s="1219" t="s">
        <v>1510</v>
      </c>
      <c r="B28" s="1219"/>
      <c r="C28" s="1219"/>
      <c r="D28" s="1219"/>
      <c r="E28" s="1219"/>
      <c r="F28" s="1219"/>
      <c r="G28" s="1219"/>
      <c r="H28" s="1219"/>
    </row>
    <row r="29" spans="1:8">
      <c r="A29" s="1219" t="s">
        <v>1511</v>
      </c>
      <c r="B29" s="1219"/>
      <c r="C29" s="1219"/>
      <c r="D29" s="1219"/>
      <c r="E29" s="1219"/>
      <c r="F29" s="1219"/>
      <c r="G29" s="1219"/>
      <c r="H29" s="1219"/>
    </row>
    <row r="30" spans="1:8">
      <c r="A30" s="1219" t="s">
        <v>1512</v>
      </c>
      <c r="B30" s="1219"/>
      <c r="C30" s="1219"/>
      <c r="D30" s="1219"/>
      <c r="E30" s="1219"/>
      <c r="F30" s="1219"/>
      <c r="G30" s="1219"/>
      <c r="H30" s="1219"/>
    </row>
    <row r="31" spans="1:8">
      <c r="A31" s="1219" t="s">
        <v>1513</v>
      </c>
      <c r="B31" s="1219"/>
      <c r="C31" s="1219"/>
      <c r="D31" s="1219"/>
      <c r="E31" s="1219"/>
      <c r="F31" s="1219"/>
      <c r="G31" s="1219"/>
      <c r="H31" s="1219"/>
    </row>
    <row r="32" spans="1:8">
      <c r="A32" s="1219" t="s">
        <v>1514</v>
      </c>
      <c r="B32" s="1219"/>
      <c r="C32" s="1219"/>
      <c r="D32" s="1219"/>
      <c r="E32" s="1219"/>
      <c r="F32" s="1219"/>
      <c r="G32" s="1219"/>
      <c r="H32" s="1219"/>
    </row>
    <row r="33" spans="1:8">
      <c r="A33" s="1219" t="s">
        <v>1515</v>
      </c>
      <c r="B33" s="1219"/>
      <c r="C33" s="1219"/>
      <c r="D33" s="1219"/>
      <c r="E33" s="1219"/>
      <c r="F33" s="1219"/>
      <c r="G33" s="1219"/>
      <c r="H33" s="1219"/>
    </row>
    <row r="34" spans="1:8">
      <c r="A34" s="1219" t="s">
        <v>1516</v>
      </c>
      <c r="B34" s="1219"/>
      <c r="C34" s="1219"/>
      <c r="D34" s="1219"/>
      <c r="E34" s="1219"/>
      <c r="F34" s="1219"/>
      <c r="G34" s="1219"/>
      <c r="H34" s="1219"/>
    </row>
    <row r="35" spans="1:8">
      <c r="A35" s="1219" t="s">
        <v>1517</v>
      </c>
      <c r="B35" s="1219"/>
      <c r="C35" s="1219"/>
      <c r="D35" s="1219"/>
      <c r="E35" s="1219"/>
      <c r="F35" s="1219"/>
      <c r="G35" s="1219"/>
      <c r="H35" s="1219"/>
    </row>
    <row r="36" spans="1:8">
      <c r="A36" s="1219" t="s">
        <v>1518</v>
      </c>
      <c r="B36" s="1219"/>
      <c r="C36" s="1219"/>
      <c r="D36" s="1219"/>
      <c r="E36" s="1219"/>
      <c r="F36" s="1219"/>
      <c r="G36" s="1219"/>
      <c r="H36" s="1219"/>
    </row>
    <row r="37" spans="1:8">
      <c r="A37" s="1219" t="s">
        <v>1519</v>
      </c>
      <c r="B37" s="1219"/>
      <c r="C37" s="1219"/>
      <c r="D37" s="1219"/>
      <c r="E37" s="1219"/>
      <c r="F37" s="1219"/>
      <c r="G37" s="1219"/>
      <c r="H37" s="1219"/>
    </row>
    <row r="38" spans="1:8">
      <c r="A38" s="1219" t="s">
        <v>1520</v>
      </c>
      <c r="B38" s="1219"/>
      <c r="C38" s="1219"/>
      <c r="D38" s="1219"/>
      <c r="E38" s="1219"/>
      <c r="F38" s="1219"/>
      <c r="G38" s="1219"/>
      <c r="H38" s="1219"/>
    </row>
    <row r="39" spans="1:8">
      <c r="A39" s="1219" t="s">
        <v>1521</v>
      </c>
      <c r="B39" s="1219"/>
      <c r="C39" s="1219"/>
      <c r="D39" s="1219"/>
      <c r="E39" s="1219"/>
      <c r="F39" s="1219"/>
      <c r="G39" s="1219"/>
      <c r="H39" s="1219"/>
    </row>
    <row r="40" spans="1:8">
      <c r="A40" s="1219" t="s">
        <v>1522</v>
      </c>
      <c r="B40" s="1219"/>
      <c r="C40" s="1219"/>
      <c r="D40" s="1219"/>
      <c r="E40" s="1219"/>
      <c r="F40" s="1219"/>
      <c r="G40" s="1219"/>
      <c r="H40" s="1219"/>
    </row>
    <row r="41" spans="1:8">
      <c r="A41" s="1219" t="s">
        <v>1523</v>
      </c>
      <c r="B41" s="1219"/>
      <c r="C41" s="1219"/>
      <c r="D41" s="1219"/>
      <c r="E41" s="1219"/>
      <c r="F41" s="1219"/>
      <c r="G41" s="1219"/>
      <c r="H41" s="1219"/>
    </row>
    <row r="42" spans="1:8">
      <c r="A42" s="1219" t="s">
        <v>1524</v>
      </c>
      <c r="B42" s="1219"/>
      <c r="C42" s="1219"/>
      <c r="D42" s="1219"/>
      <c r="E42" s="1219"/>
      <c r="F42" s="1219"/>
      <c r="G42" s="1219"/>
      <c r="H42" s="1219"/>
    </row>
    <row r="43" spans="1:8">
      <c r="A43" s="1219" t="s">
        <v>1525</v>
      </c>
      <c r="B43" s="1219"/>
      <c r="C43" s="1219"/>
      <c r="D43" s="1219"/>
      <c r="E43" s="1219"/>
      <c r="F43" s="1219"/>
      <c r="G43" s="1219"/>
      <c r="H43" s="1219"/>
    </row>
    <row r="44" spans="1:8">
      <c r="A44" s="1219" t="s">
        <v>1526</v>
      </c>
      <c r="B44" s="1219"/>
      <c r="C44" s="1219"/>
      <c r="D44" s="1219"/>
      <c r="E44" s="1219"/>
      <c r="F44" s="1219"/>
      <c r="G44" s="1219"/>
      <c r="H44" s="1219"/>
    </row>
    <row r="45" spans="1:8">
      <c r="A45" s="1219" t="s">
        <v>1527</v>
      </c>
      <c r="B45" s="1219"/>
      <c r="C45" s="1219"/>
      <c r="D45" s="1219"/>
      <c r="E45" s="1219"/>
      <c r="F45" s="1219"/>
      <c r="G45" s="1219"/>
      <c r="H45" s="1219"/>
    </row>
    <row r="46" spans="1:8">
      <c r="A46" s="1219" t="s">
        <v>1528</v>
      </c>
      <c r="B46" s="1219"/>
      <c r="C46" s="1219"/>
      <c r="D46" s="1219"/>
      <c r="E46" s="1219"/>
      <c r="F46" s="1219"/>
      <c r="G46" s="1219"/>
      <c r="H46" s="1219"/>
    </row>
    <row r="47" spans="1:8">
      <c r="A47" s="1219" t="s">
        <v>1529</v>
      </c>
      <c r="B47" s="1219"/>
      <c r="C47" s="1219"/>
      <c r="D47" s="1219"/>
      <c r="E47" s="1219"/>
      <c r="F47" s="1219"/>
      <c r="G47" s="1219"/>
      <c r="H47" s="1219"/>
    </row>
    <row r="48" spans="1:8">
      <c r="A48" s="1219" t="s">
        <v>1530</v>
      </c>
      <c r="B48" s="1219"/>
      <c r="C48" s="1219"/>
      <c r="D48" s="1219"/>
      <c r="E48" s="1219"/>
      <c r="F48" s="1219"/>
      <c r="G48" s="1219"/>
      <c r="H48" s="1219"/>
    </row>
    <row r="49" spans="1:8">
      <c r="A49" s="1219" t="s">
        <v>1531</v>
      </c>
      <c r="B49" s="1219"/>
      <c r="C49" s="1219"/>
      <c r="D49" s="1219"/>
      <c r="E49" s="1219"/>
      <c r="F49" s="1219"/>
      <c r="G49" s="1219"/>
      <c r="H49" s="1219"/>
    </row>
    <row r="50" spans="1:8">
      <c r="A50" s="1219" t="s">
        <v>1532</v>
      </c>
      <c r="B50" s="1219"/>
      <c r="C50" s="1219"/>
      <c r="D50" s="1219"/>
      <c r="E50" s="1219"/>
      <c r="F50" s="1219"/>
      <c r="G50" s="1219"/>
      <c r="H50" s="1219"/>
    </row>
    <row r="51" spans="1:8">
      <c r="A51" s="1219"/>
      <c r="B51" s="1219"/>
      <c r="C51" s="1219"/>
      <c r="D51" s="1219"/>
      <c r="E51" s="1219"/>
      <c r="F51" s="1219"/>
      <c r="G51" s="1219"/>
      <c r="H51" s="1219"/>
    </row>
    <row r="52" spans="1:8">
      <c r="A52" s="1219" t="s">
        <v>1533</v>
      </c>
      <c r="B52" s="1219"/>
      <c r="C52" s="1219"/>
      <c r="D52" s="1219"/>
      <c r="E52" s="1219"/>
      <c r="F52" s="1219"/>
      <c r="G52" s="1219"/>
      <c r="H52" s="1219"/>
    </row>
    <row r="53" spans="1:8">
      <c r="A53" s="1219" t="s">
        <v>1534</v>
      </c>
      <c r="B53" s="1219"/>
      <c r="C53" s="1219"/>
      <c r="D53" s="1219"/>
      <c r="E53" s="1219"/>
      <c r="F53" s="1219"/>
      <c r="G53" s="1219"/>
      <c r="H53" s="1219"/>
    </row>
    <row r="54" spans="1:8">
      <c r="A54" s="1219" t="s">
        <v>1535</v>
      </c>
      <c r="B54" s="1219"/>
      <c r="C54" s="1219"/>
      <c r="D54" s="1219"/>
      <c r="E54" s="1219"/>
      <c r="F54" s="1219"/>
      <c r="G54" s="1219"/>
      <c r="H54" s="1219"/>
    </row>
    <row r="55" spans="1:8">
      <c r="A55" s="1219" t="s">
        <v>1536</v>
      </c>
      <c r="B55" s="1219"/>
      <c r="C55" s="1219"/>
      <c r="D55" s="1219"/>
      <c r="E55" s="1219"/>
      <c r="F55" s="1219"/>
      <c r="G55" s="1219"/>
      <c r="H55" s="1219"/>
    </row>
    <row r="56" spans="1:8">
      <c r="A56" s="1219"/>
      <c r="B56" s="1219"/>
      <c r="C56" s="1219"/>
      <c r="D56" s="1219"/>
      <c r="E56" s="1219"/>
      <c r="F56" s="1219"/>
      <c r="G56" s="1219"/>
      <c r="H56" s="1219"/>
    </row>
    <row r="57" spans="1:8">
      <c r="A57" s="1219" t="s">
        <v>1537</v>
      </c>
      <c r="B57" s="1219"/>
      <c r="C57" s="1219"/>
      <c r="D57" s="1219"/>
      <c r="E57" s="1219"/>
      <c r="F57" s="1219"/>
      <c r="G57" s="1219"/>
      <c r="H57" s="1219"/>
    </row>
    <row r="58" spans="1:8">
      <c r="A58" s="1219" t="s">
        <v>1538</v>
      </c>
      <c r="B58" s="1219"/>
      <c r="C58" s="1219"/>
      <c r="D58" s="1219"/>
      <c r="E58" s="1219"/>
      <c r="F58" s="1219"/>
      <c r="G58" s="1219"/>
      <c r="H58" s="1219"/>
    </row>
    <row r="59" spans="1:8">
      <c r="A59" s="1219" t="s">
        <v>1539</v>
      </c>
      <c r="B59" s="1219"/>
      <c r="C59" s="1219"/>
      <c r="D59" s="1219"/>
      <c r="E59" s="1219"/>
      <c r="F59" s="1219"/>
      <c r="G59" s="1219"/>
      <c r="H59" s="1219"/>
    </row>
    <row r="60" spans="1:8">
      <c r="A60" s="1219" t="s">
        <v>1540</v>
      </c>
      <c r="B60" s="1219"/>
      <c r="C60" s="1219"/>
      <c r="D60" s="1219"/>
      <c r="E60" s="1219"/>
      <c r="F60" s="1219"/>
      <c r="G60" s="1219"/>
      <c r="H60" s="1219"/>
    </row>
    <row r="61" spans="1:8">
      <c r="A61" s="1219" t="s">
        <v>1541</v>
      </c>
      <c r="B61" s="1219"/>
      <c r="C61" s="1219"/>
      <c r="D61" s="1219"/>
      <c r="E61" s="1219"/>
      <c r="F61" s="1219"/>
      <c r="G61" s="1219"/>
      <c r="H61" s="1219"/>
    </row>
    <row r="62" spans="1:8">
      <c r="A62" s="1219" t="s">
        <v>1542</v>
      </c>
      <c r="B62" s="1219"/>
      <c r="C62" s="1219"/>
      <c r="D62" s="1219"/>
      <c r="E62" s="1219"/>
      <c r="F62" s="1219"/>
      <c r="G62" s="1219"/>
      <c r="H62" s="1219"/>
    </row>
    <row r="63" spans="1:8">
      <c r="A63" s="1219"/>
      <c r="B63" s="1219"/>
      <c r="C63" s="1219"/>
      <c r="D63" s="1219"/>
      <c r="E63" s="1219"/>
      <c r="F63" s="1219"/>
      <c r="G63" s="1219"/>
      <c r="H63" s="1219"/>
    </row>
    <row r="64" spans="1:8" ht="15.6">
      <c r="A64" s="1220" t="s">
        <v>986</v>
      </c>
      <c r="B64" s="1219"/>
      <c r="C64" s="1219"/>
      <c r="D64" s="1219"/>
      <c r="E64" s="1219"/>
      <c r="F64" s="1219"/>
      <c r="G64" s="1219"/>
      <c r="H64" s="1219"/>
    </row>
    <row r="65" spans="1:8">
      <c r="A65" s="1219"/>
      <c r="B65" s="1219"/>
      <c r="C65" s="1219"/>
      <c r="D65" s="1219"/>
      <c r="E65" s="1219"/>
      <c r="F65" s="1219"/>
      <c r="G65" s="1219"/>
      <c r="H65" s="1219"/>
    </row>
    <row r="66" spans="1:8">
      <c r="A66" s="1219" t="s">
        <v>1543</v>
      </c>
      <c r="B66" s="1219"/>
      <c r="C66" s="1219"/>
      <c r="D66" s="1219"/>
      <c r="E66" s="1219"/>
      <c r="F66" s="1219"/>
      <c r="G66" s="1219"/>
      <c r="H66" s="1219"/>
    </row>
    <row r="67" spans="1:8">
      <c r="A67" s="1219" t="s">
        <v>1544</v>
      </c>
      <c r="B67" s="1219"/>
      <c r="C67" s="1219"/>
      <c r="D67" s="1219"/>
      <c r="E67" s="1219"/>
      <c r="F67" s="1219"/>
      <c r="G67" s="1219"/>
      <c r="H67" s="1219"/>
    </row>
    <row r="68" spans="1:8">
      <c r="A68" s="1219" t="s">
        <v>1545</v>
      </c>
      <c r="B68" s="1219"/>
      <c r="C68" s="1219"/>
      <c r="D68" s="1219"/>
      <c r="E68" s="1219"/>
      <c r="F68" s="1219"/>
      <c r="G68" s="1219"/>
      <c r="H68" s="1219"/>
    </row>
    <row r="69" spans="1:8">
      <c r="A69" s="1219" t="s">
        <v>1546</v>
      </c>
      <c r="B69" s="1219"/>
      <c r="C69" s="1219"/>
      <c r="D69" s="1219"/>
      <c r="E69" s="1219"/>
      <c r="F69" s="1219"/>
      <c r="G69" s="1219"/>
      <c r="H69" s="1219"/>
    </row>
    <row r="70" spans="1:8">
      <c r="A70" s="1219"/>
      <c r="B70" s="1219"/>
      <c r="C70" s="1219"/>
      <c r="D70" s="1219"/>
      <c r="E70" s="1219"/>
      <c r="F70" s="1219"/>
      <c r="G70" s="1219"/>
      <c r="H70" s="1219"/>
    </row>
    <row r="71" spans="1:8">
      <c r="A71" s="1219" t="s">
        <v>583</v>
      </c>
      <c r="B71" s="1219"/>
      <c r="C71" s="1219"/>
      <c r="D71" s="1219"/>
      <c r="E71" s="1219"/>
      <c r="F71" s="1219"/>
      <c r="G71" s="1219"/>
      <c r="H71" s="1219"/>
    </row>
    <row r="72" spans="1:8">
      <c r="A72" s="1219"/>
      <c r="B72" s="1219"/>
      <c r="C72" s="1219"/>
      <c r="D72" s="1219"/>
      <c r="E72" s="1219"/>
      <c r="F72" s="1219"/>
      <c r="G72" s="1219"/>
      <c r="H72" s="1219"/>
    </row>
    <row r="73" spans="1:8" ht="15.6">
      <c r="A73" s="1220" t="s">
        <v>987</v>
      </c>
      <c r="B73" s="1219"/>
      <c r="C73" s="1219"/>
      <c r="D73" s="1219"/>
      <c r="E73" s="1219"/>
      <c r="F73" s="1219"/>
      <c r="G73" s="1219"/>
      <c r="H73" s="1219"/>
    </row>
    <row r="74" spans="1:8">
      <c r="A74" s="1219"/>
      <c r="B74" s="1219"/>
      <c r="C74" s="1219"/>
      <c r="D74" s="1219"/>
      <c r="E74" s="1219"/>
      <c r="F74" s="1219"/>
      <c r="G74" s="1219"/>
      <c r="H74" s="1219"/>
    </row>
    <row r="75" spans="1:8">
      <c r="A75" s="1219" t="s">
        <v>1547</v>
      </c>
      <c r="B75" s="1219"/>
      <c r="C75" s="1219"/>
      <c r="D75" s="1219"/>
      <c r="E75" s="1219"/>
      <c r="F75" s="1219"/>
      <c r="G75" s="1219"/>
      <c r="H75" s="1219"/>
    </row>
    <row r="76" spans="1:8">
      <c r="A76" s="1219" t="s">
        <v>1548</v>
      </c>
      <c r="B76" s="1219"/>
      <c r="C76" s="1219"/>
      <c r="D76" s="1219"/>
      <c r="E76" s="1219"/>
      <c r="F76" s="1219"/>
      <c r="G76" s="1219"/>
      <c r="H76" s="1219"/>
    </row>
    <row r="77" spans="1:8">
      <c r="A77" s="1219" t="s">
        <v>1549</v>
      </c>
      <c r="B77" s="1219"/>
      <c r="C77" s="1219"/>
      <c r="D77" s="1219"/>
      <c r="E77" s="1219"/>
      <c r="F77" s="1219"/>
      <c r="G77" s="1219"/>
      <c r="H77" s="1219"/>
    </row>
    <row r="78" spans="1:8">
      <c r="A78" s="1219"/>
      <c r="B78" s="1219"/>
      <c r="C78" s="1219"/>
      <c r="D78" s="1219"/>
      <c r="E78" s="1219"/>
      <c r="F78" s="1219"/>
      <c r="G78" s="1219"/>
      <c r="H78" s="1219"/>
    </row>
    <row r="79" spans="1:8" ht="15.6">
      <c r="A79" s="1220" t="s">
        <v>1550</v>
      </c>
      <c r="B79" s="1219"/>
      <c r="C79" s="1219"/>
      <c r="D79" s="1219"/>
      <c r="E79" s="1219"/>
      <c r="F79" s="1219"/>
      <c r="G79" s="1219"/>
      <c r="H79" s="1219"/>
    </row>
    <row r="80" spans="1:8">
      <c r="A80" s="1219"/>
      <c r="B80" s="1219"/>
      <c r="C80" s="1219"/>
      <c r="D80" s="1219"/>
      <c r="E80" s="1219"/>
      <c r="F80" s="1219"/>
      <c r="G80" s="1219"/>
      <c r="H80" s="1219"/>
    </row>
    <row r="81" spans="1:8">
      <c r="A81" s="1219" t="s">
        <v>1551</v>
      </c>
      <c r="B81" s="1219"/>
      <c r="C81" s="1219"/>
      <c r="D81" s="1219"/>
      <c r="E81" s="1219"/>
      <c r="F81" s="1219"/>
      <c r="G81" s="1219"/>
      <c r="H81" s="1219"/>
    </row>
    <row r="82" spans="1:8">
      <c r="A82" s="1219" t="s">
        <v>1552</v>
      </c>
      <c r="B82" s="1219"/>
      <c r="C82" s="1219"/>
      <c r="D82" s="1219"/>
      <c r="E82" s="1219"/>
      <c r="F82" s="1219"/>
      <c r="G82" s="1219"/>
      <c r="H82" s="1219"/>
    </row>
    <row r="83" spans="1:8">
      <c r="A83" s="1219"/>
      <c r="B83" s="1219"/>
      <c r="C83" s="1219"/>
      <c r="D83" s="1219"/>
      <c r="E83" s="1219"/>
      <c r="F83" s="1219"/>
      <c r="G83" s="1219"/>
      <c r="H83" s="1219"/>
    </row>
    <row r="84" spans="1:8">
      <c r="A84" s="1219" t="s">
        <v>1553</v>
      </c>
      <c r="B84" s="1219"/>
      <c r="C84" s="1219"/>
      <c r="D84" s="1219"/>
      <c r="E84" s="1219"/>
      <c r="F84" s="1219"/>
      <c r="G84" s="1219"/>
      <c r="H84" s="1219"/>
    </row>
    <row r="85" spans="1:8">
      <c r="A85" s="1219" t="s">
        <v>1554</v>
      </c>
      <c r="B85" s="1219"/>
      <c r="C85" s="1219"/>
      <c r="D85" s="1219"/>
      <c r="E85" s="1219"/>
      <c r="F85" s="1219"/>
      <c r="G85" s="1219"/>
      <c r="H85" s="1219"/>
    </row>
    <row r="86" spans="1:8">
      <c r="A86" s="1219"/>
      <c r="B86" s="1219"/>
      <c r="C86" s="1219"/>
      <c r="D86" s="1219"/>
      <c r="E86" s="1219"/>
      <c r="F86" s="1219"/>
      <c r="G86" s="1219"/>
      <c r="H86" s="1219"/>
    </row>
    <row r="87" spans="1:8">
      <c r="A87" s="1219" t="s">
        <v>1555</v>
      </c>
      <c r="B87" s="1219"/>
      <c r="C87" s="1219"/>
      <c r="D87" s="1219"/>
      <c r="E87" s="1219"/>
      <c r="F87" s="1219"/>
      <c r="G87" s="1219"/>
      <c r="H87" s="1219"/>
    </row>
    <row r="88" spans="1:8">
      <c r="A88" s="1219" t="s">
        <v>1556</v>
      </c>
      <c r="B88" s="1219"/>
      <c r="C88" s="1219"/>
      <c r="D88" s="1219"/>
      <c r="E88" s="1219"/>
      <c r="F88" s="1219"/>
      <c r="G88" s="1219"/>
      <c r="H88" s="1219"/>
    </row>
    <row r="89" spans="1:8">
      <c r="A89" s="1219"/>
      <c r="B89" s="1219"/>
      <c r="C89" s="1219"/>
      <c r="D89" s="1219"/>
      <c r="E89" s="1219"/>
      <c r="F89" s="1219"/>
      <c r="G89" s="1219"/>
      <c r="H89" s="1219"/>
    </row>
    <row r="90" spans="1:8">
      <c r="A90" s="1219" t="s">
        <v>1557</v>
      </c>
      <c r="B90" s="1219"/>
      <c r="C90" s="1219"/>
      <c r="D90" s="1219"/>
      <c r="E90" s="1219"/>
      <c r="F90" s="1219"/>
      <c r="G90" s="1219"/>
      <c r="H90" s="1219"/>
    </row>
    <row r="91" spans="1:8">
      <c r="A91" s="1219" t="s">
        <v>1558</v>
      </c>
      <c r="B91" s="1219"/>
      <c r="C91" s="1219"/>
      <c r="D91" s="1219"/>
      <c r="E91" s="1219"/>
      <c r="F91" s="1219"/>
      <c r="G91" s="1219"/>
      <c r="H91" s="1219"/>
    </row>
    <row r="92" spans="1:8">
      <c r="A92" s="1219" t="s">
        <v>1559</v>
      </c>
      <c r="B92" s="1219"/>
      <c r="C92" s="1219"/>
      <c r="D92" s="1219"/>
      <c r="E92" s="1219"/>
      <c r="F92" s="1219"/>
      <c r="G92" s="1219"/>
      <c r="H92" s="1219"/>
    </row>
    <row r="93" spans="1:8">
      <c r="A93" s="1219"/>
      <c r="B93" s="1219"/>
      <c r="C93" s="1219"/>
      <c r="D93" s="1219"/>
      <c r="E93" s="1219"/>
      <c r="F93" s="1219"/>
      <c r="G93" s="1219"/>
      <c r="H93" s="1219"/>
    </row>
    <row r="94" spans="1:8">
      <c r="A94" s="1219" t="s">
        <v>1560</v>
      </c>
      <c r="B94" s="1219"/>
      <c r="C94" s="1219"/>
      <c r="D94" s="1219"/>
      <c r="E94" s="1219"/>
      <c r="F94" s="1219"/>
      <c r="G94" s="1219"/>
      <c r="H94" s="1219"/>
    </row>
    <row r="95" spans="1:8">
      <c r="A95" s="1219" t="s">
        <v>1561</v>
      </c>
      <c r="B95" s="1219"/>
      <c r="C95" s="1219"/>
      <c r="D95" s="1219"/>
      <c r="E95" s="1219"/>
      <c r="F95" s="1219"/>
      <c r="G95" s="1219"/>
      <c r="H95" s="1219"/>
    </row>
    <row r="96" spans="1:8">
      <c r="A96" s="1219" t="s">
        <v>1562</v>
      </c>
      <c r="B96" s="1219"/>
      <c r="C96" s="1219"/>
      <c r="D96" s="1219"/>
      <c r="E96" s="1219"/>
      <c r="F96" s="1219"/>
      <c r="G96" s="1219"/>
      <c r="H96" s="1219"/>
    </row>
    <row r="97" spans="1:8">
      <c r="A97" s="1219" t="s">
        <v>1563</v>
      </c>
      <c r="B97" s="1219"/>
      <c r="C97" s="1219"/>
      <c r="D97" s="1219"/>
      <c r="E97" s="1219"/>
      <c r="F97" s="1219"/>
      <c r="G97" s="1219"/>
      <c r="H97" s="1219"/>
    </row>
    <row r="98" spans="1:8">
      <c r="A98" s="1219" t="s">
        <v>1564</v>
      </c>
      <c r="B98" s="1219"/>
      <c r="C98" s="1219"/>
      <c r="D98" s="1219"/>
      <c r="E98" s="1219"/>
      <c r="F98" s="1219"/>
      <c r="G98" s="1219"/>
      <c r="H98" s="1219"/>
    </row>
    <row r="99" spans="1:8">
      <c r="A99" s="1219" t="s">
        <v>1565</v>
      </c>
      <c r="B99" s="1219"/>
      <c r="C99" s="1219"/>
      <c r="D99" s="1219"/>
      <c r="E99" s="1219"/>
      <c r="F99" s="1219"/>
      <c r="G99" s="1219"/>
      <c r="H99" s="1219"/>
    </row>
    <row r="100" spans="1:8">
      <c r="A100" s="1219"/>
      <c r="B100" s="1219"/>
      <c r="C100" s="1219"/>
      <c r="D100" s="1219"/>
      <c r="E100" s="1219"/>
      <c r="F100" s="1219"/>
      <c r="G100" s="1219"/>
      <c r="H100" s="1219"/>
    </row>
    <row r="101" spans="1:8">
      <c r="A101" s="1219" t="s">
        <v>1566</v>
      </c>
      <c r="B101" s="1219"/>
      <c r="C101" s="1219"/>
      <c r="D101" s="1219"/>
      <c r="E101" s="1219"/>
      <c r="F101" s="1219"/>
      <c r="G101" s="1219"/>
      <c r="H101" s="1219"/>
    </row>
    <row r="102" spans="1:8">
      <c r="A102" s="1219" t="s">
        <v>1567</v>
      </c>
      <c r="B102" s="1219"/>
      <c r="C102" s="1219"/>
      <c r="D102" s="1219"/>
      <c r="E102" s="1219"/>
      <c r="F102" s="1219"/>
      <c r="G102" s="1219"/>
      <c r="H102" s="1219"/>
    </row>
    <row r="103" spans="1:8">
      <c r="A103" s="1219" t="s">
        <v>1568</v>
      </c>
      <c r="B103" s="1219"/>
      <c r="C103" s="1219"/>
      <c r="D103" s="1219"/>
      <c r="E103" s="1219"/>
      <c r="F103" s="1219"/>
      <c r="G103" s="1219"/>
      <c r="H103" s="1219"/>
    </row>
    <row r="104" spans="1:8">
      <c r="A104" s="1219" t="s">
        <v>1569</v>
      </c>
      <c r="B104" s="1219"/>
      <c r="C104" s="1219"/>
      <c r="D104" s="1219"/>
      <c r="E104" s="1219"/>
      <c r="F104" s="1219"/>
      <c r="G104" s="1219"/>
      <c r="H104" s="1219"/>
    </row>
    <row r="105" spans="1:8">
      <c r="A105" s="1219" t="s">
        <v>1570</v>
      </c>
      <c r="B105" s="1219"/>
      <c r="C105" s="1219"/>
      <c r="D105" s="1219"/>
      <c r="E105" s="1219"/>
      <c r="F105" s="1219"/>
      <c r="G105" s="1219"/>
      <c r="H105" s="1219"/>
    </row>
    <row r="106" spans="1:8">
      <c r="A106" s="1219" t="s">
        <v>1571</v>
      </c>
      <c r="B106" s="1219"/>
      <c r="C106" s="1219"/>
      <c r="D106" s="1219"/>
      <c r="E106" s="1219"/>
      <c r="F106" s="1219"/>
      <c r="G106" s="1219"/>
      <c r="H106" s="1219"/>
    </row>
    <row r="107" spans="1:8">
      <c r="A107" s="1219" t="s">
        <v>1572</v>
      </c>
      <c r="B107" s="1219"/>
      <c r="C107" s="1219"/>
      <c r="D107" s="1219"/>
      <c r="E107" s="1219"/>
      <c r="F107" s="1219"/>
      <c r="G107" s="1219"/>
      <c r="H107" s="1219"/>
    </row>
    <row r="108" spans="1:8">
      <c r="A108" s="1219"/>
      <c r="B108" s="1219"/>
      <c r="C108" s="1219"/>
      <c r="D108" s="1219"/>
      <c r="E108" s="1219"/>
      <c r="F108" s="1219"/>
      <c r="G108" s="1219"/>
      <c r="H108" s="1219"/>
    </row>
    <row r="109" spans="1:8">
      <c r="A109" s="1219" t="s">
        <v>1573</v>
      </c>
      <c r="B109" s="1219"/>
      <c r="C109" s="1219"/>
      <c r="D109" s="1219"/>
      <c r="E109" s="1219"/>
      <c r="F109" s="1219"/>
      <c r="G109" s="1219"/>
      <c r="H109" s="1219"/>
    </row>
    <row r="110" spans="1:8">
      <c r="A110" s="1219" t="s">
        <v>1574</v>
      </c>
      <c r="B110" s="1219"/>
      <c r="C110" s="1219"/>
      <c r="D110" s="1219"/>
      <c r="E110" s="1219"/>
      <c r="F110" s="1219"/>
      <c r="G110" s="1219"/>
      <c r="H110" s="1219"/>
    </row>
    <row r="111" spans="1:8">
      <c r="A111" s="1219"/>
      <c r="B111" s="1219"/>
      <c r="C111" s="1219"/>
      <c r="D111" s="1219"/>
      <c r="E111" s="1219"/>
      <c r="F111" s="1219"/>
      <c r="G111" s="1219"/>
      <c r="H111" s="1219"/>
    </row>
    <row r="112" spans="1:8" ht="15.6">
      <c r="A112" s="1220" t="s">
        <v>988</v>
      </c>
      <c r="B112" s="1219"/>
      <c r="C112" s="1219"/>
      <c r="D112" s="1219"/>
      <c r="E112" s="1219"/>
      <c r="F112" s="1219"/>
      <c r="G112" s="1219"/>
      <c r="H112" s="1219"/>
    </row>
    <row r="113" spans="1:8">
      <c r="A113" s="1219"/>
      <c r="B113" s="1219"/>
      <c r="C113" s="1219"/>
      <c r="D113" s="1219"/>
      <c r="E113" s="1219"/>
      <c r="F113" s="1219"/>
      <c r="G113" s="1219"/>
      <c r="H113" s="1219"/>
    </row>
    <row r="114" spans="1:8">
      <c r="A114" s="1219" t="s">
        <v>1575</v>
      </c>
      <c r="B114" s="1219"/>
      <c r="C114" s="1219"/>
      <c r="D114" s="1219"/>
      <c r="E114" s="1219"/>
      <c r="F114" s="1219"/>
      <c r="G114" s="1219"/>
      <c r="H114" s="1219"/>
    </row>
    <row r="115" spans="1:8">
      <c r="A115" s="1219" t="s">
        <v>1576</v>
      </c>
      <c r="B115" s="1219"/>
      <c r="C115" s="1219"/>
      <c r="D115" s="1219"/>
      <c r="E115" s="1219"/>
      <c r="F115" s="1219"/>
      <c r="G115" s="1219"/>
      <c r="H115" s="1219"/>
    </row>
    <row r="116" spans="1:8">
      <c r="A116" s="1219" t="s">
        <v>1577</v>
      </c>
      <c r="B116" s="1219"/>
      <c r="C116" s="1219"/>
      <c r="D116" s="1219"/>
      <c r="E116" s="1219"/>
      <c r="F116" s="1219"/>
      <c r="G116" s="1219"/>
      <c r="H116" s="1219"/>
    </row>
    <row r="117" spans="1:8">
      <c r="A117" s="1219" t="s">
        <v>1578</v>
      </c>
      <c r="B117" s="1219"/>
      <c r="C117" s="1219"/>
      <c r="D117" s="1219"/>
      <c r="E117" s="1219"/>
      <c r="F117" s="1219"/>
      <c r="G117" s="1219"/>
      <c r="H117" s="1219"/>
    </row>
    <row r="118" spans="1:8">
      <c r="A118" s="1219" t="s">
        <v>1579</v>
      </c>
      <c r="B118" s="1219"/>
      <c r="C118" s="1219"/>
      <c r="D118" s="1219"/>
      <c r="E118" s="1219"/>
      <c r="F118" s="1219"/>
      <c r="G118" s="1219"/>
      <c r="H118" s="1219"/>
    </row>
    <row r="119" spans="1:8">
      <c r="A119" s="1219" t="s">
        <v>1580</v>
      </c>
      <c r="B119" s="1219"/>
      <c r="C119" s="1219"/>
      <c r="D119" s="1219"/>
      <c r="E119" s="1219"/>
      <c r="F119" s="1219"/>
      <c r="G119" s="1219"/>
      <c r="H119" s="1219"/>
    </row>
    <row r="120" spans="1:8">
      <c r="A120" s="1219" t="s">
        <v>1581</v>
      </c>
      <c r="B120" s="1219"/>
      <c r="C120" s="1219"/>
      <c r="D120" s="1219"/>
      <c r="E120" s="1219"/>
      <c r="F120" s="1219"/>
      <c r="G120" s="1219"/>
      <c r="H120" s="1219"/>
    </row>
    <row r="121" spans="1:8">
      <c r="A121" s="1219" t="s">
        <v>1582</v>
      </c>
      <c r="B121" s="1219"/>
      <c r="C121" s="1219"/>
      <c r="D121" s="1219"/>
      <c r="E121" s="1219"/>
      <c r="F121" s="1219"/>
      <c r="G121" s="1219"/>
      <c r="H121" s="1219"/>
    </row>
    <row r="122" spans="1:8">
      <c r="A122" s="1219" t="s">
        <v>1583</v>
      </c>
      <c r="B122" s="1219"/>
      <c r="C122" s="1219"/>
      <c r="D122" s="1219"/>
      <c r="E122" s="1219"/>
      <c r="F122" s="1219"/>
      <c r="G122" s="1219"/>
      <c r="H122" s="1219"/>
    </row>
    <row r="123" spans="1:8">
      <c r="A123" s="1219"/>
      <c r="B123" s="1219"/>
      <c r="C123" s="1219"/>
      <c r="D123" s="1219"/>
      <c r="E123" s="1219"/>
      <c r="F123" s="1219"/>
      <c r="G123" s="1219"/>
      <c r="H123" s="1219"/>
    </row>
    <row r="124" spans="1:8" ht="15.6">
      <c r="A124" s="1220" t="s">
        <v>989</v>
      </c>
      <c r="B124" s="1219"/>
      <c r="C124" s="1219"/>
      <c r="D124" s="1219"/>
      <c r="E124" s="1219"/>
      <c r="F124" s="1219"/>
      <c r="G124" s="1219"/>
      <c r="H124" s="1219"/>
    </row>
    <row r="125" spans="1:8">
      <c r="A125" s="1219"/>
      <c r="B125" s="1219"/>
      <c r="C125" s="1219"/>
      <c r="D125" s="1219"/>
      <c r="E125" s="1219"/>
      <c r="F125" s="1219"/>
      <c r="G125" s="1219"/>
      <c r="H125" s="1219"/>
    </row>
    <row r="126" spans="1:8">
      <c r="A126" s="1219" t="s">
        <v>1584</v>
      </c>
      <c r="B126" s="1219"/>
      <c r="C126" s="1219"/>
      <c r="D126" s="1219"/>
      <c r="E126" s="1219"/>
      <c r="F126" s="1219"/>
      <c r="G126" s="1219"/>
      <c r="H126" s="1219"/>
    </row>
    <row r="127" spans="1:8">
      <c r="A127" s="1219"/>
      <c r="B127" s="1219"/>
      <c r="C127" s="1219"/>
      <c r="D127" s="1219"/>
      <c r="E127" s="1219"/>
      <c r="F127" s="1219"/>
      <c r="G127" s="1219"/>
      <c r="H127" s="1219"/>
    </row>
    <row r="128" spans="1:8">
      <c r="A128" s="1219" t="s">
        <v>1585</v>
      </c>
      <c r="B128" s="1219"/>
      <c r="C128" s="1219"/>
      <c r="D128" s="1219"/>
      <c r="E128" s="1219"/>
      <c r="F128" s="1219"/>
      <c r="G128" s="1219"/>
      <c r="H128" s="1219"/>
    </row>
    <row r="129" spans="1:8">
      <c r="A129" s="1219" t="s">
        <v>1586</v>
      </c>
      <c r="B129" s="1219"/>
      <c r="C129" s="1219"/>
      <c r="D129" s="1219"/>
      <c r="E129" s="1219"/>
      <c r="F129" s="1219"/>
      <c r="G129" s="1219"/>
      <c r="H129" s="1219"/>
    </row>
    <row r="130" spans="1:8">
      <c r="A130" s="1219"/>
      <c r="B130" s="1219"/>
      <c r="C130" s="1219"/>
      <c r="D130" s="1219"/>
      <c r="E130" s="1219"/>
      <c r="F130" s="1219"/>
      <c r="G130" s="1219"/>
      <c r="H130" s="1219"/>
    </row>
    <row r="131" spans="1:8">
      <c r="A131" s="1219" t="s">
        <v>1587</v>
      </c>
      <c r="B131" s="1219"/>
      <c r="C131" s="1219"/>
      <c r="D131" s="1219"/>
      <c r="E131" s="1219"/>
      <c r="F131" s="1219"/>
      <c r="G131" s="1219"/>
      <c r="H131" s="1219"/>
    </row>
    <row r="132" spans="1:8">
      <c r="A132" s="1219" t="s">
        <v>1588</v>
      </c>
      <c r="B132" s="1219"/>
      <c r="C132" s="1219"/>
      <c r="D132" s="1219"/>
      <c r="E132" s="1219"/>
      <c r="F132" s="1219"/>
      <c r="G132" s="1219"/>
      <c r="H132" s="1219"/>
    </row>
    <row r="133" spans="1:8">
      <c r="A133" s="1219" t="s">
        <v>1589</v>
      </c>
      <c r="B133" s="1219"/>
      <c r="C133" s="1219"/>
      <c r="D133" s="1219"/>
      <c r="E133" s="1219"/>
      <c r="F133" s="1219"/>
      <c r="G133" s="1219"/>
      <c r="H133" s="1219"/>
    </row>
    <row r="134" spans="1:8">
      <c r="A134" s="1219" t="s">
        <v>1590</v>
      </c>
      <c r="B134" s="1219"/>
      <c r="C134" s="1219"/>
      <c r="D134" s="1219"/>
      <c r="E134" s="1219"/>
      <c r="F134" s="1219"/>
      <c r="G134" s="1219"/>
      <c r="H134" s="1219"/>
    </row>
    <row r="135" spans="1:8">
      <c r="A135" s="1219" t="s">
        <v>1591</v>
      </c>
      <c r="B135" s="1219"/>
      <c r="C135" s="1219"/>
      <c r="D135" s="1219"/>
      <c r="E135" s="1219"/>
      <c r="F135" s="1219"/>
      <c r="G135" s="1219"/>
      <c r="H135" s="1219"/>
    </row>
    <row r="136" spans="1:8">
      <c r="A136" s="1219" t="s">
        <v>1592</v>
      </c>
      <c r="B136" s="1219"/>
      <c r="C136" s="1219"/>
      <c r="D136" s="1219"/>
      <c r="E136" s="1219"/>
      <c r="F136" s="1219"/>
      <c r="G136" s="1219"/>
      <c r="H136" s="1219"/>
    </row>
    <row r="137" spans="1:8">
      <c r="A137" s="1219" t="s">
        <v>1593</v>
      </c>
      <c r="B137" s="1219"/>
      <c r="C137" s="1219"/>
      <c r="D137" s="1219"/>
      <c r="E137" s="1219"/>
      <c r="F137" s="1219"/>
      <c r="G137" s="1219"/>
      <c r="H137" s="1219"/>
    </row>
    <row r="138" spans="1:8">
      <c r="A138" s="1219"/>
      <c r="B138" s="1219"/>
      <c r="C138" s="1219"/>
      <c r="D138" s="1219"/>
      <c r="E138" s="1219"/>
      <c r="F138" s="1219"/>
      <c r="G138" s="1219"/>
      <c r="H138" s="1219"/>
    </row>
    <row r="139" spans="1:8">
      <c r="A139" s="1221"/>
      <c r="B139" s="1222" t="s">
        <v>990</v>
      </c>
      <c r="C139" s="1222"/>
      <c r="D139" s="1222" t="s">
        <v>991</v>
      </c>
      <c r="E139" s="1222"/>
      <c r="F139" s="1222"/>
      <c r="G139" s="1222" t="s">
        <v>992</v>
      </c>
      <c r="H139" s="1222"/>
    </row>
    <row r="140" spans="1:8">
      <c r="A140" s="1221" t="s">
        <v>993</v>
      </c>
      <c r="B140" s="1221" t="s">
        <v>391</v>
      </c>
      <c r="C140" s="1221" t="s">
        <v>994</v>
      </c>
      <c r="D140" s="1221" t="s">
        <v>391</v>
      </c>
      <c r="E140" s="1221" t="s">
        <v>995</v>
      </c>
      <c r="F140" s="1221" t="s">
        <v>996</v>
      </c>
      <c r="G140" s="1221" t="s">
        <v>391</v>
      </c>
      <c r="H140" s="1221" t="s">
        <v>997</v>
      </c>
    </row>
    <row r="141" spans="1:8">
      <c r="A141" s="1221" t="s">
        <v>998</v>
      </c>
      <c r="B141" s="1221">
        <v>1520</v>
      </c>
      <c r="C141" s="1221">
        <v>0.41</v>
      </c>
      <c r="D141" s="1221">
        <v>425</v>
      </c>
      <c r="E141" s="1221">
        <v>0.48</v>
      </c>
      <c r="F141" s="1221">
        <v>0.28000000000000003</v>
      </c>
      <c r="G141" s="1221">
        <v>685</v>
      </c>
      <c r="H141" s="1221">
        <v>0.42</v>
      </c>
    </row>
    <row r="142" spans="1:8">
      <c r="A142" s="1221" t="s">
        <v>999</v>
      </c>
      <c r="B142" s="1221">
        <v>1579</v>
      </c>
      <c r="C142" s="1221">
        <v>0.43</v>
      </c>
      <c r="D142" s="1221">
        <v>375</v>
      </c>
      <c r="E142" s="1221">
        <v>0.42</v>
      </c>
      <c r="F142" s="1221">
        <v>0.24</v>
      </c>
      <c r="G142" s="1221">
        <v>713</v>
      </c>
      <c r="H142" s="1221">
        <v>0.44</v>
      </c>
    </row>
    <row r="143" spans="1:8">
      <c r="A143" s="1221" t="s">
        <v>1000</v>
      </c>
      <c r="B143" s="1221">
        <v>4</v>
      </c>
      <c r="C143" s="1221">
        <v>0</v>
      </c>
      <c r="D143" s="1221">
        <v>1</v>
      </c>
      <c r="E143" s="1221">
        <v>0</v>
      </c>
      <c r="F143" s="1221">
        <v>0.25</v>
      </c>
      <c r="G143" s="1221">
        <v>1</v>
      </c>
      <c r="H143" s="1221">
        <v>0</v>
      </c>
    </row>
    <row r="144" spans="1:8">
      <c r="A144" s="1221" t="s">
        <v>1001</v>
      </c>
      <c r="B144" s="1221">
        <v>592</v>
      </c>
      <c r="C144" s="1221">
        <v>0.16</v>
      </c>
      <c r="D144" s="1221">
        <v>89</v>
      </c>
      <c r="E144" s="1221">
        <v>0.1</v>
      </c>
      <c r="F144" s="1221">
        <v>0.15</v>
      </c>
      <c r="G144" s="1221">
        <v>232</v>
      </c>
      <c r="H144" s="1221">
        <v>0.14000000000000001</v>
      </c>
    </row>
    <row r="145" spans="1:8">
      <c r="A145" s="1221" t="s">
        <v>214</v>
      </c>
      <c r="B145" s="1221">
        <v>3695</v>
      </c>
      <c r="C145" s="1221"/>
      <c r="D145" s="1221">
        <v>890</v>
      </c>
      <c r="E145" s="1221"/>
      <c r="F145" s="1221"/>
      <c r="G145" s="1221">
        <v>1631</v>
      </c>
      <c r="H145" s="1221"/>
    </row>
    <row r="146" spans="1:8">
      <c r="A146" s="1219"/>
      <c r="B146" s="1219"/>
      <c r="C146" s="1219"/>
      <c r="D146" s="1219"/>
      <c r="E146" s="1219"/>
      <c r="F146" s="1219"/>
      <c r="G146" s="1219"/>
      <c r="H146" s="1219"/>
    </row>
    <row r="147" spans="1:8">
      <c r="A147" s="1219" t="s">
        <v>1594</v>
      </c>
      <c r="B147" s="1219"/>
      <c r="C147" s="1219"/>
      <c r="D147" s="1219"/>
      <c r="E147" s="1219"/>
      <c r="F147" s="1219"/>
      <c r="G147" s="1219"/>
      <c r="H147" s="1219"/>
    </row>
    <row r="148" spans="1:8">
      <c r="A148" s="1219" t="s">
        <v>1595</v>
      </c>
      <c r="B148" s="1219"/>
      <c r="C148" s="1219"/>
      <c r="D148" s="1219"/>
      <c r="E148" s="1219"/>
      <c r="F148" s="1219"/>
      <c r="G148" s="1219"/>
      <c r="H148" s="1219"/>
    </row>
    <row r="149" spans="1:8">
      <c r="A149" s="1219" t="s">
        <v>1596</v>
      </c>
      <c r="B149" s="1219"/>
      <c r="C149" s="1219"/>
      <c r="D149" s="1219"/>
      <c r="E149" s="1219"/>
      <c r="F149" s="1219"/>
      <c r="G149" s="1219"/>
      <c r="H149" s="1219"/>
    </row>
    <row r="150" spans="1:8">
      <c r="A150" s="1219" t="s">
        <v>1597</v>
      </c>
      <c r="B150" s="1219"/>
      <c r="C150" s="1219"/>
      <c r="D150" s="1219"/>
      <c r="E150" s="1219"/>
      <c r="F150" s="1219"/>
      <c r="G150" s="1219"/>
      <c r="H150" s="1219"/>
    </row>
    <row r="151" spans="1:8">
      <c r="A151" s="1219"/>
      <c r="B151" s="1219"/>
      <c r="C151" s="1219"/>
      <c r="D151" s="1219"/>
      <c r="E151" s="1219"/>
      <c r="F151" s="1219"/>
      <c r="G151" s="1219"/>
      <c r="H151" s="1219"/>
    </row>
    <row r="152" spans="1:8" ht="15.6">
      <c r="A152" s="1220" t="s">
        <v>1002</v>
      </c>
      <c r="B152" s="1219"/>
      <c r="C152" s="1219"/>
      <c r="D152" s="1219"/>
      <c r="E152" s="1219"/>
      <c r="F152" s="1219"/>
      <c r="G152" s="1219"/>
      <c r="H152" s="1219"/>
    </row>
    <row r="153" spans="1:8">
      <c r="A153" s="1219"/>
      <c r="B153" s="1219"/>
      <c r="C153" s="1219"/>
      <c r="D153" s="1219"/>
      <c r="E153" s="1219"/>
      <c r="F153" s="1219"/>
      <c r="G153" s="1219"/>
      <c r="H153" s="1219"/>
    </row>
    <row r="154" spans="1:8">
      <c r="A154" s="1219" t="s">
        <v>1598</v>
      </c>
      <c r="B154" s="1219"/>
      <c r="C154" s="1219"/>
      <c r="D154" s="1219"/>
      <c r="E154" s="1219"/>
      <c r="F154" s="1219"/>
      <c r="G154" s="1219"/>
      <c r="H154" s="1219"/>
    </row>
    <row r="155" spans="1:8">
      <c r="A155" s="1219" t="s">
        <v>1599</v>
      </c>
      <c r="B155" s="1219"/>
      <c r="C155" s="1219"/>
      <c r="D155" s="1219"/>
      <c r="E155" s="1219"/>
      <c r="F155" s="1219"/>
      <c r="G155" s="1219"/>
      <c r="H155" s="1219"/>
    </row>
    <row r="156" spans="1:8">
      <c r="A156" s="1219"/>
      <c r="B156" s="1219"/>
      <c r="C156" s="1219"/>
      <c r="D156" s="1219"/>
      <c r="E156" s="1219"/>
      <c r="F156" s="1219"/>
      <c r="G156" s="1219"/>
      <c r="H156" s="1219"/>
    </row>
    <row r="157" spans="1:8">
      <c r="A157" s="1219" t="s">
        <v>1600</v>
      </c>
      <c r="B157" s="1219"/>
      <c r="C157" s="1219"/>
      <c r="D157" s="1219"/>
      <c r="E157" s="1219"/>
      <c r="F157" s="1219"/>
      <c r="G157" s="1219"/>
      <c r="H157" s="1219"/>
    </row>
    <row r="158" spans="1:8">
      <c r="A158" s="1219" t="s">
        <v>1601</v>
      </c>
      <c r="B158" s="1219"/>
      <c r="C158" s="1219"/>
      <c r="D158" s="1219"/>
      <c r="E158" s="1219"/>
      <c r="F158" s="1219"/>
      <c r="G158" s="1219"/>
      <c r="H158" s="1219"/>
    </row>
    <row r="159" spans="1:8">
      <c r="A159" s="1219" t="s">
        <v>1602</v>
      </c>
      <c r="B159" s="1219"/>
      <c r="C159" s="1219"/>
      <c r="D159" s="1219"/>
      <c r="E159" s="1219"/>
      <c r="F159" s="1219"/>
      <c r="G159" s="1219"/>
      <c r="H159" s="1219"/>
    </row>
    <row r="160" spans="1:8">
      <c r="A160" s="1219"/>
      <c r="B160" s="1219"/>
      <c r="C160" s="1219"/>
      <c r="D160" s="1219"/>
      <c r="E160" s="1219"/>
      <c r="F160" s="1219"/>
      <c r="G160" s="1219"/>
      <c r="H160" s="1219"/>
    </row>
    <row r="161" spans="1:8">
      <c r="A161" s="1219" t="s">
        <v>1603</v>
      </c>
      <c r="B161" s="1219"/>
      <c r="C161" s="1219"/>
      <c r="D161" s="1219"/>
      <c r="E161" s="1219"/>
      <c r="F161" s="1219"/>
      <c r="G161" s="1219"/>
      <c r="H161" s="1219"/>
    </row>
    <row r="162" spans="1:8">
      <c r="A162" s="1219" t="s">
        <v>1604</v>
      </c>
      <c r="B162" s="1219"/>
      <c r="C162" s="1219"/>
      <c r="D162" s="1219"/>
      <c r="E162" s="1219"/>
      <c r="F162" s="1219"/>
      <c r="G162" s="1219"/>
      <c r="H162" s="1219"/>
    </row>
    <row r="163" spans="1:8">
      <c r="A163" s="1219" t="s">
        <v>1605</v>
      </c>
      <c r="B163" s="1219"/>
      <c r="C163" s="1219"/>
      <c r="D163" s="1219"/>
      <c r="E163" s="1219"/>
      <c r="F163" s="1219"/>
      <c r="G163" s="1219"/>
      <c r="H163" s="1219"/>
    </row>
    <row r="164" spans="1:8">
      <c r="A164" s="1219"/>
      <c r="B164" s="1219"/>
      <c r="C164" s="1219"/>
      <c r="D164" s="1219"/>
      <c r="E164" s="1219"/>
      <c r="F164" s="1219"/>
      <c r="G164" s="1219"/>
      <c r="H164" s="1219"/>
    </row>
    <row r="165" spans="1:8">
      <c r="A165" s="1219" t="s">
        <v>1606</v>
      </c>
      <c r="B165" s="1219"/>
      <c r="C165" s="1219"/>
      <c r="D165" s="1219"/>
      <c r="E165" s="1219"/>
      <c r="F165" s="1219"/>
      <c r="G165" s="1219"/>
      <c r="H165" s="1219"/>
    </row>
    <row r="166" spans="1:8">
      <c r="A166" s="1219" t="s">
        <v>1607</v>
      </c>
      <c r="B166" s="1219"/>
      <c r="C166" s="1219"/>
      <c r="D166" s="1219"/>
      <c r="E166" s="1219"/>
      <c r="F166" s="1219"/>
      <c r="G166" s="1219"/>
      <c r="H166" s="1219"/>
    </row>
    <row r="167" spans="1:8">
      <c r="A167" s="1219" t="s">
        <v>1608</v>
      </c>
      <c r="B167" s="1219"/>
      <c r="C167" s="1219"/>
      <c r="D167" s="1219"/>
      <c r="E167" s="1219"/>
      <c r="F167" s="1219"/>
      <c r="G167" s="1219"/>
      <c r="H167" s="1219"/>
    </row>
    <row r="168" spans="1:8">
      <c r="A168" s="1219"/>
      <c r="B168" s="1219"/>
      <c r="C168" s="1219"/>
      <c r="D168" s="1219"/>
      <c r="E168" s="1219"/>
      <c r="F168" s="1219"/>
      <c r="G168" s="1219"/>
      <c r="H168" s="1219"/>
    </row>
    <row r="169" spans="1:8">
      <c r="A169" s="1219" t="s">
        <v>1609</v>
      </c>
      <c r="B169" s="1219"/>
      <c r="C169" s="1219"/>
      <c r="D169" s="1219"/>
      <c r="E169" s="1219"/>
      <c r="F169" s="1219"/>
      <c r="G169" s="1219"/>
      <c r="H169" s="1219"/>
    </row>
    <row r="170" spans="1:8">
      <c r="A170" s="1219" t="s">
        <v>1610</v>
      </c>
      <c r="B170" s="1219"/>
      <c r="C170" s="1219"/>
      <c r="D170" s="1219"/>
      <c r="E170" s="1219"/>
      <c r="F170" s="1219"/>
      <c r="G170" s="1219"/>
      <c r="H170" s="1219"/>
    </row>
    <row r="171" spans="1:8">
      <c r="A171" s="1219"/>
      <c r="B171" s="1219"/>
      <c r="C171" s="1219"/>
      <c r="D171" s="1219"/>
      <c r="E171" s="1219"/>
      <c r="F171" s="1219"/>
      <c r="G171" s="1219"/>
      <c r="H171" s="1219"/>
    </row>
    <row r="172" spans="1:8" ht="15.6">
      <c r="A172" s="1220" t="s">
        <v>1003</v>
      </c>
      <c r="B172" s="1219"/>
      <c r="C172" s="1219"/>
      <c r="D172" s="1219"/>
      <c r="E172" s="1219"/>
      <c r="F172" s="1219"/>
      <c r="G172" s="1219"/>
      <c r="H172" s="1219"/>
    </row>
    <row r="173" spans="1:8">
      <c r="A173" s="1219"/>
      <c r="B173" s="1219"/>
      <c r="C173" s="1219"/>
      <c r="D173" s="1219"/>
      <c r="E173" s="1219"/>
      <c r="F173" s="1219"/>
      <c r="G173" s="1219"/>
      <c r="H173" s="1219"/>
    </row>
    <row r="174" spans="1:8">
      <c r="A174" s="1219" t="s">
        <v>1611</v>
      </c>
      <c r="B174" s="1219"/>
      <c r="C174" s="1219"/>
      <c r="D174" s="1219"/>
      <c r="E174" s="1219"/>
      <c r="F174" s="1219"/>
      <c r="G174" s="1219"/>
      <c r="H174" s="1219"/>
    </row>
    <row r="175" spans="1:8">
      <c r="A175" s="1219" t="s">
        <v>1612</v>
      </c>
      <c r="B175" s="1219"/>
      <c r="C175" s="1219"/>
      <c r="D175" s="1219"/>
      <c r="E175" s="1219"/>
      <c r="F175" s="1219"/>
      <c r="G175" s="1219"/>
      <c r="H175" s="1219"/>
    </row>
    <row r="176" spans="1:8">
      <c r="A176" s="1219"/>
      <c r="B176" s="1219"/>
      <c r="C176" s="1219"/>
      <c r="D176" s="1219"/>
      <c r="E176" s="1219"/>
      <c r="F176" s="1219"/>
      <c r="G176" s="1219"/>
      <c r="H176" s="1219"/>
    </row>
    <row r="177" spans="1:8">
      <c r="A177" s="1219" t="s">
        <v>1613</v>
      </c>
      <c r="B177" s="1219"/>
      <c r="C177" s="1219"/>
      <c r="D177" s="1219"/>
      <c r="E177" s="1219"/>
      <c r="F177" s="1219"/>
      <c r="G177" s="1219"/>
      <c r="H177" s="1219"/>
    </row>
    <row r="178" spans="1:8">
      <c r="A178" s="1219" t="s">
        <v>1614</v>
      </c>
      <c r="B178" s="1219"/>
      <c r="C178" s="1219"/>
      <c r="D178" s="1219"/>
      <c r="E178" s="1219"/>
      <c r="F178" s="1219"/>
      <c r="G178" s="1219"/>
      <c r="H178" s="1219"/>
    </row>
    <row r="179" spans="1:8">
      <c r="A179" s="1219"/>
      <c r="B179" s="1219"/>
      <c r="C179" s="1219"/>
      <c r="D179" s="1219"/>
      <c r="E179" s="1219"/>
      <c r="F179" s="1219"/>
      <c r="G179" s="1219"/>
      <c r="H179" s="1219"/>
    </row>
    <row r="180" spans="1:8">
      <c r="A180" s="1219" t="s">
        <v>1615</v>
      </c>
      <c r="B180" s="1219"/>
      <c r="C180" s="1219"/>
      <c r="D180" s="1219"/>
      <c r="E180" s="1219"/>
      <c r="F180" s="1219"/>
      <c r="G180" s="1219"/>
      <c r="H180" s="1219"/>
    </row>
    <row r="181" spans="1:8">
      <c r="A181" s="1219" t="s">
        <v>1616</v>
      </c>
      <c r="B181" s="1219"/>
      <c r="C181" s="1219"/>
      <c r="D181" s="1219"/>
      <c r="E181" s="1219"/>
      <c r="F181" s="1219"/>
      <c r="G181" s="1219"/>
      <c r="H181" s="1219"/>
    </row>
    <row r="182" spans="1:8">
      <c r="A182" s="1219"/>
      <c r="B182" s="1219"/>
      <c r="C182" s="1219"/>
      <c r="D182" s="1219"/>
      <c r="E182" s="1219"/>
      <c r="F182" s="1219"/>
      <c r="G182" s="1219"/>
      <c r="H182" s="1219"/>
    </row>
    <row r="183" spans="1:8">
      <c r="A183" s="1219" t="s">
        <v>1617</v>
      </c>
      <c r="B183" s="1219"/>
      <c r="C183" s="1219"/>
      <c r="D183" s="1219"/>
      <c r="E183" s="1219"/>
      <c r="F183" s="1219"/>
      <c r="G183" s="1219"/>
      <c r="H183" s="1219"/>
    </row>
    <row r="184" spans="1:8">
      <c r="A184" s="1219" t="s">
        <v>1618</v>
      </c>
      <c r="B184" s="1219"/>
      <c r="C184" s="1219"/>
      <c r="D184" s="1219"/>
      <c r="E184" s="1219"/>
      <c r="F184" s="1219"/>
      <c r="G184" s="1219"/>
      <c r="H184" s="1219"/>
    </row>
    <row r="185" spans="1:8">
      <c r="A185" s="1219" t="s">
        <v>1619</v>
      </c>
      <c r="B185" s="1219"/>
      <c r="C185" s="1219"/>
      <c r="D185" s="1219"/>
      <c r="E185" s="1219"/>
      <c r="F185" s="1219"/>
      <c r="G185" s="1219"/>
      <c r="H185" s="1219"/>
    </row>
    <row r="186" spans="1:8">
      <c r="A186" s="1219"/>
      <c r="B186" s="1219"/>
      <c r="C186" s="1219"/>
      <c r="D186" s="1219"/>
      <c r="E186" s="1219"/>
      <c r="F186" s="1219"/>
      <c r="G186" s="1219"/>
      <c r="H186" s="1219"/>
    </row>
    <row r="187" spans="1:8">
      <c r="A187" s="1219" t="s">
        <v>583</v>
      </c>
      <c r="B187" s="1219"/>
      <c r="C187" s="1219"/>
      <c r="D187" s="1219"/>
      <c r="E187" s="1219"/>
      <c r="F187" s="1219"/>
      <c r="G187" s="1219"/>
      <c r="H187" s="1219"/>
    </row>
    <row r="188" spans="1:8">
      <c r="A188" s="1219"/>
      <c r="B188" s="1219"/>
      <c r="C188" s="1219"/>
      <c r="D188" s="1219"/>
      <c r="E188" s="1219"/>
      <c r="F188" s="1219"/>
      <c r="G188" s="1219"/>
      <c r="H188" s="1219"/>
    </row>
    <row r="189" spans="1:8" ht="15.6">
      <c r="A189" s="1220" t="s">
        <v>1004</v>
      </c>
      <c r="B189" s="1219"/>
      <c r="C189" s="1219"/>
      <c r="D189" s="1219"/>
      <c r="E189" s="1219"/>
      <c r="F189" s="1219"/>
      <c r="G189" s="1219"/>
      <c r="H189" s="1219"/>
    </row>
    <row r="190" spans="1:8">
      <c r="A190" s="1219"/>
      <c r="B190" s="1219"/>
      <c r="C190" s="1219"/>
      <c r="D190" s="1219"/>
      <c r="E190" s="1219"/>
      <c r="F190" s="1219"/>
      <c r="G190" s="1219"/>
      <c r="H190" s="1219"/>
    </row>
    <row r="191" spans="1:8">
      <c r="A191" s="1219"/>
      <c r="B191" s="1219"/>
      <c r="C191" s="1219"/>
      <c r="D191" s="1219"/>
      <c r="E191" s="1219"/>
      <c r="F191" s="1219"/>
      <c r="G191" s="1219"/>
      <c r="H191" s="1219"/>
    </row>
    <row r="192" spans="1:8">
      <c r="A192" s="1219"/>
      <c r="B192" s="1219"/>
      <c r="C192" s="1219"/>
      <c r="D192" s="1219"/>
      <c r="E192" s="1219"/>
      <c r="F192" s="1219"/>
      <c r="G192" s="1219"/>
      <c r="H192" s="1219"/>
    </row>
    <row r="193" spans="1:8">
      <c r="A193" s="1219"/>
      <c r="B193" s="1219"/>
      <c r="C193" s="1219"/>
      <c r="D193" s="1219"/>
      <c r="E193" s="1219"/>
      <c r="F193" s="1219"/>
      <c r="G193" s="1219"/>
      <c r="H193" s="1219"/>
    </row>
    <row r="194" spans="1:8">
      <c r="A194" s="1219"/>
      <c r="B194" s="1219"/>
      <c r="C194" s="1219"/>
      <c r="D194" s="1219"/>
      <c r="E194" s="1219"/>
      <c r="F194" s="1219"/>
      <c r="G194" s="1219"/>
      <c r="H194" s="1219"/>
    </row>
    <row r="195" spans="1:8">
      <c r="A195" s="1219"/>
      <c r="B195" s="1219"/>
      <c r="C195" s="1219"/>
      <c r="D195" s="1219"/>
      <c r="E195" s="1219"/>
      <c r="F195" s="1219"/>
      <c r="G195" s="1219"/>
      <c r="H195" s="1219"/>
    </row>
    <row r="196" spans="1:8">
      <c r="A196" s="1219"/>
      <c r="B196" s="1219"/>
      <c r="C196" s="1219"/>
      <c r="D196" s="1219"/>
      <c r="E196" s="1219"/>
      <c r="F196" s="1219"/>
      <c r="G196" s="1219"/>
      <c r="H196" s="1219"/>
    </row>
    <row r="197" spans="1:8">
      <c r="A197" s="1219"/>
      <c r="B197" s="1219"/>
      <c r="C197" s="1219"/>
      <c r="D197" s="1219"/>
      <c r="E197" s="1219"/>
      <c r="F197" s="1219"/>
      <c r="G197" s="1219"/>
      <c r="H197" s="1219"/>
    </row>
    <row r="198" spans="1:8">
      <c r="A198" s="1219"/>
      <c r="B198" s="1219"/>
      <c r="C198" s="1219"/>
      <c r="D198" s="1219"/>
      <c r="E198" s="1219"/>
      <c r="F198" s="1219"/>
      <c r="G198" s="1219"/>
      <c r="H198" s="1219"/>
    </row>
    <row r="199" spans="1:8">
      <c r="A199" s="1219"/>
      <c r="B199" s="1219"/>
      <c r="C199" s="1219"/>
      <c r="D199" s="1219"/>
      <c r="E199" s="1219"/>
      <c r="F199" s="1219"/>
      <c r="G199" s="1219"/>
      <c r="H199" s="1219"/>
    </row>
    <row r="200" spans="1:8">
      <c r="A200" s="1219"/>
      <c r="B200" s="1219"/>
      <c r="C200" s="1219"/>
      <c r="D200" s="1219"/>
      <c r="E200" s="1219"/>
      <c r="F200" s="1219"/>
      <c r="G200" s="1219"/>
      <c r="H200" s="1219"/>
    </row>
    <row r="201" spans="1:8">
      <c r="A201" s="1219"/>
      <c r="B201" s="1219"/>
      <c r="C201" s="1219"/>
      <c r="D201" s="1219"/>
      <c r="E201" s="1219"/>
      <c r="F201" s="1219"/>
      <c r="G201" s="1219"/>
      <c r="H201" s="1219"/>
    </row>
    <row r="202" spans="1:8">
      <c r="A202" s="1219"/>
      <c r="B202" s="1219"/>
      <c r="C202" s="1219"/>
      <c r="D202" s="1219"/>
      <c r="E202" s="1219"/>
      <c r="F202" s="1219"/>
      <c r="G202" s="1219"/>
      <c r="H202" s="1219"/>
    </row>
    <row r="203" spans="1:8">
      <c r="A203" s="1219"/>
      <c r="B203" s="1219"/>
      <c r="C203" s="1219"/>
      <c r="D203" s="1219"/>
      <c r="E203" s="1219"/>
      <c r="F203" s="1219"/>
      <c r="G203" s="1219"/>
      <c r="H203" s="1219"/>
    </row>
    <row r="204" spans="1:8">
      <c r="A204" s="1219"/>
      <c r="B204" s="1219"/>
      <c r="C204" s="1219"/>
      <c r="D204" s="1219"/>
      <c r="E204" s="1219"/>
      <c r="F204" s="1219"/>
      <c r="G204" s="1219"/>
      <c r="H204" s="1219"/>
    </row>
    <row r="205" spans="1:8">
      <c r="A205" s="1219"/>
      <c r="B205" s="1219"/>
      <c r="C205" s="1219"/>
      <c r="D205" s="1219"/>
      <c r="E205" s="1219"/>
      <c r="F205" s="1219"/>
      <c r="G205" s="1219"/>
      <c r="H205" s="1219"/>
    </row>
    <row r="206" spans="1:8">
      <c r="A206" s="1219"/>
      <c r="B206" s="1219"/>
      <c r="C206" s="1219"/>
      <c r="D206" s="1219"/>
      <c r="E206" s="1219"/>
      <c r="F206" s="1219"/>
      <c r="G206" s="1219"/>
      <c r="H206" s="1219"/>
    </row>
    <row r="207" spans="1:8">
      <c r="A207" s="1219"/>
      <c r="B207" s="1219"/>
      <c r="C207" s="1219"/>
      <c r="D207" s="1219"/>
      <c r="E207" s="1219"/>
      <c r="F207" s="1219"/>
      <c r="G207" s="1219"/>
      <c r="H207" s="1219"/>
    </row>
    <row r="208" spans="1:8">
      <c r="A208" s="1219"/>
      <c r="B208" s="1219"/>
      <c r="C208" s="1219"/>
      <c r="D208" s="1219"/>
      <c r="E208" s="1219"/>
      <c r="F208" s="1219"/>
      <c r="G208" s="1219"/>
      <c r="H208" s="1219"/>
    </row>
    <row r="209" spans="1:8">
      <c r="A209" s="1219"/>
      <c r="B209" s="1219"/>
      <c r="C209" s="1219"/>
      <c r="D209" s="1219"/>
      <c r="E209" s="1219"/>
      <c r="F209" s="1219"/>
      <c r="G209" s="1219"/>
      <c r="H209" s="1219"/>
    </row>
    <row r="210" spans="1:8">
      <c r="A210" s="1219"/>
      <c r="B210" s="1219"/>
      <c r="C210" s="1219"/>
      <c r="D210" s="1219"/>
      <c r="E210" s="1219"/>
      <c r="F210" s="1219"/>
      <c r="G210" s="1219"/>
      <c r="H210" s="1219"/>
    </row>
    <row r="211" spans="1:8">
      <c r="A211" s="1219"/>
      <c r="B211" s="1219"/>
      <c r="C211" s="1219"/>
      <c r="D211" s="1219"/>
      <c r="E211" s="1219"/>
      <c r="F211" s="1219"/>
      <c r="G211" s="1219"/>
      <c r="H211" s="1219"/>
    </row>
    <row r="212" spans="1:8">
      <c r="A212" s="1219"/>
      <c r="B212" s="1219"/>
      <c r="C212" s="1219"/>
      <c r="D212" s="1219"/>
      <c r="E212" s="1219"/>
      <c r="F212" s="1219"/>
      <c r="G212" s="1219"/>
      <c r="H212" s="1219"/>
    </row>
    <row r="213" spans="1:8">
      <c r="A213" s="1219"/>
      <c r="B213" s="1219"/>
      <c r="C213" s="1219"/>
      <c r="D213" s="1219"/>
      <c r="E213" s="1219"/>
      <c r="F213" s="1219"/>
      <c r="G213" s="1219"/>
      <c r="H213" s="1219"/>
    </row>
    <row r="214" spans="1:8" ht="15.6">
      <c r="A214" s="1220" t="s">
        <v>1005</v>
      </c>
      <c r="B214" s="1219"/>
      <c r="C214" s="1219"/>
      <c r="D214" s="1219"/>
      <c r="E214" s="1219"/>
      <c r="F214" s="1219"/>
      <c r="G214" s="1219"/>
      <c r="H214" s="1219"/>
    </row>
    <row r="215" spans="1:8">
      <c r="A215" s="1219"/>
      <c r="B215" s="1219"/>
      <c r="C215" s="1219"/>
      <c r="D215" s="1219"/>
      <c r="E215" s="1219"/>
      <c r="F215" s="1219"/>
      <c r="G215" s="1219"/>
      <c r="H215" s="1219"/>
    </row>
    <row r="216" spans="1:8">
      <c r="A216" s="1219" t="s">
        <v>1620</v>
      </c>
      <c r="B216" s="1219"/>
      <c r="C216" s="1219"/>
      <c r="D216" s="1219"/>
      <c r="E216" s="1219"/>
      <c r="F216" s="1219"/>
      <c r="G216" s="1219"/>
      <c r="H216" s="1219"/>
    </row>
    <row r="217" spans="1:8">
      <c r="A217" s="1219" t="s">
        <v>1621</v>
      </c>
      <c r="B217" s="1219"/>
      <c r="C217" s="1219"/>
      <c r="D217" s="1219"/>
      <c r="E217" s="1219"/>
      <c r="F217" s="1219"/>
      <c r="G217" s="1219"/>
      <c r="H217" s="1219"/>
    </row>
    <row r="218" spans="1:8">
      <c r="A218" s="1219" t="s">
        <v>1622</v>
      </c>
      <c r="B218" s="1219"/>
      <c r="C218" s="1219"/>
      <c r="D218" s="1219"/>
      <c r="E218" s="1219"/>
      <c r="F218" s="1219"/>
      <c r="G218" s="1219"/>
      <c r="H218" s="1219"/>
    </row>
    <row r="219" spans="1:8">
      <c r="A219" s="1219" t="s">
        <v>1623</v>
      </c>
      <c r="B219" s="1219"/>
      <c r="C219" s="1219"/>
      <c r="D219" s="1219"/>
      <c r="E219" s="1219"/>
      <c r="F219" s="1219"/>
      <c r="G219" s="1219"/>
      <c r="H219" s="1219"/>
    </row>
    <row r="220" spans="1:8">
      <c r="A220" s="1219" t="s">
        <v>1624</v>
      </c>
      <c r="B220" s="1219"/>
      <c r="C220" s="1219"/>
      <c r="D220" s="1219"/>
      <c r="E220" s="1219"/>
      <c r="F220" s="1219"/>
      <c r="G220" s="1219"/>
      <c r="H220" s="1219"/>
    </row>
    <row r="221" spans="1:8">
      <c r="A221" s="1219"/>
      <c r="B221" s="1219"/>
      <c r="C221" s="1219"/>
      <c r="D221" s="1219"/>
      <c r="E221" s="1219"/>
      <c r="F221" s="1219"/>
      <c r="G221" s="1219"/>
      <c r="H221" s="1219"/>
    </row>
    <row r="222" spans="1:8">
      <c r="A222" s="1219" t="s">
        <v>1625</v>
      </c>
      <c r="B222" s="1219"/>
      <c r="C222" s="1219"/>
      <c r="D222" s="1219"/>
      <c r="E222" s="1219"/>
      <c r="F222" s="1219"/>
      <c r="G222" s="1219"/>
      <c r="H222" s="1219"/>
    </row>
    <row r="223" spans="1:8">
      <c r="A223" s="1219" t="s">
        <v>1626</v>
      </c>
      <c r="B223" s="1219"/>
      <c r="C223" s="1219"/>
      <c r="D223" s="1219"/>
      <c r="E223" s="1219"/>
      <c r="F223" s="1219"/>
      <c r="G223" s="1219"/>
      <c r="H223" s="1219"/>
    </row>
    <row r="224" spans="1:8">
      <c r="A224" s="1219" t="s">
        <v>1627</v>
      </c>
      <c r="B224" s="1219"/>
      <c r="C224" s="1219"/>
      <c r="D224" s="1219"/>
      <c r="E224" s="1219"/>
      <c r="F224" s="1219"/>
      <c r="G224" s="1219"/>
      <c r="H224" s="1219"/>
    </row>
    <row r="225" spans="1:8">
      <c r="A225" s="1219"/>
      <c r="B225" s="1219"/>
      <c r="C225" s="1219"/>
      <c r="D225" s="1219"/>
      <c r="E225" s="1219"/>
      <c r="F225" s="1219"/>
      <c r="G225" s="1219"/>
      <c r="H225" s="1219"/>
    </row>
    <row r="226" spans="1:8" ht="15.6">
      <c r="A226" s="1220" t="s">
        <v>1006</v>
      </c>
      <c r="B226" s="1219"/>
      <c r="C226" s="1219"/>
      <c r="D226" s="1219"/>
      <c r="E226" s="1219"/>
      <c r="F226" s="1219"/>
      <c r="G226" s="1219"/>
      <c r="H226" s="1219"/>
    </row>
    <row r="227" spans="1:8">
      <c r="A227" s="1219"/>
      <c r="B227" s="1219"/>
      <c r="C227" s="1219"/>
      <c r="D227" s="1219"/>
      <c r="E227" s="1219"/>
      <c r="F227" s="1219"/>
      <c r="G227" s="1219"/>
      <c r="H227" s="1219"/>
    </row>
    <row r="228" spans="1:8">
      <c r="A228" s="1219" t="s">
        <v>1628</v>
      </c>
      <c r="B228" s="1219"/>
      <c r="C228" s="1219"/>
      <c r="D228" s="1219"/>
      <c r="E228" s="1219"/>
      <c r="F228" s="1219"/>
      <c r="G228" s="1219"/>
      <c r="H228" s="1219"/>
    </row>
    <row r="229" spans="1:8">
      <c r="A229" s="1219" t="s">
        <v>1629</v>
      </c>
      <c r="B229" s="1219"/>
      <c r="C229" s="1219"/>
      <c r="D229" s="1219"/>
      <c r="E229" s="1219"/>
      <c r="F229" s="1219"/>
      <c r="G229" s="1219"/>
      <c r="H229" s="1219"/>
    </row>
    <row r="230" spans="1:8">
      <c r="A230" s="1219" t="s">
        <v>1630</v>
      </c>
      <c r="B230" s="1219"/>
      <c r="C230" s="1219"/>
      <c r="D230" s="1219"/>
      <c r="E230" s="1219"/>
      <c r="F230" s="1219"/>
      <c r="G230" s="1219"/>
      <c r="H230" s="1219"/>
    </row>
    <row r="231" spans="1:8">
      <c r="A231" s="1219" t="s">
        <v>1631</v>
      </c>
      <c r="B231" s="1219"/>
      <c r="C231" s="1219"/>
      <c r="D231" s="1219"/>
      <c r="E231" s="1219"/>
      <c r="F231" s="1219"/>
      <c r="G231" s="1219"/>
      <c r="H231" s="1219"/>
    </row>
    <row r="232" spans="1:8">
      <c r="A232" s="1219" t="s">
        <v>1632</v>
      </c>
      <c r="B232" s="1219"/>
      <c r="C232" s="1219"/>
      <c r="D232" s="1219"/>
      <c r="E232" s="1219"/>
      <c r="F232" s="1219"/>
      <c r="G232" s="1219"/>
      <c r="H232" s="1219"/>
    </row>
    <row r="233" spans="1:8">
      <c r="A233" s="1219" t="s">
        <v>1633</v>
      </c>
      <c r="B233" s="1219"/>
      <c r="C233" s="1219"/>
      <c r="D233" s="1219"/>
      <c r="E233" s="1219"/>
      <c r="F233" s="1219"/>
      <c r="G233" s="1219"/>
      <c r="H233" s="1219"/>
    </row>
    <row r="234" spans="1:8">
      <c r="A234" s="1219" t="s">
        <v>1634</v>
      </c>
      <c r="B234" s="1219"/>
      <c r="C234" s="1219"/>
      <c r="D234" s="1219"/>
      <c r="E234" s="1219"/>
      <c r="F234" s="1219"/>
      <c r="G234" s="1219"/>
      <c r="H234" s="1219"/>
    </row>
    <row r="235" spans="1:8">
      <c r="A235" s="1219"/>
      <c r="B235" s="1219"/>
      <c r="C235" s="1219"/>
      <c r="D235" s="1219"/>
      <c r="E235" s="1219"/>
      <c r="F235" s="1219"/>
      <c r="G235" s="1219"/>
      <c r="H235" s="1219"/>
    </row>
    <row r="236" spans="1:8">
      <c r="A236" s="1219" t="s">
        <v>1635</v>
      </c>
      <c r="B236" s="1219"/>
      <c r="C236" s="1219"/>
      <c r="D236" s="1219"/>
      <c r="E236" s="1219"/>
      <c r="F236" s="1219"/>
      <c r="G236" s="1219"/>
      <c r="H236" s="1219"/>
    </row>
    <row r="237" spans="1:8">
      <c r="A237" s="1219" t="s">
        <v>1636</v>
      </c>
      <c r="B237" s="1219"/>
      <c r="C237" s="1219"/>
      <c r="D237" s="1219"/>
      <c r="E237" s="1219"/>
      <c r="F237" s="1219"/>
      <c r="G237" s="1219"/>
      <c r="H237" s="1219"/>
    </row>
    <row r="238" spans="1:8">
      <c r="A238" s="1219" t="s">
        <v>1637</v>
      </c>
      <c r="B238" s="1219"/>
      <c r="C238" s="1219"/>
      <c r="D238" s="1219"/>
      <c r="E238" s="1219"/>
      <c r="F238" s="1219"/>
      <c r="G238" s="1219"/>
      <c r="H238" s="1219"/>
    </row>
    <row r="239" spans="1:8">
      <c r="A239" s="1219"/>
      <c r="B239" s="1219"/>
      <c r="C239" s="1219"/>
      <c r="D239" s="1219"/>
      <c r="E239" s="1219"/>
      <c r="F239" s="1219"/>
      <c r="G239" s="1219"/>
      <c r="H239" s="1219"/>
    </row>
    <row r="240" spans="1:8">
      <c r="A240" s="1219" t="s">
        <v>1638</v>
      </c>
      <c r="B240" s="1219"/>
      <c r="C240" s="1219"/>
      <c r="D240" s="1219"/>
      <c r="E240" s="1219"/>
      <c r="F240" s="1219"/>
      <c r="G240" s="1219"/>
      <c r="H240" s="1219"/>
    </row>
    <row r="241" spans="1:8">
      <c r="A241" s="1219" t="s">
        <v>1639</v>
      </c>
      <c r="B241" s="1219"/>
      <c r="C241" s="1219"/>
      <c r="D241" s="1219"/>
      <c r="E241" s="1219"/>
      <c r="F241" s="1219"/>
      <c r="G241" s="1219"/>
      <c r="H241" s="1219"/>
    </row>
    <row r="242" spans="1:8">
      <c r="A242" s="1219" t="s">
        <v>1640</v>
      </c>
      <c r="B242" s="1219"/>
      <c r="C242" s="1219"/>
      <c r="D242" s="1219"/>
      <c r="E242" s="1219"/>
      <c r="F242" s="1219"/>
      <c r="G242" s="1219"/>
      <c r="H242" s="1219"/>
    </row>
    <row r="243" spans="1:8">
      <c r="A243" s="1219" t="s">
        <v>1641</v>
      </c>
      <c r="B243" s="1219"/>
      <c r="C243" s="1219"/>
      <c r="D243" s="1219"/>
      <c r="E243" s="1219"/>
      <c r="F243" s="1219"/>
      <c r="G243" s="1219"/>
      <c r="H243" s="1219"/>
    </row>
    <row r="244" spans="1:8">
      <c r="A244" s="1219" t="s">
        <v>1642</v>
      </c>
      <c r="B244" s="1219"/>
      <c r="C244" s="1219"/>
      <c r="D244" s="1219"/>
      <c r="E244" s="1219"/>
      <c r="F244" s="1219"/>
      <c r="G244" s="1219"/>
      <c r="H244" s="1219"/>
    </row>
    <row r="245" spans="1:8">
      <c r="A245" s="1219"/>
      <c r="B245" s="1219"/>
      <c r="C245" s="1219"/>
      <c r="D245" s="1219"/>
      <c r="E245" s="1219"/>
      <c r="F245" s="1219"/>
      <c r="G245" s="1219"/>
      <c r="H245" s="1219"/>
    </row>
    <row r="246" spans="1:8">
      <c r="A246" s="1219" t="s">
        <v>1643</v>
      </c>
      <c r="B246" s="1219"/>
      <c r="C246" s="1219"/>
      <c r="D246" s="1219"/>
      <c r="E246" s="1219"/>
      <c r="F246" s="1219"/>
      <c r="G246" s="1219"/>
      <c r="H246" s="1219"/>
    </row>
    <row r="247" spans="1:8">
      <c r="A247" s="1219" t="s">
        <v>1644</v>
      </c>
      <c r="B247" s="1219"/>
      <c r="C247" s="1219"/>
      <c r="D247" s="1219"/>
      <c r="E247" s="1219"/>
      <c r="F247" s="1219"/>
      <c r="G247" s="1219"/>
      <c r="H247" s="1219"/>
    </row>
    <row r="248" spans="1:8">
      <c r="A248" s="1219" t="s">
        <v>1645</v>
      </c>
      <c r="B248" s="1219"/>
      <c r="C248" s="1219"/>
      <c r="D248" s="1219"/>
      <c r="E248" s="1219"/>
      <c r="F248" s="1219"/>
      <c r="G248" s="1219"/>
      <c r="H248" s="1219"/>
    </row>
    <row r="249" spans="1:8">
      <c r="A249" s="1219" t="s">
        <v>1646</v>
      </c>
      <c r="B249" s="1219"/>
      <c r="C249" s="1219"/>
      <c r="D249" s="1219"/>
      <c r="E249" s="1219"/>
      <c r="F249" s="1219"/>
      <c r="G249" s="1219"/>
      <c r="H249" s="1219"/>
    </row>
    <row r="250" spans="1:8">
      <c r="A250" s="1219" t="s">
        <v>1647</v>
      </c>
      <c r="B250" s="1219"/>
      <c r="C250" s="1219"/>
      <c r="D250" s="1219"/>
      <c r="E250" s="1219"/>
      <c r="F250" s="1219"/>
      <c r="G250" s="1219"/>
      <c r="H250" s="1219"/>
    </row>
    <row r="251" spans="1:8">
      <c r="A251" s="1219" t="s">
        <v>1648</v>
      </c>
      <c r="B251" s="1219"/>
      <c r="C251" s="1219"/>
      <c r="D251" s="1219"/>
      <c r="E251" s="1219"/>
      <c r="F251" s="1219"/>
      <c r="G251" s="1219"/>
      <c r="H251" s="1219"/>
    </row>
    <row r="252" spans="1:8">
      <c r="A252" s="1219"/>
      <c r="B252" s="1219"/>
      <c r="C252" s="1219"/>
      <c r="D252" s="1219"/>
      <c r="E252" s="1219"/>
      <c r="F252" s="1219"/>
      <c r="G252" s="1219"/>
      <c r="H252" s="1219"/>
    </row>
    <row r="253" spans="1:8">
      <c r="A253" s="1219" t="s">
        <v>1649</v>
      </c>
      <c r="B253" s="1219"/>
      <c r="C253" s="1219"/>
      <c r="D253" s="1219"/>
      <c r="E253" s="1219"/>
      <c r="F253" s="1219"/>
      <c r="G253" s="1219"/>
      <c r="H253" s="1219"/>
    </row>
    <row r="254" spans="1:8">
      <c r="A254" s="1219" t="s">
        <v>1650</v>
      </c>
      <c r="B254" s="1219"/>
      <c r="C254" s="1219"/>
      <c r="D254" s="1219"/>
      <c r="E254" s="1219"/>
      <c r="F254" s="1219"/>
      <c r="G254" s="1219"/>
      <c r="H254" s="1219"/>
    </row>
    <row r="255" spans="1:8">
      <c r="A255" s="1219" t="s">
        <v>1651</v>
      </c>
      <c r="B255" s="1219"/>
      <c r="C255" s="1219"/>
      <c r="D255" s="1219"/>
      <c r="E255" s="1219"/>
      <c r="F255" s="1219"/>
      <c r="G255" s="1219"/>
      <c r="H255" s="1219"/>
    </row>
    <row r="256" spans="1:8">
      <c r="A256" s="1219" t="s">
        <v>1652</v>
      </c>
      <c r="B256" s="1219"/>
      <c r="C256" s="1219"/>
      <c r="D256" s="1219"/>
      <c r="E256" s="1219"/>
      <c r="F256" s="1219"/>
      <c r="G256" s="1219"/>
      <c r="H256" s="1219"/>
    </row>
    <row r="257" spans="1:8">
      <c r="A257" s="1219" t="s">
        <v>1653</v>
      </c>
      <c r="B257" s="1219"/>
      <c r="C257" s="1219"/>
      <c r="D257" s="1219"/>
      <c r="E257" s="1219"/>
      <c r="F257" s="1219"/>
      <c r="G257" s="1219"/>
      <c r="H257" s="1219"/>
    </row>
    <row r="258" spans="1:8">
      <c r="A258" s="1219" t="s">
        <v>1654</v>
      </c>
      <c r="B258" s="1219"/>
      <c r="C258" s="1219"/>
      <c r="D258" s="1219"/>
      <c r="E258" s="1219"/>
      <c r="F258" s="1219"/>
      <c r="G258" s="1219"/>
      <c r="H258" s="1219"/>
    </row>
    <row r="259" spans="1:8">
      <c r="A259" s="1219" t="s">
        <v>1655</v>
      </c>
      <c r="B259" s="1219"/>
      <c r="C259" s="1219"/>
      <c r="D259" s="1219"/>
      <c r="E259" s="1219"/>
      <c r="F259" s="1219"/>
      <c r="G259" s="1219"/>
      <c r="H259" s="1219"/>
    </row>
    <row r="260" spans="1:8">
      <c r="A260" s="1219" t="s">
        <v>1656</v>
      </c>
      <c r="B260" s="1219"/>
      <c r="C260" s="1219"/>
      <c r="D260" s="1219"/>
      <c r="E260" s="1219"/>
      <c r="F260" s="1219"/>
      <c r="G260" s="1219"/>
      <c r="H260" s="1219"/>
    </row>
    <row r="261" spans="1:8">
      <c r="A261" s="1219" t="s">
        <v>1657</v>
      </c>
      <c r="B261" s="1219"/>
      <c r="C261" s="1219"/>
      <c r="D261" s="1219"/>
      <c r="E261" s="1219"/>
      <c r="F261" s="1219"/>
      <c r="G261" s="1219"/>
      <c r="H261" s="1219"/>
    </row>
    <row r="262" spans="1:8">
      <c r="A262" s="1219" t="s">
        <v>1658</v>
      </c>
      <c r="B262" s="1219"/>
      <c r="C262" s="1219"/>
      <c r="D262" s="1219"/>
      <c r="E262" s="1219"/>
      <c r="F262" s="1219"/>
      <c r="G262" s="1219"/>
      <c r="H262" s="1219"/>
    </row>
    <row r="263" spans="1:8">
      <c r="A263" s="1219" t="s">
        <v>1659</v>
      </c>
      <c r="B263" s="1219"/>
      <c r="C263" s="1219"/>
      <c r="D263" s="1219"/>
      <c r="E263" s="1219"/>
      <c r="F263" s="1219"/>
      <c r="G263" s="1219"/>
      <c r="H263" s="1219"/>
    </row>
    <row r="264" spans="1:8">
      <c r="A264" s="1219" t="s">
        <v>1660</v>
      </c>
      <c r="B264" s="1219"/>
      <c r="C264" s="1219"/>
      <c r="D264" s="1219"/>
      <c r="E264" s="1219"/>
      <c r="F264" s="1219"/>
      <c r="G264" s="1219"/>
      <c r="H264" s="1219"/>
    </row>
    <row r="265" spans="1:8">
      <c r="A265" s="1219" t="s">
        <v>1661</v>
      </c>
      <c r="B265" s="1219"/>
      <c r="C265" s="1219"/>
      <c r="D265" s="1219"/>
      <c r="E265" s="1219"/>
      <c r="F265" s="1219"/>
      <c r="G265" s="1219"/>
      <c r="H265" s="1219"/>
    </row>
    <row r="266" spans="1:8">
      <c r="A266" s="1219" t="s">
        <v>1662</v>
      </c>
      <c r="B266" s="1219"/>
      <c r="C266" s="1219"/>
      <c r="D266" s="1219"/>
      <c r="E266" s="1219"/>
      <c r="F266" s="1219"/>
      <c r="G266" s="1219"/>
      <c r="H266" s="1219"/>
    </row>
    <row r="267" spans="1:8">
      <c r="A267" s="1219"/>
      <c r="B267" s="1219"/>
      <c r="C267" s="1219"/>
      <c r="D267" s="1219"/>
      <c r="E267" s="1219"/>
      <c r="F267" s="1219"/>
      <c r="G267" s="1219"/>
      <c r="H267" s="1219"/>
    </row>
    <row r="268" spans="1:8">
      <c r="A268" s="1219" t="s">
        <v>1663</v>
      </c>
      <c r="B268" s="1219"/>
      <c r="C268" s="1219"/>
      <c r="D268" s="1219"/>
      <c r="E268" s="1219"/>
      <c r="F268" s="1219"/>
      <c r="G268" s="1219"/>
      <c r="H268" s="1219"/>
    </row>
    <row r="269" spans="1:8">
      <c r="A269" s="1219" t="s">
        <v>1664</v>
      </c>
      <c r="B269" s="1219"/>
      <c r="C269" s="1219"/>
      <c r="D269" s="1219"/>
      <c r="E269" s="1219"/>
      <c r="F269" s="1219"/>
      <c r="G269" s="1219"/>
      <c r="H269" s="1219"/>
    </row>
    <row r="270" spans="1:8">
      <c r="A270" s="1219"/>
      <c r="B270" s="1219"/>
      <c r="C270" s="1219"/>
      <c r="D270" s="1219"/>
      <c r="E270" s="1219"/>
      <c r="F270" s="1219"/>
      <c r="G270" s="1219"/>
      <c r="H270" s="1219"/>
    </row>
    <row r="271" spans="1:8">
      <c r="A271" s="1219" t="s">
        <v>1665</v>
      </c>
      <c r="B271" s="1219"/>
      <c r="C271" s="1219"/>
      <c r="D271" s="1219"/>
      <c r="E271" s="1219"/>
      <c r="F271" s="1219"/>
      <c r="G271" s="1219"/>
      <c r="H271" s="1219"/>
    </row>
    <row r="272" spans="1:8">
      <c r="A272" s="1219" t="s">
        <v>1666</v>
      </c>
      <c r="B272" s="1219"/>
      <c r="C272" s="1219"/>
      <c r="D272" s="1219"/>
      <c r="E272" s="1219"/>
      <c r="F272" s="1219"/>
      <c r="G272" s="1219"/>
      <c r="H272" s="1219"/>
    </row>
    <row r="273" spans="1:8">
      <c r="A273" s="1219" t="s">
        <v>1667</v>
      </c>
      <c r="B273" s="1219"/>
      <c r="C273" s="1219"/>
      <c r="D273" s="1219"/>
      <c r="E273" s="1219"/>
      <c r="F273" s="1219"/>
      <c r="G273" s="1219"/>
      <c r="H273" s="1219"/>
    </row>
    <row r="274" spans="1:8">
      <c r="A274" s="1219" t="s">
        <v>1668</v>
      </c>
      <c r="B274" s="1219"/>
      <c r="C274" s="1219"/>
      <c r="D274" s="1219"/>
      <c r="E274" s="1219"/>
      <c r="F274" s="1219"/>
      <c r="G274" s="1219"/>
      <c r="H274" s="1219"/>
    </row>
    <row r="275" spans="1:8">
      <c r="A275" s="1219" t="s">
        <v>1669</v>
      </c>
      <c r="B275" s="1219"/>
      <c r="C275" s="1219"/>
      <c r="D275" s="1219"/>
      <c r="E275" s="1219"/>
      <c r="F275" s="1219"/>
      <c r="G275" s="1219"/>
      <c r="H275" s="1219"/>
    </row>
    <row r="276" spans="1:8">
      <c r="A276" s="1219" t="s">
        <v>1670</v>
      </c>
      <c r="B276" s="1219"/>
      <c r="C276" s="1219"/>
      <c r="D276" s="1219"/>
      <c r="E276" s="1219"/>
      <c r="F276" s="1219"/>
      <c r="G276" s="1219"/>
      <c r="H276" s="1219"/>
    </row>
    <row r="277" spans="1:8">
      <c r="A277" s="1219" t="s">
        <v>1671</v>
      </c>
      <c r="B277" s="1219"/>
      <c r="C277" s="1219"/>
      <c r="D277" s="1219"/>
      <c r="E277" s="1219"/>
      <c r="F277" s="1219"/>
      <c r="G277" s="1219"/>
      <c r="H277" s="1219"/>
    </row>
    <row r="278" spans="1:8">
      <c r="A278" s="1219" t="s">
        <v>1672</v>
      </c>
      <c r="B278" s="1219"/>
      <c r="C278" s="1219"/>
      <c r="D278" s="1219"/>
      <c r="E278" s="1219"/>
      <c r="F278" s="1219"/>
      <c r="G278" s="1219"/>
      <c r="H278" s="1219"/>
    </row>
    <row r="279" spans="1:8">
      <c r="A279" s="1219" t="s">
        <v>1673</v>
      </c>
      <c r="B279" s="1219"/>
      <c r="C279" s="1219"/>
      <c r="D279" s="1219"/>
      <c r="E279" s="1219"/>
      <c r="F279" s="1219"/>
      <c r="G279" s="1219"/>
      <c r="H279" s="1219"/>
    </row>
    <row r="280" spans="1:8">
      <c r="A280" s="1219" t="s">
        <v>1674</v>
      </c>
      <c r="B280" s="1219"/>
      <c r="C280" s="1219"/>
      <c r="D280" s="1219"/>
      <c r="E280" s="1219"/>
      <c r="F280" s="1219"/>
      <c r="G280" s="1219"/>
      <c r="H280" s="1219"/>
    </row>
    <row r="281" spans="1:8">
      <c r="A281" s="1219" t="s">
        <v>1675</v>
      </c>
      <c r="B281" s="1219"/>
      <c r="C281" s="1219"/>
      <c r="D281" s="1219"/>
      <c r="E281" s="1219"/>
      <c r="F281" s="1219"/>
      <c r="G281" s="1219"/>
      <c r="H281" s="1219"/>
    </row>
    <row r="282" spans="1:8">
      <c r="A282" s="1219" t="s">
        <v>1676</v>
      </c>
      <c r="B282" s="1219"/>
      <c r="C282" s="1219"/>
      <c r="D282" s="1219"/>
      <c r="E282" s="1219"/>
      <c r="F282" s="1219"/>
      <c r="G282" s="1219"/>
      <c r="H282" s="1219"/>
    </row>
    <row r="283" spans="1:8">
      <c r="A283" s="1219" t="s">
        <v>1677</v>
      </c>
      <c r="B283" s="1219"/>
      <c r="C283" s="1219"/>
      <c r="D283" s="1219"/>
      <c r="E283" s="1219"/>
      <c r="F283" s="1219"/>
      <c r="G283" s="1219"/>
      <c r="H283" s="1219"/>
    </row>
    <row r="284" spans="1:8">
      <c r="A284" s="1219" t="s">
        <v>1678</v>
      </c>
      <c r="B284" s="1219"/>
      <c r="C284" s="1219"/>
      <c r="D284" s="1219"/>
      <c r="E284" s="1219"/>
      <c r="F284" s="1219"/>
      <c r="G284" s="1219"/>
      <c r="H284" s="1219"/>
    </row>
    <row r="285" spans="1:8">
      <c r="A285" s="1219" t="s">
        <v>1679</v>
      </c>
      <c r="B285" s="1219"/>
      <c r="C285" s="1219"/>
      <c r="D285" s="1219"/>
      <c r="E285" s="1219"/>
      <c r="F285" s="1219"/>
      <c r="G285" s="1219"/>
      <c r="H285" s="1219"/>
    </row>
    <row r="286" spans="1:8">
      <c r="A286" s="1219" t="s">
        <v>1680</v>
      </c>
      <c r="B286" s="1219"/>
      <c r="C286" s="1219"/>
      <c r="D286" s="1219"/>
      <c r="E286" s="1219"/>
      <c r="F286" s="1219"/>
      <c r="G286" s="1219"/>
      <c r="H286" s="1219"/>
    </row>
    <row r="287" spans="1:8">
      <c r="A287" s="1219"/>
      <c r="B287" s="1219"/>
      <c r="C287" s="1219"/>
      <c r="D287" s="1219"/>
      <c r="E287" s="1219"/>
      <c r="F287" s="1219"/>
      <c r="G287" s="1219"/>
      <c r="H287" s="1219"/>
    </row>
    <row r="288" spans="1:8">
      <c r="A288" s="1219" t="s">
        <v>1681</v>
      </c>
      <c r="B288" s="1219"/>
      <c r="C288" s="1219"/>
      <c r="D288" s="1219"/>
      <c r="E288" s="1219"/>
      <c r="F288" s="1219"/>
      <c r="G288" s="1219"/>
      <c r="H288" s="1219"/>
    </row>
    <row r="289" spans="1:8">
      <c r="A289" s="1219" t="s">
        <v>1682</v>
      </c>
      <c r="B289" s="1219"/>
      <c r="C289" s="1219"/>
      <c r="D289" s="1219"/>
      <c r="E289" s="1219"/>
      <c r="F289" s="1219"/>
      <c r="G289" s="1219"/>
      <c r="H289" s="1219"/>
    </row>
    <row r="290" spans="1:8">
      <c r="A290" s="1219" t="s">
        <v>1683</v>
      </c>
      <c r="B290" s="1219"/>
      <c r="C290" s="1219"/>
      <c r="D290" s="1219"/>
      <c r="E290" s="1219"/>
      <c r="F290" s="1219"/>
      <c r="G290" s="1219"/>
      <c r="H290" s="1219"/>
    </row>
    <row r="291" spans="1:8">
      <c r="A291" s="1219" t="s">
        <v>1684</v>
      </c>
      <c r="B291" s="1219"/>
      <c r="C291" s="1219"/>
      <c r="D291" s="1219"/>
      <c r="E291" s="1219"/>
      <c r="F291" s="1219"/>
      <c r="G291" s="1219"/>
      <c r="H291" s="1219"/>
    </row>
    <row r="292" spans="1:8">
      <c r="A292" s="1219" t="s">
        <v>1685</v>
      </c>
      <c r="B292" s="1219"/>
      <c r="C292" s="1219"/>
      <c r="D292" s="1219"/>
      <c r="E292" s="1219"/>
      <c r="F292" s="1219"/>
      <c r="G292" s="1219"/>
      <c r="H292" s="1219"/>
    </row>
    <row r="293" spans="1:8">
      <c r="A293" s="1219" t="s">
        <v>1686</v>
      </c>
      <c r="B293" s="1219"/>
      <c r="C293" s="1219"/>
      <c r="D293" s="1219"/>
      <c r="E293" s="1219"/>
      <c r="F293" s="1219"/>
      <c r="G293" s="1219"/>
      <c r="H293" s="1219"/>
    </row>
    <row r="294" spans="1:8">
      <c r="A294" s="1219" t="s">
        <v>1565</v>
      </c>
      <c r="B294" s="1219"/>
      <c r="C294" s="1219"/>
      <c r="D294" s="1219"/>
      <c r="E294" s="1219"/>
      <c r="F294" s="1219"/>
      <c r="G294" s="1219"/>
      <c r="H294" s="1219"/>
    </row>
    <row r="295" spans="1:8">
      <c r="A295" s="1219"/>
      <c r="B295" s="1219"/>
      <c r="C295" s="1219"/>
      <c r="D295" s="1219"/>
      <c r="E295" s="1219"/>
      <c r="F295" s="1219"/>
      <c r="G295" s="1219"/>
      <c r="H295" s="1219"/>
    </row>
    <row r="296" spans="1:8">
      <c r="A296" s="1219" t="s">
        <v>1687</v>
      </c>
      <c r="B296" s="1219"/>
      <c r="C296" s="1219"/>
      <c r="D296" s="1219"/>
      <c r="E296" s="1219"/>
      <c r="F296" s="1219"/>
      <c r="G296" s="1219"/>
      <c r="H296" s="1219"/>
    </row>
    <row r="297" spans="1:8">
      <c r="A297" s="1219" t="s">
        <v>1688</v>
      </c>
      <c r="B297" s="1219"/>
      <c r="C297" s="1219"/>
      <c r="D297" s="1219"/>
      <c r="E297" s="1219"/>
      <c r="F297" s="1219"/>
      <c r="G297" s="1219"/>
      <c r="H297" s="1219"/>
    </row>
    <row r="298" spans="1:8">
      <c r="A298" s="1219" t="s">
        <v>1689</v>
      </c>
      <c r="B298" s="1219"/>
      <c r="C298" s="1219"/>
      <c r="D298" s="1219"/>
      <c r="E298" s="1219"/>
      <c r="F298" s="1219"/>
      <c r="G298" s="1219"/>
      <c r="H298" s="1219"/>
    </row>
    <row r="299" spans="1:8">
      <c r="A299" s="1219" t="s">
        <v>1690</v>
      </c>
      <c r="B299" s="1219"/>
      <c r="C299" s="1219"/>
      <c r="D299" s="1219"/>
      <c r="E299" s="1219"/>
      <c r="F299" s="1219"/>
      <c r="G299" s="1219"/>
      <c r="H299" s="1219"/>
    </row>
    <row r="300" spans="1:8">
      <c r="A300" s="1219" t="s">
        <v>1691</v>
      </c>
      <c r="B300" s="1219"/>
      <c r="C300" s="1219"/>
      <c r="D300" s="1219"/>
      <c r="E300" s="1219"/>
      <c r="F300" s="1219"/>
      <c r="G300" s="1219"/>
      <c r="H300" s="1219"/>
    </row>
    <row r="301" spans="1:8">
      <c r="A301" s="1219" t="s">
        <v>1692</v>
      </c>
      <c r="B301" s="1219"/>
      <c r="C301" s="1219"/>
      <c r="D301" s="1219"/>
      <c r="E301" s="1219"/>
      <c r="F301" s="1219"/>
      <c r="G301" s="1219"/>
      <c r="H301" s="1219"/>
    </row>
    <row r="302" spans="1:8">
      <c r="A302" s="1219" t="s">
        <v>1693</v>
      </c>
      <c r="B302" s="1219"/>
      <c r="C302" s="1219"/>
      <c r="D302" s="1219"/>
      <c r="E302" s="1219"/>
      <c r="F302" s="1219"/>
      <c r="G302" s="1219"/>
      <c r="H302" s="1219"/>
    </row>
    <row r="303" spans="1:8">
      <c r="A303" s="1219" t="s">
        <v>1694</v>
      </c>
      <c r="B303" s="1219"/>
      <c r="C303" s="1219"/>
      <c r="D303" s="1219"/>
      <c r="E303" s="1219"/>
      <c r="F303" s="1219"/>
      <c r="G303" s="1219"/>
      <c r="H303" s="1219"/>
    </row>
    <row r="304" spans="1:8">
      <c r="A304" s="1219" t="s">
        <v>1695</v>
      </c>
      <c r="B304" s="1219"/>
      <c r="C304" s="1219"/>
      <c r="D304" s="1219"/>
      <c r="E304" s="1219"/>
      <c r="F304" s="1219"/>
      <c r="G304" s="1219"/>
      <c r="H304" s="1219"/>
    </row>
    <row r="305" spans="1:8">
      <c r="A305" s="1219"/>
      <c r="B305" s="1219"/>
      <c r="C305" s="1219"/>
      <c r="D305" s="1219"/>
      <c r="E305" s="1219"/>
      <c r="F305" s="1219"/>
      <c r="G305" s="1219"/>
      <c r="H305" s="1219"/>
    </row>
    <row r="306" spans="1:8">
      <c r="A306" s="1219" t="s">
        <v>1696</v>
      </c>
      <c r="B306" s="1219"/>
      <c r="C306" s="1219"/>
      <c r="D306" s="1219"/>
      <c r="E306" s="1219"/>
      <c r="F306" s="1219"/>
      <c r="G306" s="1219"/>
      <c r="H306" s="1219"/>
    </row>
    <row r="307" spans="1:8">
      <c r="A307" s="1219" t="s">
        <v>1697</v>
      </c>
      <c r="B307" s="1219"/>
      <c r="C307" s="1219"/>
      <c r="D307" s="1219"/>
      <c r="E307" s="1219"/>
      <c r="F307" s="1219"/>
      <c r="G307" s="1219"/>
      <c r="H307" s="1219"/>
    </row>
    <row r="308" spans="1:8">
      <c r="A308" s="1219" t="s">
        <v>1698</v>
      </c>
      <c r="B308" s="1219"/>
      <c r="C308" s="1219"/>
      <c r="D308" s="1219"/>
      <c r="E308" s="1219"/>
      <c r="F308" s="1219"/>
      <c r="G308" s="1219"/>
      <c r="H308" s="1219"/>
    </row>
    <row r="309" spans="1:8">
      <c r="A309" s="1219" t="s">
        <v>1699</v>
      </c>
      <c r="B309" s="1219"/>
      <c r="C309" s="1219"/>
      <c r="D309" s="1219"/>
      <c r="E309" s="1219"/>
      <c r="F309" s="1219"/>
      <c r="G309" s="1219"/>
      <c r="H309" s="1219"/>
    </row>
    <row r="310" spans="1:8">
      <c r="A310" s="1219" t="s">
        <v>1700</v>
      </c>
      <c r="B310" s="1219"/>
      <c r="C310" s="1219"/>
      <c r="D310" s="1219"/>
      <c r="E310" s="1219"/>
      <c r="F310" s="1219"/>
      <c r="G310" s="1219"/>
      <c r="H310" s="1219"/>
    </row>
    <row r="311" spans="1:8">
      <c r="A311" s="1219" t="s">
        <v>1701</v>
      </c>
      <c r="B311" s="1219"/>
      <c r="C311" s="1219"/>
      <c r="D311" s="1219"/>
      <c r="E311" s="1219"/>
      <c r="F311" s="1219"/>
      <c r="G311" s="1219"/>
      <c r="H311" s="1219"/>
    </row>
    <row r="312" spans="1:8">
      <c r="A312" s="1219" t="s">
        <v>1702</v>
      </c>
      <c r="B312" s="1219"/>
      <c r="C312" s="1219"/>
      <c r="D312" s="1219"/>
      <c r="E312" s="1219"/>
      <c r="F312" s="1219"/>
      <c r="G312" s="1219"/>
      <c r="H312" s="1219"/>
    </row>
    <row r="313" spans="1:8">
      <c r="A313" s="1219"/>
      <c r="B313" s="1219"/>
      <c r="C313" s="1219"/>
      <c r="D313" s="1219"/>
      <c r="E313" s="1219"/>
      <c r="F313" s="1219"/>
      <c r="G313" s="1219"/>
      <c r="H313" s="1219"/>
    </row>
    <row r="314" spans="1:8">
      <c r="A314" s="1219" t="s">
        <v>1703</v>
      </c>
      <c r="B314" s="1219"/>
      <c r="C314" s="1219"/>
      <c r="D314" s="1219"/>
      <c r="E314" s="1219"/>
      <c r="F314" s="1219"/>
      <c r="G314" s="1219"/>
      <c r="H314" s="1219"/>
    </row>
    <row r="315" spans="1:8">
      <c r="A315" s="1219" t="s">
        <v>1704</v>
      </c>
      <c r="B315" s="1219"/>
      <c r="C315" s="1219"/>
      <c r="D315" s="1219"/>
      <c r="E315" s="1219"/>
      <c r="F315" s="1219"/>
      <c r="G315" s="1219"/>
      <c r="H315" s="1219"/>
    </row>
    <row r="316" spans="1:8">
      <c r="A316" s="1219" t="s">
        <v>1705</v>
      </c>
      <c r="B316" s="1219"/>
      <c r="C316" s="1219"/>
      <c r="D316" s="1219"/>
      <c r="E316" s="1219"/>
      <c r="F316" s="1219"/>
      <c r="G316" s="1219"/>
      <c r="H316" s="1219"/>
    </row>
    <row r="317" spans="1:8">
      <c r="A317" s="1219"/>
      <c r="B317" s="1219"/>
      <c r="C317" s="1219"/>
      <c r="D317" s="1219"/>
      <c r="E317" s="1219"/>
      <c r="F317" s="1219"/>
      <c r="G317" s="1219"/>
      <c r="H317" s="1219"/>
    </row>
    <row r="318" spans="1:8">
      <c r="A318" s="1219" t="s">
        <v>1706</v>
      </c>
      <c r="B318" s="1219"/>
      <c r="C318" s="1219"/>
      <c r="D318" s="1219"/>
      <c r="E318" s="1219"/>
      <c r="F318" s="1219"/>
      <c r="G318" s="1219"/>
      <c r="H318" s="1219"/>
    </row>
    <row r="319" spans="1:8">
      <c r="A319" s="1219" t="s">
        <v>1707</v>
      </c>
      <c r="B319" s="1219"/>
      <c r="C319" s="1219"/>
      <c r="D319" s="1219"/>
      <c r="E319" s="1219"/>
      <c r="F319" s="1219"/>
      <c r="G319" s="1219"/>
      <c r="H319" s="1219"/>
    </row>
    <row r="320" spans="1:8">
      <c r="A320" s="1219"/>
      <c r="B320" s="1219"/>
      <c r="C320" s="1219"/>
      <c r="D320" s="1219"/>
      <c r="E320" s="1219"/>
      <c r="F320" s="1219"/>
      <c r="G320" s="1219"/>
      <c r="H320" s="1219"/>
    </row>
    <row r="321" spans="1:8">
      <c r="A321" s="1219" t="s">
        <v>1708</v>
      </c>
      <c r="B321" s="1219"/>
      <c r="C321" s="1219"/>
      <c r="D321" s="1219"/>
      <c r="E321" s="1219"/>
      <c r="F321" s="1219"/>
      <c r="G321" s="1219"/>
      <c r="H321" s="1219"/>
    </row>
    <row r="322" spans="1:8">
      <c r="A322" s="1219" t="s">
        <v>1709</v>
      </c>
      <c r="B322" s="1219"/>
      <c r="C322" s="1219"/>
      <c r="D322" s="1219"/>
      <c r="E322" s="1219"/>
      <c r="F322" s="1219"/>
      <c r="G322" s="1219"/>
      <c r="H322" s="1219"/>
    </row>
    <row r="323" spans="1:8">
      <c r="A323" s="1219" t="s">
        <v>1710</v>
      </c>
      <c r="B323" s="1219"/>
      <c r="C323" s="1219"/>
      <c r="D323" s="1219"/>
      <c r="E323" s="1219"/>
      <c r="F323" s="1219"/>
      <c r="G323" s="1219"/>
      <c r="H323" s="1219"/>
    </row>
    <row r="324" spans="1:8">
      <c r="A324" s="1219" t="s">
        <v>1711</v>
      </c>
      <c r="B324" s="1219"/>
      <c r="C324" s="1219"/>
      <c r="D324" s="1219"/>
      <c r="E324" s="1219"/>
      <c r="F324" s="1219"/>
      <c r="G324" s="1219"/>
      <c r="H324" s="1219"/>
    </row>
    <row r="325" spans="1:8">
      <c r="A325" s="1219" t="s">
        <v>1712</v>
      </c>
      <c r="B325" s="1219"/>
      <c r="C325" s="1219"/>
      <c r="D325" s="1219"/>
      <c r="E325" s="1219"/>
      <c r="F325" s="1219"/>
      <c r="G325" s="1219"/>
      <c r="H325" s="1219"/>
    </row>
    <row r="326" spans="1:8">
      <c r="A326" s="1219" t="s">
        <v>1713</v>
      </c>
      <c r="B326" s="1219"/>
      <c r="C326" s="1219"/>
      <c r="D326" s="1219"/>
      <c r="E326" s="1219"/>
      <c r="F326" s="1219"/>
      <c r="G326" s="1219"/>
      <c r="H326" s="1219"/>
    </row>
    <row r="327" spans="1:8">
      <c r="A327" s="1219" t="s">
        <v>1714</v>
      </c>
      <c r="B327" s="1219"/>
      <c r="C327" s="1219"/>
      <c r="D327" s="1219"/>
      <c r="E327" s="1219"/>
      <c r="F327" s="1219"/>
      <c r="G327" s="1219"/>
      <c r="H327" s="1219"/>
    </row>
    <row r="328" spans="1:8">
      <c r="A328" s="1219" t="s">
        <v>1715</v>
      </c>
      <c r="B328" s="1219"/>
      <c r="C328" s="1219"/>
      <c r="D328" s="1219"/>
      <c r="E328" s="1219"/>
      <c r="F328" s="1219"/>
      <c r="G328" s="1219"/>
      <c r="H328" s="1219"/>
    </row>
    <row r="329" spans="1:8">
      <c r="A329" s="1219" t="s">
        <v>1716</v>
      </c>
      <c r="B329" s="1219"/>
      <c r="C329" s="1219"/>
      <c r="D329" s="1219"/>
      <c r="E329" s="1219"/>
      <c r="F329" s="1219"/>
      <c r="G329" s="1219"/>
      <c r="H329" s="1219"/>
    </row>
    <row r="330" spans="1:8">
      <c r="A330" s="1219" t="s">
        <v>1717</v>
      </c>
      <c r="B330" s="1219"/>
      <c r="C330" s="1219"/>
      <c r="D330" s="1219"/>
      <c r="E330" s="1219"/>
      <c r="F330" s="1219"/>
      <c r="G330" s="1219"/>
      <c r="H330" s="1219"/>
    </row>
    <row r="331" spans="1:8">
      <c r="A331" s="1219" t="s">
        <v>1718</v>
      </c>
      <c r="B331" s="1219"/>
      <c r="C331" s="1219"/>
      <c r="D331" s="1219"/>
      <c r="E331" s="1219"/>
      <c r="F331" s="1219"/>
      <c r="G331" s="1219"/>
      <c r="H331" s="1219"/>
    </row>
    <row r="332" spans="1:8">
      <c r="A332" s="1219" t="s">
        <v>1719</v>
      </c>
      <c r="B332" s="1219"/>
      <c r="C332" s="1219"/>
      <c r="D332" s="1219"/>
      <c r="E332" s="1219"/>
      <c r="F332" s="1219"/>
      <c r="G332" s="1219"/>
      <c r="H332" s="1219"/>
    </row>
    <row r="333" spans="1:8">
      <c r="A333" s="1219" t="s">
        <v>1720</v>
      </c>
      <c r="B333" s="1219"/>
      <c r="C333" s="1219"/>
      <c r="D333" s="1219"/>
      <c r="E333" s="1219"/>
      <c r="F333" s="1219"/>
      <c r="G333" s="1219"/>
      <c r="H333" s="1219"/>
    </row>
    <row r="334" spans="1:8">
      <c r="A334" s="1219"/>
      <c r="B334" s="1219"/>
      <c r="C334" s="1219"/>
      <c r="D334" s="1219"/>
      <c r="E334" s="1219"/>
      <c r="F334" s="1219"/>
      <c r="G334" s="1219"/>
      <c r="H334" s="1219"/>
    </row>
    <row r="335" spans="1:8">
      <c r="A335" s="1219" t="s">
        <v>1721</v>
      </c>
      <c r="B335" s="1219"/>
      <c r="C335" s="1219"/>
      <c r="D335" s="1219"/>
      <c r="E335" s="1219"/>
      <c r="F335" s="1219"/>
      <c r="G335" s="1219"/>
      <c r="H335" s="1219"/>
    </row>
    <row r="336" spans="1:8">
      <c r="A336" s="1219" t="s">
        <v>1722</v>
      </c>
      <c r="B336" s="1219"/>
      <c r="C336" s="1219"/>
      <c r="D336" s="1219"/>
      <c r="E336" s="1219"/>
      <c r="F336" s="1219"/>
      <c r="G336" s="1219"/>
      <c r="H336" s="1219"/>
    </row>
    <row r="337" spans="1:8">
      <c r="A337" s="1219"/>
      <c r="B337" s="1219"/>
      <c r="C337" s="1219"/>
      <c r="D337" s="1219"/>
      <c r="E337" s="1219"/>
      <c r="F337" s="1219"/>
      <c r="G337" s="1219"/>
      <c r="H337" s="1219"/>
    </row>
    <row r="338" spans="1:8">
      <c r="A338" s="1219" t="s">
        <v>1723</v>
      </c>
      <c r="B338" s="1219"/>
      <c r="C338" s="1219"/>
      <c r="D338" s="1219"/>
      <c r="E338" s="1219"/>
      <c r="F338" s="1219"/>
      <c r="G338" s="1219"/>
      <c r="H338" s="1219"/>
    </row>
    <row r="339" spans="1:8">
      <c r="A339" s="1219" t="s">
        <v>1724</v>
      </c>
      <c r="B339" s="1219"/>
      <c r="C339" s="1219"/>
      <c r="D339" s="1219"/>
      <c r="E339" s="1219"/>
      <c r="F339" s="1219"/>
      <c r="G339" s="1219"/>
      <c r="H339" s="1219"/>
    </row>
    <row r="340" spans="1:8">
      <c r="A340" s="1219" t="s">
        <v>1725</v>
      </c>
      <c r="B340" s="1219"/>
      <c r="C340" s="1219"/>
      <c r="D340" s="1219"/>
      <c r="E340" s="1219"/>
      <c r="F340" s="1219"/>
      <c r="G340" s="1219"/>
      <c r="H340" s="1219"/>
    </row>
    <row r="341" spans="1:8">
      <c r="A341" s="1219" t="s">
        <v>1726</v>
      </c>
      <c r="B341" s="1219"/>
      <c r="C341" s="1219"/>
      <c r="D341" s="1219"/>
      <c r="E341" s="1219"/>
      <c r="F341" s="1219"/>
      <c r="G341" s="1219"/>
      <c r="H341" s="1219"/>
    </row>
    <row r="342" spans="1:8">
      <c r="A342" s="1219" t="s">
        <v>1727</v>
      </c>
      <c r="B342" s="1219"/>
      <c r="C342" s="1219"/>
      <c r="D342" s="1219"/>
      <c r="E342" s="1219"/>
      <c r="F342" s="1219"/>
      <c r="G342" s="1219"/>
      <c r="H342" s="1219"/>
    </row>
    <row r="343" spans="1:8">
      <c r="A343" s="1219" t="s">
        <v>1728</v>
      </c>
      <c r="B343" s="1219"/>
      <c r="C343" s="1219"/>
      <c r="D343" s="1219"/>
      <c r="E343" s="1219"/>
      <c r="F343" s="1219"/>
      <c r="G343" s="1219"/>
      <c r="H343" s="1219"/>
    </row>
    <row r="344" spans="1:8">
      <c r="A344" s="1219" t="s">
        <v>1729</v>
      </c>
      <c r="B344" s="1219"/>
      <c r="C344" s="1219"/>
      <c r="D344" s="1219"/>
      <c r="E344" s="1219"/>
      <c r="F344" s="1219"/>
      <c r="G344" s="1219"/>
      <c r="H344" s="1219"/>
    </row>
    <row r="345" spans="1:8">
      <c r="A345" s="1219" t="s">
        <v>1730</v>
      </c>
      <c r="B345" s="1219"/>
      <c r="C345" s="1219"/>
      <c r="D345" s="1219"/>
      <c r="E345" s="1219"/>
      <c r="F345" s="1219"/>
      <c r="G345" s="1219"/>
      <c r="H345" s="1219"/>
    </row>
    <row r="346" spans="1:8">
      <c r="A346" s="1219"/>
      <c r="B346" s="1219"/>
      <c r="C346" s="1219"/>
      <c r="D346" s="1219"/>
      <c r="E346" s="1219"/>
      <c r="F346" s="1219"/>
      <c r="G346" s="1219"/>
      <c r="H346" s="1219"/>
    </row>
    <row r="347" spans="1:8">
      <c r="A347" s="1219" t="s">
        <v>1731</v>
      </c>
      <c r="B347" s="1219"/>
      <c r="C347" s="1219"/>
      <c r="D347" s="1219"/>
      <c r="E347" s="1219"/>
      <c r="F347" s="1219"/>
      <c r="G347" s="1219"/>
      <c r="H347" s="1219"/>
    </row>
    <row r="348" spans="1:8">
      <c r="A348" s="1219" t="s">
        <v>1732</v>
      </c>
      <c r="B348" s="1219"/>
      <c r="C348" s="1219"/>
      <c r="D348" s="1219"/>
      <c r="E348" s="1219"/>
      <c r="F348" s="1219"/>
      <c r="G348" s="1219"/>
      <c r="H348" s="1219"/>
    </row>
    <row r="349" spans="1:8">
      <c r="A349" s="1219" t="s">
        <v>1733</v>
      </c>
      <c r="B349" s="1219"/>
      <c r="C349" s="1219"/>
      <c r="D349" s="1219"/>
      <c r="E349" s="1219"/>
      <c r="F349" s="1219"/>
      <c r="G349" s="1219"/>
      <c r="H349" s="1219"/>
    </row>
    <row r="350" spans="1:8">
      <c r="A350" s="1219" t="s">
        <v>1734</v>
      </c>
      <c r="B350" s="1219"/>
      <c r="C350" s="1219"/>
      <c r="D350" s="1219"/>
      <c r="E350" s="1219"/>
      <c r="F350" s="1219"/>
      <c r="G350" s="1219"/>
      <c r="H350" s="1219"/>
    </row>
    <row r="351" spans="1:8">
      <c r="A351" s="1219" t="s">
        <v>1735</v>
      </c>
      <c r="B351" s="1219"/>
      <c r="C351" s="1219"/>
      <c r="D351" s="1219"/>
      <c r="E351" s="1219"/>
      <c r="F351" s="1219"/>
      <c r="G351" s="1219"/>
      <c r="H351" s="1219"/>
    </row>
    <row r="352" spans="1:8">
      <c r="A352" s="1219" t="s">
        <v>1736</v>
      </c>
      <c r="B352" s="1219"/>
      <c r="C352" s="1219"/>
      <c r="D352" s="1219"/>
      <c r="E352" s="1219"/>
      <c r="F352" s="1219"/>
      <c r="G352" s="1219"/>
      <c r="H352" s="1219"/>
    </row>
    <row r="353" spans="1:8">
      <c r="A353" s="1219" t="s">
        <v>1737</v>
      </c>
      <c r="B353" s="1219"/>
      <c r="C353" s="1219"/>
      <c r="D353" s="1219"/>
      <c r="E353" s="1219"/>
      <c r="F353" s="1219"/>
      <c r="G353" s="1219"/>
      <c r="H353" s="1219"/>
    </row>
    <row r="354" spans="1:8">
      <c r="A354" s="1219" t="s">
        <v>1738</v>
      </c>
      <c r="B354" s="1219"/>
      <c r="C354" s="1219"/>
      <c r="D354" s="1219"/>
      <c r="E354" s="1219"/>
      <c r="F354" s="1219"/>
      <c r="G354" s="1219"/>
      <c r="H354" s="1219"/>
    </row>
    <row r="355" spans="1:8">
      <c r="A355" s="1219" t="s">
        <v>1739</v>
      </c>
      <c r="B355" s="1219"/>
      <c r="C355" s="1219"/>
      <c r="D355" s="1219"/>
      <c r="E355" s="1219"/>
      <c r="F355" s="1219"/>
      <c r="G355" s="1219"/>
      <c r="H355" s="1219"/>
    </row>
    <row r="356" spans="1:8">
      <c r="A356" s="1219" t="s">
        <v>1740</v>
      </c>
      <c r="B356" s="1219"/>
      <c r="C356" s="1219"/>
      <c r="D356" s="1219"/>
      <c r="E356" s="1219"/>
      <c r="F356" s="1219"/>
      <c r="G356" s="1219"/>
      <c r="H356" s="1219"/>
    </row>
    <row r="357" spans="1:8">
      <c r="A357" s="1219" t="s">
        <v>1741</v>
      </c>
      <c r="B357" s="1219"/>
      <c r="C357" s="1219"/>
      <c r="D357" s="1219"/>
      <c r="E357" s="1219"/>
      <c r="F357" s="1219"/>
      <c r="G357" s="1219"/>
      <c r="H357" s="1219"/>
    </row>
    <row r="358" spans="1:8">
      <c r="A358" s="1219" t="s">
        <v>1742</v>
      </c>
      <c r="B358" s="1219"/>
      <c r="C358" s="1219"/>
      <c r="D358" s="1219"/>
      <c r="E358" s="1219"/>
      <c r="F358" s="1219"/>
      <c r="G358" s="1219"/>
      <c r="H358" s="1219"/>
    </row>
    <row r="359" spans="1:8">
      <c r="A359" s="1219" t="s">
        <v>1743</v>
      </c>
      <c r="B359" s="1219"/>
      <c r="C359" s="1219"/>
      <c r="D359" s="1219"/>
      <c r="E359" s="1219"/>
      <c r="F359" s="1219"/>
      <c r="G359" s="1219"/>
      <c r="H359" s="1219"/>
    </row>
    <row r="360" spans="1:8">
      <c r="A360" s="1219" t="s">
        <v>1744</v>
      </c>
      <c r="B360" s="1219"/>
      <c r="C360" s="1219"/>
      <c r="D360" s="1219"/>
      <c r="E360" s="1219"/>
      <c r="F360" s="1219"/>
      <c r="G360" s="1219"/>
      <c r="H360" s="1219"/>
    </row>
    <row r="361" spans="1:8">
      <c r="A361" s="1219" t="s">
        <v>1745</v>
      </c>
      <c r="B361" s="1219"/>
      <c r="C361" s="1219"/>
      <c r="D361" s="1219"/>
      <c r="E361" s="1219"/>
      <c r="F361" s="1219"/>
      <c r="G361" s="1219"/>
      <c r="H361" s="1219"/>
    </row>
    <row r="362" spans="1:8">
      <c r="A362" s="1219" t="s">
        <v>1746</v>
      </c>
      <c r="B362" s="1219"/>
      <c r="C362" s="1219"/>
      <c r="D362" s="1219"/>
      <c r="E362" s="1219"/>
      <c r="F362" s="1219"/>
      <c r="G362" s="1219"/>
      <c r="H362" s="1219"/>
    </row>
    <row r="363" spans="1:8">
      <c r="A363" s="1219" t="s">
        <v>1747</v>
      </c>
      <c r="B363" s="1219"/>
      <c r="C363" s="1219"/>
      <c r="D363" s="1219"/>
      <c r="E363" s="1219"/>
      <c r="F363" s="1219"/>
      <c r="G363" s="1219"/>
      <c r="H363" s="1219"/>
    </row>
    <row r="364" spans="1:8">
      <c r="A364" s="1219" t="s">
        <v>1748</v>
      </c>
      <c r="B364" s="1219"/>
      <c r="C364" s="1219"/>
      <c r="D364" s="1219"/>
      <c r="E364" s="1219"/>
      <c r="F364" s="1219"/>
      <c r="G364" s="1219"/>
      <c r="H364" s="1219"/>
    </row>
    <row r="365" spans="1:8">
      <c r="A365" s="1219" t="s">
        <v>1749</v>
      </c>
      <c r="B365" s="1219"/>
      <c r="C365" s="1219"/>
      <c r="D365" s="1219"/>
      <c r="E365" s="1219"/>
      <c r="F365" s="1219"/>
      <c r="G365" s="1219"/>
      <c r="H365" s="1219"/>
    </row>
    <row r="366" spans="1:8">
      <c r="A366" s="1219" t="s">
        <v>1750</v>
      </c>
      <c r="B366" s="1219"/>
      <c r="C366" s="1219"/>
      <c r="D366" s="1219"/>
      <c r="E366" s="1219"/>
      <c r="F366" s="1219"/>
      <c r="G366" s="1219"/>
      <c r="H366" s="1219"/>
    </row>
    <row r="367" spans="1:8">
      <c r="A367" s="1219" t="s">
        <v>1751</v>
      </c>
      <c r="B367" s="1219"/>
      <c r="C367" s="1219"/>
      <c r="D367" s="1219"/>
      <c r="E367" s="1219"/>
      <c r="F367" s="1219"/>
      <c r="G367" s="1219"/>
      <c r="H367" s="1219"/>
    </row>
    <row r="368" spans="1:8">
      <c r="A368" s="1219" t="s">
        <v>1752</v>
      </c>
      <c r="B368" s="1219"/>
      <c r="C368" s="1219"/>
      <c r="D368" s="1219"/>
      <c r="E368" s="1219"/>
      <c r="F368" s="1219"/>
      <c r="G368" s="1219"/>
      <c r="H368" s="1219"/>
    </row>
    <row r="369" spans="1:8">
      <c r="A369" s="1219" t="s">
        <v>1753</v>
      </c>
      <c r="B369" s="1219"/>
      <c r="C369" s="1219"/>
      <c r="D369" s="1219"/>
      <c r="E369" s="1219"/>
      <c r="F369" s="1219"/>
      <c r="G369" s="1219"/>
      <c r="H369" s="1219"/>
    </row>
    <row r="370" spans="1:8">
      <c r="A370" s="1219" t="s">
        <v>1754</v>
      </c>
      <c r="B370" s="1219"/>
      <c r="C370" s="1219"/>
      <c r="D370" s="1219"/>
      <c r="E370" s="1219"/>
      <c r="F370" s="1219"/>
      <c r="G370" s="1219"/>
      <c r="H370" s="1219"/>
    </row>
    <row r="371" spans="1:8">
      <c r="A371" s="1219" t="s">
        <v>1755</v>
      </c>
      <c r="B371" s="1219"/>
      <c r="C371" s="1219"/>
      <c r="D371" s="1219"/>
      <c r="E371" s="1219"/>
      <c r="F371" s="1219"/>
      <c r="G371" s="1219"/>
      <c r="H371" s="1219"/>
    </row>
    <row r="372" spans="1:8">
      <c r="A372" s="1219" t="s">
        <v>1756</v>
      </c>
      <c r="B372" s="1219"/>
      <c r="C372" s="1219"/>
      <c r="D372" s="1219"/>
      <c r="E372" s="1219"/>
      <c r="F372" s="1219"/>
      <c r="G372" s="1219"/>
      <c r="H372" s="1219"/>
    </row>
    <row r="373" spans="1:8">
      <c r="A373" s="1219" t="s">
        <v>1757</v>
      </c>
      <c r="B373" s="1219"/>
      <c r="C373" s="1219"/>
      <c r="D373" s="1219"/>
      <c r="E373" s="1219"/>
      <c r="F373" s="1219"/>
      <c r="G373" s="1219"/>
      <c r="H373" s="1219"/>
    </row>
    <row r="374" spans="1:8">
      <c r="A374" s="1219" t="s">
        <v>1758</v>
      </c>
      <c r="B374" s="1219"/>
      <c r="C374" s="1219"/>
      <c r="D374" s="1219"/>
      <c r="E374" s="1219"/>
      <c r="F374" s="1219"/>
      <c r="G374" s="1219"/>
      <c r="H374" s="1219"/>
    </row>
    <row r="375" spans="1:8">
      <c r="A375" s="1219" t="s">
        <v>1759</v>
      </c>
      <c r="B375" s="1219"/>
      <c r="C375" s="1219"/>
      <c r="D375" s="1219"/>
      <c r="E375" s="1219"/>
      <c r="F375" s="1219"/>
      <c r="G375" s="1219"/>
      <c r="H375" s="1219"/>
    </row>
    <row r="376" spans="1:8">
      <c r="A376" s="1219" t="s">
        <v>1760</v>
      </c>
      <c r="B376" s="1219"/>
      <c r="C376" s="1219"/>
      <c r="D376" s="1219"/>
      <c r="E376" s="1219"/>
      <c r="F376" s="1219"/>
      <c r="G376" s="1219"/>
      <c r="H376" s="1219"/>
    </row>
    <row r="377" spans="1:8">
      <c r="A377" s="1219" t="s">
        <v>1761</v>
      </c>
      <c r="B377" s="1219"/>
      <c r="C377" s="1219"/>
      <c r="D377" s="1219"/>
      <c r="E377" s="1219"/>
      <c r="F377" s="1219"/>
      <c r="G377" s="1219"/>
      <c r="H377" s="1219"/>
    </row>
    <row r="378" spans="1:8">
      <c r="A378" s="1219" t="s">
        <v>1762</v>
      </c>
      <c r="B378" s="1219"/>
      <c r="C378" s="1219"/>
      <c r="D378" s="1219"/>
      <c r="E378" s="1219"/>
      <c r="F378" s="1219"/>
      <c r="G378" s="1219"/>
      <c r="H378" s="1219"/>
    </row>
    <row r="379" spans="1:8">
      <c r="A379" s="1219" t="s">
        <v>1763</v>
      </c>
      <c r="B379" s="1219"/>
      <c r="C379" s="1219"/>
      <c r="D379" s="1219"/>
      <c r="E379" s="1219"/>
      <c r="F379" s="1219"/>
      <c r="G379" s="1219"/>
      <c r="H379" s="1219"/>
    </row>
    <row r="380" spans="1:8">
      <c r="A380" s="1219" t="s">
        <v>1764</v>
      </c>
      <c r="B380" s="1219"/>
      <c r="C380" s="1219"/>
      <c r="D380" s="1219"/>
      <c r="E380" s="1219"/>
      <c r="F380" s="1219"/>
      <c r="G380" s="1219"/>
      <c r="H380" s="1219"/>
    </row>
    <row r="381" spans="1:8">
      <c r="A381" s="1219" t="s">
        <v>1765</v>
      </c>
      <c r="B381" s="1219"/>
      <c r="C381" s="1219"/>
      <c r="D381" s="1219"/>
      <c r="E381" s="1219"/>
      <c r="F381" s="1219"/>
      <c r="G381" s="1219"/>
      <c r="H381" s="1219"/>
    </row>
    <row r="382" spans="1:8">
      <c r="A382" s="1219" t="s">
        <v>1766</v>
      </c>
      <c r="B382" s="1219"/>
      <c r="C382" s="1219"/>
      <c r="D382" s="1219"/>
      <c r="E382" s="1219"/>
      <c r="F382" s="1219"/>
      <c r="G382" s="1219"/>
      <c r="H382" s="1219"/>
    </row>
    <row r="383" spans="1:8">
      <c r="A383" s="1219" t="s">
        <v>1767</v>
      </c>
      <c r="B383" s="1219"/>
      <c r="C383" s="1219"/>
      <c r="D383" s="1219"/>
      <c r="E383" s="1219"/>
      <c r="F383" s="1219"/>
      <c r="G383" s="1219"/>
      <c r="H383" s="1219"/>
    </row>
    <row r="384" spans="1:8">
      <c r="A384" s="1219" t="s">
        <v>1768</v>
      </c>
      <c r="B384" s="1219"/>
      <c r="C384" s="1219"/>
      <c r="D384" s="1219"/>
      <c r="E384" s="1219"/>
      <c r="F384" s="1219"/>
      <c r="G384" s="1219"/>
      <c r="H384" s="1219"/>
    </row>
    <row r="385" spans="1:8">
      <c r="A385" s="1219" t="s">
        <v>1769</v>
      </c>
      <c r="B385" s="1219"/>
      <c r="C385" s="1219"/>
      <c r="D385" s="1219"/>
      <c r="E385" s="1219"/>
      <c r="F385" s="1219"/>
      <c r="G385" s="1219"/>
      <c r="H385" s="1219"/>
    </row>
    <row r="386" spans="1:8">
      <c r="A386" s="1219" t="s">
        <v>1770</v>
      </c>
      <c r="B386" s="1219"/>
      <c r="C386" s="1219"/>
      <c r="D386" s="1219"/>
      <c r="E386" s="1219"/>
      <c r="F386" s="1219"/>
      <c r="G386" s="1219"/>
      <c r="H386" s="1219"/>
    </row>
    <row r="387" spans="1:8">
      <c r="A387" s="1219" t="s">
        <v>1771</v>
      </c>
      <c r="B387" s="1219"/>
      <c r="C387" s="1219"/>
      <c r="D387" s="1219"/>
      <c r="E387" s="1219"/>
      <c r="F387" s="1219"/>
      <c r="G387" s="1219"/>
      <c r="H387" s="1219"/>
    </row>
    <row r="388" spans="1:8">
      <c r="A388" s="1219" t="s">
        <v>1772</v>
      </c>
      <c r="B388" s="1219"/>
      <c r="C388" s="1219"/>
      <c r="D388" s="1219"/>
      <c r="E388" s="1219"/>
      <c r="F388" s="1219"/>
      <c r="G388" s="1219"/>
      <c r="H388" s="1219"/>
    </row>
    <row r="389" spans="1:8">
      <c r="A389" s="1219" t="s">
        <v>1773</v>
      </c>
      <c r="B389" s="1219"/>
      <c r="C389" s="1219"/>
      <c r="D389" s="1219"/>
      <c r="E389" s="1219"/>
      <c r="F389" s="1219"/>
      <c r="G389" s="1219"/>
      <c r="H389" s="1219"/>
    </row>
    <row r="390" spans="1:8">
      <c r="A390" s="1219" t="s">
        <v>1774</v>
      </c>
      <c r="B390" s="1219"/>
      <c r="C390" s="1219"/>
      <c r="D390" s="1219"/>
      <c r="E390" s="1219"/>
      <c r="F390" s="1219"/>
      <c r="G390" s="1219"/>
      <c r="H390" s="1219"/>
    </row>
    <row r="391" spans="1:8">
      <c r="A391" s="1219" t="s">
        <v>1775</v>
      </c>
      <c r="B391" s="1219"/>
      <c r="C391" s="1219"/>
      <c r="D391" s="1219"/>
      <c r="E391" s="1219"/>
      <c r="F391" s="1219"/>
      <c r="G391" s="1219"/>
      <c r="H391" s="1219"/>
    </row>
    <row r="392" spans="1:8">
      <c r="A392" s="1219" t="s">
        <v>1776</v>
      </c>
      <c r="B392" s="1219"/>
      <c r="C392" s="1219"/>
      <c r="D392" s="1219"/>
      <c r="E392" s="1219"/>
      <c r="F392" s="1219"/>
      <c r="G392" s="1219"/>
      <c r="H392" s="1219"/>
    </row>
    <row r="393" spans="1:8">
      <c r="A393" s="1219"/>
      <c r="B393" s="1219"/>
      <c r="C393" s="1219"/>
      <c r="D393" s="1219"/>
      <c r="E393" s="1219"/>
      <c r="F393" s="1219"/>
      <c r="G393" s="1219"/>
      <c r="H393" s="1219"/>
    </row>
    <row r="394" spans="1:8">
      <c r="A394" s="1219" t="s">
        <v>1777</v>
      </c>
      <c r="B394" s="1219"/>
      <c r="C394" s="1219"/>
      <c r="D394" s="1219"/>
      <c r="E394" s="1219"/>
      <c r="F394" s="1219"/>
      <c r="G394" s="1219"/>
      <c r="H394" s="1219"/>
    </row>
    <row r="395" spans="1:8">
      <c r="A395" s="1219" t="s">
        <v>1778</v>
      </c>
      <c r="B395" s="1219"/>
      <c r="C395" s="1219"/>
      <c r="D395" s="1219"/>
      <c r="E395" s="1219"/>
      <c r="F395" s="1219"/>
      <c r="G395" s="1219"/>
      <c r="H395" s="1219"/>
    </row>
    <row r="396" spans="1:8">
      <c r="A396" s="1219" t="s">
        <v>1779</v>
      </c>
      <c r="B396" s="1219"/>
      <c r="C396" s="1219"/>
      <c r="D396" s="1219"/>
      <c r="E396" s="1219"/>
      <c r="F396" s="1219"/>
      <c r="G396" s="1219"/>
      <c r="H396" s="1219"/>
    </row>
    <row r="397" spans="1:8">
      <c r="A397" s="1219" t="s">
        <v>1780</v>
      </c>
      <c r="B397" s="1219"/>
      <c r="C397" s="1219"/>
      <c r="D397" s="1219"/>
      <c r="E397" s="1219"/>
      <c r="F397" s="1219"/>
      <c r="G397" s="1219"/>
      <c r="H397" s="1219"/>
    </row>
    <row r="398" spans="1:8">
      <c r="A398" s="1219" t="s">
        <v>1781</v>
      </c>
      <c r="B398" s="1219"/>
      <c r="C398" s="1219"/>
      <c r="D398" s="1219"/>
      <c r="E398" s="1219"/>
      <c r="F398" s="1219"/>
      <c r="G398" s="1219"/>
      <c r="H398" s="1219"/>
    </row>
    <row r="399" spans="1:8">
      <c r="A399" s="1219" t="s">
        <v>1782</v>
      </c>
      <c r="B399" s="1219"/>
      <c r="C399" s="1219"/>
      <c r="D399" s="1219"/>
      <c r="E399" s="1219"/>
      <c r="F399" s="1219"/>
      <c r="G399" s="1219"/>
      <c r="H399" s="1219"/>
    </row>
    <row r="400" spans="1:8">
      <c r="A400" s="1219" t="s">
        <v>1783</v>
      </c>
      <c r="B400" s="1219"/>
      <c r="C400" s="1219"/>
      <c r="D400" s="1219"/>
      <c r="E400" s="1219"/>
      <c r="F400" s="1219"/>
      <c r="G400" s="1219"/>
      <c r="H400" s="1219"/>
    </row>
    <row r="401" spans="1:8">
      <c r="A401" s="1219" t="s">
        <v>1784</v>
      </c>
      <c r="B401" s="1219"/>
      <c r="C401" s="1219"/>
      <c r="D401" s="1219"/>
      <c r="E401" s="1219"/>
      <c r="F401" s="1219"/>
      <c r="G401" s="1219"/>
      <c r="H401" s="1219"/>
    </row>
    <row r="402" spans="1:8">
      <c r="A402" s="1219"/>
      <c r="B402" s="1219"/>
      <c r="C402" s="1219"/>
      <c r="D402" s="1219"/>
      <c r="E402" s="1219"/>
      <c r="F402" s="1219"/>
      <c r="G402" s="1219"/>
      <c r="H402" s="1219"/>
    </row>
    <row r="403" spans="1:8">
      <c r="A403" s="1219" t="s">
        <v>1777</v>
      </c>
      <c r="B403" s="1219"/>
      <c r="C403" s="1219"/>
      <c r="D403" s="1219"/>
      <c r="E403" s="1219"/>
      <c r="F403" s="1219"/>
      <c r="G403" s="1219"/>
      <c r="H403" s="1219"/>
    </row>
    <row r="404" spans="1:8">
      <c r="A404" s="1219" t="s">
        <v>1785</v>
      </c>
      <c r="B404" s="1219"/>
      <c r="C404" s="1219"/>
      <c r="D404" s="1219"/>
      <c r="E404" s="1219"/>
      <c r="F404" s="1219"/>
      <c r="G404" s="1219"/>
      <c r="H404" s="1219"/>
    </row>
    <row r="405" spans="1:8">
      <c r="A405" s="1219" t="s">
        <v>1786</v>
      </c>
      <c r="B405" s="1219"/>
      <c r="C405" s="1219"/>
      <c r="D405" s="1219"/>
      <c r="E405" s="1219"/>
      <c r="F405" s="1219"/>
      <c r="G405" s="1219"/>
      <c r="H405" s="1219"/>
    </row>
    <row r="406" spans="1:8">
      <c r="A406" s="1219" t="s">
        <v>1787</v>
      </c>
      <c r="B406" s="1219"/>
      <c r="C406" s="1219"/>
      <c r="D406" s="1219"/>
      <c r="E406" s="1219"/>
      <c r="F406" s="1219"/>
      <c r="G406" s="1219"/>
      <c r="H406" s="1219"/>
    </row>
    <row r="407" spans="1:8">
      <c r="A407" s="1219"/>
      <c r="B407" s="1219"/>
      <c r="C407" s="1219"/>
      <c r="D407" s="1219"/>
      <c r="E407" s="1219"/>
      <c r="F407" s="1219"/>
      <c r="G407" s="1219"/>
      <c r="H407" s="1219"/>
    </row>
    <row r="408" spans="1:8">
      <c r="A408" s="1219" t="s">
        <v>1788</v>
      </c>
      <c r="B408" s="1219"/>
      <c r="C408" s="1219"/>
      <c r="D408" s="1219"/>
      <c r="E408" s="1219"/>
      <c r="F408" s="1219"/>
      <c r="G408" s="1219"/>
      <c r="H408" s="1219"/>
    </row>
    <row r="409" spans="1:8">
      <c r="A409" s="1219" t="s">
        <v>1789</v>
      </c>
      <c r="B409" s="1219"/>
      <c r="C409" s="1219"/>
      <c r="D409" s="1219"/>
      <c r="E409" s="1219"/>
      <c r="F409" s="1219"/>
      <c r="G409" s="1219"/>
      <c r="H409" s="1219"/>
    </row>
    <row r="410" spans="1:8">
      <c r="A410" s="1219" t="s">
        <v>1790</v>
      </c>
      <c r="B410" s="1219"/>
      <c r="C410" s="1219"/>
      <c r="D410" s="1219"/>
      <c r="E410" s="1219"/>
      <c r="F410" s="1219"/>
      <c r="G410" s="1219"/>
      <c r="H410" s="1219"/>
    </row>
    <row r="411" spans="1:8">
      <c r="A411" s="1219" t="s">
        <v>1791</v>
      </c>
      <c r="B411" s="1219"/>
      <c r="C411" s="1219"/>
      <c r="D411" s="1219"/>
      <c r="E411" s="1219"/>
      <c r="F411" s="1219"/>
      <c r="G411" s="1219"/>
      <c r="H411" s="1219"/>
    </row>
    <row r="412" spans="1:8">
      <c r="A412" s="1219" t="s">
        <v>1792</v>
      </c>
      <c r="B412" s="1219"/>
      <c r="C412" s="1219"/>
      <c r="D412" s="1219"/>
      <c r="E412" s="1219"/>
      <c r="F412" s="1219"/>
      <c r="G412" s="1219"/>
      <c r="H412" s="1219"/>
    </row>
    <row r="413" spans="1:8">
      <c r="A413" s="1219" t="s">
        <v>1793</v>
      </c>
      <c r="B413" s="1219"/>
      <c r="C413" s="1219"/>
      <c r="D413" s="1219"/>
      <c r="E413" s="1219"/>
      <c r="F413" s="1219"/>
      <c r="G413" s="1219"/>
      <c r="H413" s="1219"/>
    </row>
    <row r="414" spans="1:8">
      <c r="A414" s="1219"/>
      <c r="B414" s="1219"/>
      <c r="C414" s="1219"/>
      <c r="D414" s="1219"/>
      <c r="E414" s="1219"/>
      <c r="F414" s="1219"/>
      <c r="G414" s="1219"/>
      <c r="H414" s="1219"/>
    </row>
    <row r="415" spans="1:8">
      <c r="A415" s="1219" t="s">
        <v>1794</v>
      </c>
      <c r="B415" s="1219"/>
      <c r="C415" s="1219"/>
      <c r="D415" s="1219"/>
      <c r="E415" s="1219"/>
      <c r="F415" s="1219"/>
      <c r="G415" s="1219"/>
      <c r="H415" s="1219"/>
    </row>
    <row r="416" spans="1:8">
      <c r="A416" s="1219" t="s">
        <v>1795</v>
      </c>
      <c r="B416" s="1219"/>
      <c r="C416" s="1219"/>
      <c r="D416" s="1219"/>
      <c r="E416" s="1219"/>
      <c r="F416" s="1219"/>
      <c r="G416" s="1219"/>
      <c r="H416" s="1219"/>
    </row>
    <row r="417" spans="1:8">
      <c r="A417" s="1219" t="s">
        <v>1796</v>
      </c>
      <c r="B417" s="1219"/>
      <c r="C417" s="1219"/>
      <c r="D417" s="1219"/>
      <c r="E417" s="1219"/>
      <c r="F417" s="1219"/>
      <c r="G417" s="1219"/>
      <c r="H417" s="1219"/>
    </row>
    <row r="418" spans="1:8">
      <c r="A418" s="1219" t="s">
        <v>1797</v>
      </c>
      <c r="B418" s="1219"/>
      <c r="C418" s="1219"/>
      <c r="D418" s="1219"/>
      <c r="E418" s="1219"/>
      <c r="F418" s="1219"/>
      <c r="G418" s="1219"/>
      <c r="H418" s="1219"/>
    </row>
    <row r="419" spans="1:8">
      <c r="A419" s="1219" t="s">
        <v>1798</v>
      </c>
      <c r="B419" s="1219"/>
      <c r="C419" s="1219"/>
      <c r="D419" s="1219"/>
      <c r="E419" s="1219"/>
      <c r="F419" s="1219"/>
      <c r="G419" s="1219"/>
      <c r="H419" s="1219"/>
    </row>
    <row r="420" spans="1:8">
      <c r="A420" s="1219"/>
      <c r="B420" s="1219"/>
      <c r="C420" s="1219"/>
      <c r="D420" s="1219"/>
      <c r="E420" s="1219"/>
      <c r="F420" s="1219"/>
      <c r="G420" s="1219"/>
      <c r="H420" s="1219"/>
    </row>
    <row r="421" spans="1:8">
      <c r="A421" s="1219" t="s">
        <v>1799</v>
      </c>
      <c r="B421" s="1219"/>
      <c r="C421" s="1219"/>
      <c r="D421" s="1219"/>
      <c r="E421" s="1219"/>
      <c r="F421" s="1219"/>
      <c r="G421" s="1219"/>
      <c r="H421" s="1219"/>
    </row>
    <row r="422" spans="1:8">
      <c r="A422" s="1219" t="s">
        <v>1800</v>
      </c>
      <c r="B422" s="1219"/>
      <c r="C422" s="1219"/>
      <c r="D422" s="1219"/>
      <c r="E422" s="1219"/>
      <c r="F422" s="1219"/>
      <c r="G422" s="1219"/>
      <c r="H422" s="1219"/>
    </row>
    <row r="423" spans="1:8">
      <c r="A423" s="1219"/>
      <c r="B423" s="1219"/>
      <c r="C423" s="1219"/>
      <c r="D423" s="1219"/>
      <c r="E423" s="1219"/>
      <c r="F423" s="1219"/>
      <c r="G423" s="1219"/>
      <c r="H423" s="1219"/>
    </row>
    <row r="424" spans="1:8">
      <c r="A424" s="1219" t="s">
        <v>1801</v>
      </c>
      <c r="B424" s="1219"/>
      <c r="C424" s="1219"/>
      <c r="D424" s="1219"/>
      <c r="E424" s="1219"/>
      <c r="F424" s="1219"/>
      <c r="G424" s="1219"/>
      <c r="H424" s="1219"/>
    </row>
    <row r="425" spans="1:8">
      <c r="A425" s="1219" t="s">
        <v>1802</v>
      </c>
      <c r="B425" s="1219"/>
      <c r="C425" s="1219"/>
      <c r="D425" s="1219"/>
      <c r="E425" s="1219"/>
      <c r="F425" s="1219"/>
      <c r="G425" s="1219"/>
      <c r="H425" s="1219"/>
    </row>
    <row r="426" spans="1:8">
      <c r="A426" s="1219"/>
      <c r="B426" s="1219"/>
      <c r="C426" s="1219"/>
      <c r="D426" s="1219"/>
      <c r="E426" s="1219"/>
      <c r="F426" s="1219"/>
      <c r="G426" s="1219"/>
      <c r="H426" s="1219"/>
    </row>
    <row r="427" spans="1:8">
      <c r="A427" s="1219" t="s">
        <v>1803</v>
      </c>
      <c r="B427" s="1219"/>
      <c r="C427" s="1219"/>
      <c r="D427" s="1219"/>
      <c r="E427" s="1219"/>
      <c r="F427" s="1219"/>
      <c r="G427" s="1219"/>
      <c r="H427" s="1219"/>
    </row>
    <row r="428" spans="1:8">
      <c r="A428" s="1219" t="s">
        <v>1804</v>
      </c>
      <c r="B428" s="1219"/>
      <c r="C428" s="1219"/>
      <c r="D428" s="1219"/>
      <c r="E428" s="1219"/>
      <c r="F428" s="1219"/>
      <c r="G428" s="1219"/>
      <c r="H428" s="1219"/>
    </row>
    <row r="429" spans="1:8">
      <c r="A429" s="1219" t="s">
        <v>1805</v>
      </c>
      <c r="B429" s="1219"/>
      <c r="C429" s="1219"/>
      <c r="D429" s="1219"/>
      <c r="E429" s="1219"/>
      <c r="F429" s="1219"/>
      <c r="G429" s="1219"/>
      <c r="H429" s="1219"/>
    </row>
    <row r="430" spans="1:8">
      <c r="A430" s="1219" t="s">
        <v>1806</v>
      </c>
      <c r="B430" s="1219"/>
      <c r="C430" s="1219"/>
      <c r="D430" s="1219"/>
      <c r="E430" s="1219"/>
      <c r="F430" s="1219"/>
      <c r="G430" s="1219"/>
      <c r="H430" s="1219"/>
    </row>
    <row r="431" spans="1:8">
      <c r="A431" s="1219"/>
      <c r="B431" s="1219"/>
      <c r="C431" s="1219"/>
      <c r="D431" s="1219"/>
      <c r="E431" s="1219"/>
      <c r="F431" s="1219"/>
      <c r="G431" s="1219"/>
      <c r="H431" s="1219"/>
    </row>
    <row r="432" spans="1:8">
      <c r="A432" s="1219" t="s">
        <v>1807</v>
      </c>
      <c r="B432" s="1219"/>
      <c r="C432" s="1219"/>
      <c r="D432" s="1219"/>
      <c r="E432" s="1219"/>
      <c r="F432" s="1219"/>
      <c r="G432" s="1219"/>
      <c r="H432" s="1219"/>
    </row>
    <row r="433" spans="1:8">
      <c r="A433" s="1219" t="s">
        <v>1808</v>
      </c>
      <c r="B433" s="1219"/>
      <c r="C433" s="1219"/>
      <c r="D433" s="1219"/>
      <c r="E433" s="1219"/>
      <c r="F433" s="1219"/>
      <c r="G433" s="1219"/>
      <c r="H433" s="1219"/>
    </row>
    <row r="434" spans="1:8">
      <c r="A434" s="1219"/>
      <c r="B434" s="1219"/>
      <c r="C434" s="1219"/>
      <c r="D434" s="1219"/>
      <c r="E434" s="1219"/>
      <c r="F434" s="1219"/>
      <c r="G434" s="1219"/>
      <c r="H434" s="1219"/>
    </row>
    <row r="435" spans="1:8">
      <c r="A435" s="1219" t="s">
        <v>1809</v>
      </c>
      <c r="B435" s="1219"/>
      <c r="C435" s="1219"/>
      <c r="D435" s="1219"/>
      <c r="E435" s="1219"/>
      <c r="F435" s="1219"/>
      <c r="G435" s="1219"/>
      <c r="H435" s="1219"/>
    </row>
    <row r="436" spans="1:8">
      <c r="A436" s="1219" t="s">
        <v>1810</v>
      </c>
      <c r="B436" s="1219"/>
      <c r="C436" s="1219"/>
      <c r="D436" s="1219"/>
      <c r="E436" s="1219"/>
      <c r="F436" s="1219"/>
      <c r="G436" s="1219"/>
      <c r="H436" s="1219"/>
    </row>
    <row r="437" spans="1:8">
      <c r="A437" s="1219" t="s">
        <v>1811</v>
      </c>
      <c r="B437" s="1219"/>
      <c r="C437" s="1219"/>
      <c r="D437" s="1219"/>
      <c r="E437" s="1219"/>
      <c r="F437" s="1219"/>
      <c r="G437" s="1219"/>
      <c r="H437" s="1219"/>
    </row>
    <row r="438" spans="1:8">
      <c r="A438" s="1219" t="s">
        <v>1812</v>
      </c>
      <c r="B438" s="1219"/>
      <c r="C438" s="1219"/>
      <c r="D438" s="1219"/>
      <c r="E438" s="1219"/>
      <c r="F438" s="1219"/>
      <c r="G438" s="1219"/>
      <c r="H438" s="1219"/>
    </row>
    <row r="440" spans="1:8">
      <c r="A440" s="706" t="s">
        <v>1813</v>
      </c>
    </row>
  </sheetData>
  <mergeCells count="3">
    <mergeCell ref="B139:C139"/>
    <mergeCell ref="D139:F139"/>
    <mergeCell ref="G139:H13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3"/>
    <pageSetUpPr autoPageBreaks="0"/>
  </sheetPr>
  <dimension ref="A1:I59"/>
  <sheetViews>
    <sheetView showGridLines="0" view="pageBreakPreview" topLeftCell="A12" zoomScale="85" zoomScaleNormal="85" zoomScaleSheetLayoutView="85" workbookViewId="0">
      <selection activeCell="M26" sqref="M26"/>
    </sheetView>
  </sheetViews>
  <sheetFormatPr defaultRowHeight="13.8"/>
  <cols>
    <col min="1" max="2" width="2.6640625" customWidth="1"/>
    <col min="3" max="3" width="12.109375" customWidth="1"/>
    <col min="4" max="8" width="9.109375" customWidth="1"/>
    <col min="9" max="10" width="2.6640625" customWidth="1"/>
  </cols>
  <sheetData>
    <row r="1" spans="1:9">
      <c r="A1" s="2"/>
      <c r="B1" s="2"/>
      <c r="C1" s="2"/>
      <c r="D1" s="2"/>
      <c r="E1" s="2"/>
      <c r="F1" s="2"/>
      <c r="G1" s="2"/>
      <c r="H1" s="2"/>
    </row>
    <row r="2" spans="1:9">
      <c r="A2" s="2"/>
      <c r="B2" s="122"/>
      <c r="C2" s="721"/>
      <c r="D2" s="721"/>
      <c r="E2" s="721"/>
      <c r="F2" s="721"/>
      <c r="G2" s="721"/>
      <c r="H2" s="721"/>
      <c r="I2" s="722"/>
    </row>
    <row r="3" spans="1:9">
      <c r="A3" s="2"/>
      <c r="B3" s="128"/>
      <c r="C3" s="2"/>
      <c r="D3" s="2"/>
      <c r="E3" s="2"/>
      <c r="F3" s="2"/>
      <c r="G3" s="2"/>
      <c r="H3" s="2"/>
      <c r="I3" s="723"/>
    </row>
    <row r="4" spans="1:9">
      <c r="A4" s="2"/>
      <c r="B4" s="128"/>
      <c r="C4" s="2"/>
      <c r="D4" s="2"/>
      <c r="E4" s="2"/>
      <c r="F4" s="2"/>
      <c r="G4" s="2"/>
      <c r="H4" s="2"/>
      <c r="I4" s="723"/>
    </row>
    <row r="5" spans="1:9">
      <c r="A5" s="2"/>
      <c r="B5" s="128"/>
      <c r="C5" s="2"/>
      <c r="D5" s="2"/>
      <c r="E5" s="2"/>
      <c r="F5" s="2"/>
      <c r="G5" s="2"/>
      <c r="H5" s="2"/>
      <c r="I5" s="723"/>
    </row>
    <row r="6" spans="1:9" ht="23.4">
      <c r="A6" s="724"/>
      <c r="B6" s="725"/>
      <c r="C6" s="726" t="s">
        <v>211</v>
      </c>
      <c r="D6" s="727"/>
      <c r="E6" s="727"/>
      <c r="F6" s="727"/>
      <c r="G6" s="727"/>
      <c r="H6" s="724"/>
      <c r="I6" s="723"/>
    </row>
    <row r="7" spans="1:9" ht="18">
      <c r="A7" s="331"/>
      <c r="B7" s="728"/>
      <c r="C7" s="729" t="s">
        <v>210</v>
      </c>
      <c r="D7" s="727"/>
      <c r="E7" s="727"/>
      <c r="F7" s="727"/>
      <c r="G7" s="331"/>
      <c r="H7" s="331"/>
      <c r="I7" s="723"/>
    </row>
    <row r="8" spans="1:9" ht="14.4">
      <c r="A8" s="15"/>
      <c r="B8" s="16"/>
      <c r="C8" s="15"/>
      <c r="D8" s="15"/>
      <c r="E8" s="15"/>
      <c r="F8" s="15"/>
      <c r="G8" s="15"/>
      <c r="H8" s="15"/>
      <c r="I8" s="723"/>
    </row>
    <row r="9" spans="1:9" ht="14.4">
      <c r="A9" s="15"/>
      <c r="B9" s="16"/>
      <c r="C9" s="15"/>
      <c r="D9" s="15"/>
      <c r="E9" s="15"/>
      <c r="F9" s="15"/>
      <c r="G9" s="730"/>
      <c r="H9" s="15"/>
      <c r="I9" s="723"/>
    </row>
    <row r="10" spans="1:9" ht="14.4">
      <c r="A10" s="15"/>
      <c r="B10" s="16"/>
      <c r="C10" s="15"/>
      <c r="D10" s="15"/>
      <c r="E10" s="15"/>
      <c r="F10" s="15"/>
      <c r="G10" s="15"/>
      <c r="H10" s="15"/>
      <c r="I10" s="723"/>
    </row>
    <row r="11" spans="1:9" ht="14.4">
      <c r="A11" s="15"/>
      <c r="B11" s="16"/>
      <c r="C11" s="15"/>
      <c r="D11" s="15"/>
      <c r="E11" s="15"/>
      <c r="F11" s="15"/>
      <c r="G11" s="15"/>
      <c r="H11" s="15"/>
      <c r="I11" s="723"/>
    </row>
    <row r="12" spans="1:9" ht="14.4">
      <c r="A12" s="15"/>
      <c r="B12" s="16"/>
      <c r="C12" s="15"/>
      <c r="D12" s="15"/>
      <c r="E12" s="15"/>
      <c r="F12" s="15"/>
      <c r="G12" s="15"/>
      <c r="H12" s="15"/>
      <c r="I12" s="723"/>
    </row>
    <row r="13" spans="1:9" ht="14.4">
      <c r="A13" s="15"/>
      <c r="B13" s="16"/>
      <c r="C13" s="15"/>
      <c r="D13" s="15"/>
      <c r="E13" s="15"/>
      <c r="F13" s="15"/>
      <c r="G13" s="15"/>
      <c r="H13" s="15"/>
      <c r="I13" s="723"/>
    </row>
    <row r="14" spans="1:9" ht="14.4">
      <c r="A14" s="15"/>
      <c r="B14" s="16"/>
      <c r="C14" s="15"/>
      <c r="D14" s="15"/>
      <c r="E14" s="15"/>
      <c r="F14" s="15"/>
      <c r="G14" s="15"/>
      <c r="H14" s="15"/>
      <c r="I14" s="723"/>
    </row>
    <row r="15" spans="1:9">
      <c r="A15" s="2"/>
      <c r="B15" s="128"/>
      <c r="C15" s="707" t="s">
        <v>1200</v>
      </c>
      <c r="D15" s="707"/>
      <c r="E15" s="707"/>
      <c r="F15" s="707"/>
      <c r="G15" s="707"/>
      <c r="H15" s="707"/>
      <c r="I15" s="723"/>
    </row>
    <row r="16" spans="1:9">
      <c r="A16" s="2"/>
      <c r="B16" s="128"/>
      <c r="C16" s="731" t="s">
        <v>1313</v>
      </c>
      <c r="D16" s="2"/>
      <c r="E16" s="2"/>
      <c r="F16" s="2"/>
      <c r="G16" s="2"/>
      <c r="H16" s="2"/>
      <c r="I16" s="723"/>
    </row>
    <row r="17" spans="1:9">
      <c r="A17" s="2"/>
      <c r="B17" s="128"/>
      <c r="C17" s="731" t="s">
        <v>1369</v>
      </c>
      <c r="D17" s="2"/>
      <c r="E17" s="2"/>
      <c r="F17" s="2"/>
      <c r="G17" s="2"/>
      <c r="H17" s="2"/>
      <c r="I17" s="723"/>
    </row>
    <row r="18" spans="1:9">
      <c r="A18" s="6"/>
      <c r="B18" s="732"/>
      <c r="C18" s="731" t="s">
        <v>532</v>
      </c>
      <c r="D18" s="6"/>
      <c r="E18" s="6"/>
      <c r="F18" s="6"/>
      <c r="G18" s="6"/>
      <c r="H18" s="6"/>
      <c r="I18" s="723"/>
    </row>
    <row r="19" spans="1:9">
      <c r="A19" s="6"/>
      <c r="B19" s="732"/>
      <c r="C19" s="731" t="s">
        <v>1370</v>
      </c>
      <c r="D19" s="6"/>
      <c r="E19" s="6"/>
      <c r="F19" s="6"/>
      <c r="G19" s="6"/>
      <c r="H19" s="6"/>
      <c r="I19" s="723"/>
    </row>
    <row r="20" spans="1:9">
      <c r="A20" s="2"/>
      <c r="B20" s="128"/>
      <c r="C20" s="731" t="s">
        <v>1068</v>
      </c>
      <c r="D20" s="2"/>
      <c r="E20" s="2"/>
      <c r="F20" s="2"/>
      <c r="G20" s="2"/>
      <c r="H20" s="2"/>
      <c r="I20" s="723"/>
    </row>
    <row r="21" spans="1:9">
      <c r="A21" s="2"/>
      <c r="B21" s="128"/>
      <c r="C21" s="731" t="s">
        <v>334</v>
      </c>
      <c r="D21" s="6"/>
      <c r="E21" s="6"/>
      <c r="F21" s="2"/>
      <c r="G21" s="2"/>
      <c r="H21" s="2"/>
      <c r="I21" s="723"/>
    </row>
    <row r="22" spans="1:9">
      <c r="A22" s="2"/>
      <c r="B22" s="128"/>
      <c r="C22" s="731" t="s">
        <v>541</v>
      </c>
      <c r="D22" s="2"/>
      <c r="E22" s="2"/>
      <c r="F22" s="2"/>
      <c r="G22" s="2"/>
      <c r="H22" s="2"/>
      <c r="I22" s="723"/>
    </row>
    <row r="23" spans="1:9">
      <c r="A23" s="2"/>
      <c r="B23" s="128"/>
      <c r="C23" s="731" t="s">
        <v>250</v>
      </c>
      <c r="D23" s="2"/>
      <c r="E23" s="2"/>
      <c r="F23" s="2"/>
      <c r="G23" s="2"/>
      <c r="H23" s="2"/>
      <c r="I23" s="723"/>
    </row>
    <row r="24" spans="1:9">
      <c r="A24" s="2"/>
      <c r="B24" s="128"/>
      <c r="C24" s="731" t="s">
        <v>1106</v>
      </c>
      <c r="D24" s="2"/>
      <c r="E24" s="2"/>
      <c r="F24" s="2"/>
      <c r="G24" s="2"/>
      <c r="H24" s="2"/>
      <c r="I24" s="723"/>
    </row>
    <row r="25" spans="1:9">
      <c r="A25" s="2"/>
      <c r="B25" s="128"/>
      <c r="C25" s="731" t="s">
        <v>1371</v>
      </c>
      <c r="D25" s="2"/>
      <c r="E25" s="2"/>
      <c r="F25" s="2"/>
      <c r="G25" s="2"/>
      <c r="H25" s="2"/>
      <c r="I25" s="723"/>
    </row>
    <row r="26" spans="1:9">
      <c r="A26" s="2"/>
      <c r="B26" s="128"/>
      <c r="C26" s="731" t="s">
        <v>1105</v>
      </c>
      <c r="D26" s="2"/>
      <c r="E26" s="2"/>
      <c r="F26" s="2"/>
      <c r="G26" s="2"/>
      <c r="H26" s="2"/>
      <c r="I26" s="723"/>
    </row>
    <row r="27" spans="1:9">
      <c r="A27" s="2"/>
      <c r="B27" s="128"/>
      <c r="C27" s="2"/>
      <c r="D27" s="2"/>
      <c r="E27" s="2"/>
      <c r="F27" s="2"/>
      <c r="G27" s="2"/>
      <c r="H27" s="2"/>
      <c r="I27" s="723"/>
    </row>
    <row r="28" spans="1:9">
      <c r="A28" s="2"/>
      <c r="B28" s="128"/>
      <c r="C28" s="707" t="s">
        <v>1168</v>
      </c>
      <c r="D28" s="707"/>
      <c r="E28" s="707"/>
      <c r="F28" s="707"/>
      <c r="G28" s="707"/>
      <c r="H28" s="707"/>
      <c r="I28" s="723"/>
    </row>
    <row r="29" spans="1:9">
      <c r="A29" s="2"/>
      <c r="B29" s="128"/>
      <c r="C29" s="8" t="s">
        <v>961</v>
      </c>
      <c r="D29" s="2"/>
      <c r="E29" s="14"/>
      <c r="F29" s="2"/>
      <c r="G29" s="2"/>
      <c r="H29" s="376">
        <v>5.303755719409013</v>
      </c>
      <c r="I29" s="723"/>
    </row>
    <row r="30" spans="1:9">
      <c r="A30" s="2"/>
      <c r="B30" s="128"/>
      <c r="C30" s="8" t="s">
        <v>1169</v>
      </c>
      <c r="D30" s="2"/>
      <c r="E30" s="14"/>
      <c r="F30" s="2"/>
      <c r="G30" s="2"/>
      <c r="H30" s="376">
        <f>SoTP!$BX$33</f>
        <v>5.2352894294869641</v>
      </c>
      <c r="I30" s="723"/>
    </row>
    <row r="31" spans="1:9">
      <c r="A31" s="2"/>
      <c r="B31" s="128"/>
      <c r="C31" s="8" t="s">
        <v>1170</v>
      </c>
      <c r="D31" s="2"/>
      <c r="E31" s="14"/>
      <c r="F31" s="2"/>
      <c r="G31" s="2"/>
      <c r="H31" s="377">
        <f>PE!$F$225</f>
        <v>5.4999828490548257</v>
      </c>
      <c r="I31" s="723"/>
    </row>
    <row r="32" spans="1:9">
      <c r="A32" s="2"/>
      <c r="B32" s="128"/>
      <c r="C32" s="9" t="s">
        <v>1171</v>
      </c>
      <c r="D32" s="2"/>
      <c r="E32" s="48"/>
      <c r="F32" s="2"/>
      <c r="G32" s="2"/>
      <c r="H32" s="1207">
        <v>4.95</v>
      </c>
      <c r="I32" s="723"/>
    </row>
    <row r="33" spans="1:9">
      <c r="A33" s="2"/>
      <c r="B33" s="128"/>
      <c r="C33" s="8" t="s">
        <v>1488</v>
      </c>
      <c r="D33" s="2"/>
      <c r="E33" s="14"/>
      <c r="F33" s="2"/>
      <c r="G33" s="2"/>
      <c r="H33" s="523">
        <v>4.8499999999999996</v>
      </c>
      <c r="I33" s="723"/>
    </row>
    <row r="34" spans="1:9">
      <c r="A34" s="2"/>
      <c r="B34" s="128"/>
      <c r="C34" s="8" t="s">
        <v>1412</v>
      </c>
      <c r="D34" s="2"/>
      <c r="E34" s="14"/>
      <c r="F34" s="2"/>
      <c r="G34" s="2"/>
      <c r="H34" s="1076">
        <f>+H32/H33-1</f>
        <v>2.0618556701031077E-2</v>
      </c>
      <c r="I34" s="723"/>
    </row>
    <row r="35" spans="1:9">
      <c r="A35" s="2"/>
      <c r="B35" s="128"/>
      <c r="C35" s="8"/>
      <c r="D35" s="2"/>
      <c r="E35" s="14"/>
      <c r="F35" s="2"/>
      <c r="G35" s="2"/>
      <c r="H35" s="523"/>
      <c r="I35" s="723"/>
    </row>
    <row r="36" spans="1:9">
      <c r="A36" s="2"/>
      <c r="B36" s="128"/>
      <c r="C36" s="2"/>
      <c r="D36" s="2"/>
      <c r="E36" s="2"/>
      <c r="F36" s="2"/>
      <c r="G36" s="2"/>
      <c r="H36" s="2"/>
      <c r="I36" s="723"/>
    </row>
    <row r="37" spans="1:9">
      <c r="A37" s="2"/>
      <c r="B37" s="128"/>
      <c r="C37" s="2"/>
      <c r="D37" s="2"/>
      <c r="E37" s="2"/>
      <c r="F37" s="2"/>
      <c r="G37" s="2"/>
      <c r="H37" s="2"/>
      <c r="I37" s="723"/>
    </row>
    <row r="38" spans="1:9">
      <c r="A38" s="2"/>
      <c r="B38" s="128"/>
      <c r="C38" s="2"/>
      <c r="D38" s="2"/>
      <c r="E38" s="2"/>
      <c r="F38" s="2"/>
      <c r="G38" s="2"/>
      <c r="H38" s="2"/>
      <c r="I38" s="723"/>
    </row>
    <row r="39" spans="1:9">
      <c r="A39" s="2"/>
      <c r="B39" s="128"/>
      <c r="C39" s="2"/>
      <c r="D39" s="2"/>
      <c r="E39" s="2"/>
      <c r="F39" s="2"/>
      <c r="G39" s="2"/>
      <c r="H39" s="2"/>
      <c r="I39" s="723"/>
    </row>
    <row r="40" spans="1:9">
      <c r="A40" s="2"/>
      <c r="B40" s="128"/>
      <c r="C40" s="2"/>
      <c r="D40" s="2"/>
      <c r="E40" s="2"/>
      <c r="F40" s="2"/>
      <c r="G40" s="2"/>
      <c r="H40" s="2"/>
      <c r="I40" s="723"/>
    </row>
    <row r="41" spans="1:9">
      <c r="A41" s="2"/>
      <c r="B41" s="128"/>
      <c r="C41" s="2"/>
      <c r="D41" s="2"/>
      <c r="E41" s="2"/>
      <c r="F41" s="2"/>
      <c r="G41" s="2"/>
      <c r="H41" s="2"/>
      <c r="I41" s="723"/>
    </row>
    <row r="42" spans="1:9">
      <c r="A42" s="2"/>
      <c r="B42" s="128"/>
      <c r="C42" s="2"/>
      <c r="D42" s="2"/>
      <c r="E42" s="2"/>
      <c r="F42" s="2"/>
      <c r="G42" s="2"/>
      <c r="H42" s="2"/>
      <c r="I42" s="723"/>
    </row>
    <row r="43" spans="1:9">
      <c r="A43" s="2"/>
      <c r="B43" s="128"/>
      <c r="C43" s="2"/>
      <c r="D43" s="2"/>
      <c r="E43" s="2"/>
      <c r="F43" s="2"/>
      <c r="G43" s="2"/>
      <c r="H43" s="2"/>
      <c r="I43" s="723"/>
    </row>
    <row r="44" spans="1:9">
      <c r="A44" s="2"/>
      <c r="B44" s="128"/>
      <c r="C44" s="2"/>
      <c r="D44" s="2"/>
      <c r="E44" s="2"/>
      <c r="F44" s="2"/>
      <c r="G44" s="2"/>
      <c r="H44" s="2"/>
      <c r="I44" s="723"/>
    </row>
    <row r="45" spans="1:9">
      <c r="A45" s="2"/>
      <c r="B45" s="128"/>
      <c r="C45" s="2"/>
      <c r="D45" s="2"/>
      <c r="E45" s="2"/>
      <c r="F45" s="2"/>
      <c r="G45" s="2"/>
      <c r="H45" s="2"/>
      <c r="I45" s="723"/>
    </row>
    <row r="46" spans="1:9">
      <c r="A46" s="2"/>
      <c r="B46" s="128"/>
      <c r="C46" s="2"/>
      <c r="D46" s="2"/>
      <c r="E46" s="2"/>
      <c r="F46" s="2"/>
      <c r="G46" s="2"/>
      <c r="H46" s="2"/>
      <c r="I46" s="723"/>
    </row>
    <row r="47" spans="1:9">
      <c r="A47" s="2"/>
      <c r="B47" s="128"/>
      <c r="C47" s="2"/>
      <c r="D47" s="2"/>
      <c r="E47" s="2"/>
      <c r="F47" s="2"/>
      <c r="G47" s="2"/>
      <c r="H47" s="2"/>
      <c r="I47" s="723"/>
    </row>
    <row r="48" spans="1:9">
      <c r="A48" s="2"/>
      <c r="B48" s="128"/>
      <c r="C48" s="2"/>
      <c r="D48" s="2"/>
      <c r="E48" s="2"/>
      <c r="F48" s="2"/>
      <c r="G48" s="2"/>
      <c r="H48" s="2"/>
      <c r="I48" s="723"/>
    </row>
    <row r="49" spans="1:9">
      <c r="A49" s="2"/>
      <c r="B49" s="128"/>
      <c r="C49" s="2"/>
      <c r="D49" s="2"/>
      <c r="E49" s="2"/>
      <c r="F49" s="2"/>
      <c r="G49" s="2"/>
      <c r="H49" s="2"/>
      <c r="I49" s="723"/>
    </row>
    <row r="50" spans="1:9">
      <c r="A50" s="2"/>
      <c r="B50" s="128"/>
      <c r="C50" s="707" t="s">
        <v>1204</v>
      </c>
      <c r="D50" s="707"/>
      <c r="E50" s="707"/>
      <c r="F50" s="707"/>
      <c r="G50" s="707"/>
      <c r="H50" s="707"/>
      <c r="I50" s="723"/>
    </row>
    <row r="51" spans="1:9">
      <c r="A51" s="2"/>
      <c r="B51" s="128"/>
      <c r="C51" s="6" t="s">
        <v>68</v>
      </c>
      <c r="D51" s="2"/>
      <c r="E51" s="2"/>
      <c r="F51" s="2"/>
      <c r="G51" s="2"/>
      <c r="H51" s="2"/>
      <c r="I51" s="723"/>
    </row>
    <row r="52" spans="1:9">
      <c r="A52" s="2"/>
      <c r="B52" s="128"/>
      <c r="C52" s="9" t="s">
        <v>1428</v>
      </c>
      <c r="D52" s="2"/>
      <c r="E52" s="2"/>
      <c r="F52" s="2"/>
      <c r="G52" s="2"/>
      <c r="H52" s="2"/>
      <c r="I52" s="723"/>
    </row>
    <row r="53" spans="1:9">
      <c r="A53" s="2"/>
      <c r="B53" s="128"/>
      <c r="C53" s="9" t="s">
        <v>1435</v>
      </c>
      <c r="D53" s="2"/>
      <c r="E53" s="2"/>
      <c r="F53" s="2"/>
      <c r="G53" s="2"/>
      <c r="H53" s="2"/>
      <c r="I53" s="723"/>
    </row>
    <row r="54" spans="1:9">
      <c r="A54" s="2"/>
      <c r="B54" s="128"/>
      <c r="C54" s="2"/>
      <c r="D54" s="2"/>
      <c r="E54" s="2"/>
      <c r="F54" s="2"/>
      <c r="G54" s="2"/>
      <c r="H54" s="2"/>
      <c r="I54" s="723"/>
    </row>
    <row r="55" spans="1:9">
      <c r="A55" s="2"/>
      <c r="B55" s="128"/>
      <c r="C55" s="2" t="s">
        <v>584</v>
      </c>
      <c r="D55" s="2"/>
      <c r="E55" s="2"/>
      <c r="F55" s="2"/>
      <c r="G55" s="2"/>
      <c r="H55" s="2"/>
      <c r="I55" s="723"/>
    </row>
    <row r="56" spans="1:9">
      <c r="A56" s="2"/>
      <c r="B56" s="128"/>
      <c r="C56" s="2" t="s">
        <v>349</v>
      </c>
      <c r="D56" s="2"/>
      <c r="E56" s="2"/>
      <c r="F56" s="2"/>
      <c r="G56" s="2"/>
      <c r="H56" s="2"/>
      <c r="I56" s="723"/>
    </row>
    <row r="57" spans="1:9">
      <c r="A57" s="2"/>
      <c r="B57" s="128"/>
      <c r="C57" s="2" t="s">
        <v>205</v>
      </c>
      <c r="D57" s="2"/>
      <c r="E57" s="2"/>
      <c r="F57" s="2"/>
      <c r="G57" s="2"/>
      <c r="H57" s="2"/>
      <c r="I57" s="723"/>
    </row>
    <row r="58" spans="1:9">
      <c r="A58" s="2"/>
      <c r="B58" s="733"/>
      <c r="C58" t="s">
        <v>182</v>
      </c>
      <c r="I58" s="723"/>
    </row>
    <row r="59" spans="1:9">
      <c r="B59" s="734"/>
      <c r="C59" s="23"/>
      <c r="D59" s="23"/>
      <c r="E59" s="23"/>
      <c r="F59" s="23"/>
      <c r="G59" s="23"/>
      <c r="H59" s="23"/>
      <c r="I59" s="735"/>
    </row>
  </sheetData>
  <phoneticPr fontId="10" type="noConversion"/>
  <hyperlinks>
    <hyperlink ref="C17" location="'2. Cost Assumptions'!A1" display="2. Key Cost Assumptions" xr:uid="{00000000-0004-0000-0000-000000000000}"/>
    <hyperlink ref="C18" location="'3. Capex + BS Assumptions'!A1" display="3. Key Capex Assumptions" xr:uid="{00000000-0004-0000-0000-000001000000}"/>
    <hyperlink ref="C19" location="'3a. NBN &amp; Fixed Transition'!A1" display="3a. NBN Transition " xr:uid="{00000000-0004-0000-0000-000002000000}"/>
    <hyperlink ref="C20" location="'4. Income'!A1" display="4. Group Income Statement" xr:uid="{00000000-0004-0000-0000-000003000000}"/>
    <hyperlink ref="C21" location="'5. Cashflow'!A1" display="5. Group Cash Flow statement" xr:uid="{00000000-0004-0000-0000-000004000000}"/>
    <hyperlink ref="C22" location="'6. Balance Sheet'!A1" display="6. Group Balance Sheet" xr:uid="{00000000-0004-0000-0000-000005000000}"/>
    <hyperlink ref="C23" location="'7. Foxtel (50%)'!A1" display="7. Foxtel (50%)" xr:uid="{00000000-0004-0000-0000-000006000000}"/>
    <hyperlink ref="C24" location="'8. PE Valn'!A1" display="8. P/E Valuation" xr:uid="{00000000-0004-0000-0000-000007000000}"/>
    <hyperlink ref="C25" location="'9. EV EBITDA'!A1" display="9. EV/EBITDA Valuation" xr:uid="{00000000-0004-0000-0000-000008000000}"/>
    <hyperlink ref="C26" location="'10. DCF Valn'!A1" display="10. DCF Valuation" xr:uid="{00000000-0004-0000-0000-000009000000}"/>
  </hyperlinks>
  <pageMargins left="0.75" right="0.75" top="1" bottom="1" header="0.5" footer="0.5"/>
  <pageSetup paperSize="9" scale="86" orientation="portrait" r:id="rId1"/>
  <headerFooter alignWithMargins="0"/>
  <rowBreaks count="1" manualBreakCount="1">
    <brk id="60" max="16383" man="1"/>
  </rowBreak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0">
    <pageSetUpPr autoPageBreaks="0" fitToPage="1"/>
  </sheetPr>
  <dimension ref="A1:AX98"/>
  <sheetViews>
    <sheetView showGridLines="0" topLeftCell="A23" zoomScale="70" zoomScaleNormal="70" workbookViewId="0">
      <selection activeCell="AA35" sqref="AA35"/>
    </sheetView>
  </sheetViews>
  <sheetFormatPr defaultColWidth="0" defaultRowHeight="13.8" outlineLevelRow="1" outlineLevelCol="1"/>
  <cols>
    <col min="1" max="1" width="2.6640625" customWidth="1"/>
    <col min="2" max="2" width="36.33203125" customWidth="1"/>
    <col min="3" max="3" width="9.6640625" style="995" customWidth="1"/>
    <col min="4" max="14" width="9.6640625" hidden="1" customWidth="1" outlineLevel="1"/>
    <col min="15" max="16" width="9.6640625" hidden="1" customWidth="1" outlineLevel="1" collapsed="1"/>
    <col min="17" max="17" width="7.88671875" hidden="1" customWidth="1" outlineLevel="1" collapsed="1"/>
    <col min="18" max="21" width="9.6640625" hidden="1" customWidth="1" outlineLevel="1"/>
    <col min="22" max="22" width="9.6640625" customWidth="1" collapsed="1"/>
    <col min="23" max="25" width="9.6640625" customWidth="1"/>
    <col min="26" max="26" width="2.6640625" customWidth="1"/>
    <col min="27" max="27" width="36.33203125" customWidth="1"/>
    <col min="28" max="28" width="9.6640625" style="996" customWidth="1"/>
    <col min="29" max="38" width="9.6640625" hidden="1" customWidth="1" outlineLevel="1"/>
    <col min="39" max="40" width="9.6640625" hidden="1" customWidth="1" outlineLevel="1" collapsed="1"/>
    <col min="41" max="41" width="7.6640625" hidden="1" customWidth="1" outlineLevel="1" collapsed="1"/>
    <col min="42" max="45" width="9.6640625" hidden="1" customWidth="1" outlineLevel="1"/>
    <col min="46" max="46" width="9.6640625" customWidth="1" collapsed="1"/>
    <col min="47" max="49" width="9.6640625" customWidth="1"/>
    <col min="50" max="50" width="2.6640625" customWidth="1"/>
    <col min="51" max="16384" width="9.109375" hidden="1"/>
  </cols>
  <sheetData>
    <row r="1" spans="1:50">
      <c r="A1" s="472"/>
      <c r="B1" s="469"/>
      <c r="C1" s="714"/>
      <c r="D1" s="472"/>
      <c r="E1" s="472"/>
      <c r="F1" s="472"/>
      <c r="G1" s="472"/>
      <c r="H1" s="472"/>
      <c r="I1" s="472"/>
      <c r="J1" s="472"/>
      <c r="K1" s="472"/>
      <c r="L1" s="472"/>
      <c r="M1" s="472"/>
      <c r="N1" s="472"/>
      <c r="O1" s="472"/>
      <c r="P1" s="472"/>
      <c r="Q1" s="472"/>
      <c r="R1" s="472"/>
      <c r="S1" s="472"/>
      <c r="T1" s="472"/>
      <c r="U1" s="472"/>
      <c r="V1" s="472"/>
      <c r="W1" s="472"/>
      <c r="X1" s="472"/>
      <c r="Y1" s="472"/>
      <c r="Z1" s="472"/>
      <c r="AA1" s="472"/>
      <c r="AB1" s="473"/>
      <c r="AC1" s="472"/>
      <c r="AD1" s="472"/>
      <c r="AE1" s="472"/>
      <c r="AF1" s="472"/>
      <c r="AG1" s="472"/>
      <c r="AH1" s="472"/>
      <c r="AI1" s="472"/>
      <c r="AJ1" s="472"/>
      <c r="AK1" s="472"/>
      <c r="AL1" s="472"/>
      <c r="AM1" s="472"/>
      <c r="AN1" s="472"/>
      <c r="AO1" s="472"/>
      <c r="AP1" s="472"/>
      <c r="AQ1" s="472"/>
      <c r="AR1" s="472"/>
      <c r="AS1" s="472"/>
      <c r="AT1" s="472"/>
      <c r="AU1" s="472"/>
      <c r="AV1" s="472"/>
      <c r="AW1" s="472"/>
      <c r="AX1" s="472"/>
    </row>
    <row r="2" spans="1:50" ht="23.4">
      <c r="A2" s="472"/>
      <c r="B2" s="475" t="s">
        <v>1368</v>
      </c>
      <c r="C2" s="714"/>
      <c r="D2" s="472"/>
      <c r="E2" s="472"/>
      <c r="F2" s="472"/>
      <c r="G2" s="472"/>
      <c r="H2" s="472"/>
      <c r="I2" s="472"/>
      <c r="J2" s="472"/>
      <c r="K2" s="472"/>
      <c r="L2" s="472"/>
      <c r="M2" s="472"/>
      <c r="N2" s="472"/>
      <c r="O2" s="472"/>
      <c r="P2" s="472"/>
      <c r="Q2" s="472"/>
      <c r="R2" s="472"/>
      <c r="S2" s="472"/>
      <c r="T2" s="472"/>
      <c r="U2" s="472"/>
      <c r="V2" s="472"/>
      <c r="W2" s="472"/>
      <c r="X2" s="472"/>
      <c r="Y2" s="472"/>
      <c r="Z2" s="472"/>
      <c r="AA2" s="472"/>
      <c r="AB2" s="473"/>
      <c r="AC2" s="472"/>
      <c r="AD2" s="472"/>
      <c r="AE2" s="472"/>
      <c r="AF2" s="472"/>
      <c r="AG2" s="472"/>
      <c r="AH2" s="472"/>
      <c r="AI2" s="472"/>
      <c r="AJ2" s="472"/>
      <c r="AK2" s="472"/>
      <c r="AL2" s="472"/>
      <c r="AM2" s="472"/>
      <c r="AN2" s="472"/>
      <c r="AO2" s="472"/>
      <c r="AP2" s="472"/>
      <c r="AQ2" s="472"/>
      <c r="AR2" s="472"/>
      <c r="AS2" s="472"/>
      <c r="AT2" s="472"/>
      <c r="AU2" s="472"/>
      <c r="AV2" s="472"/>
      <c r="AW2" s="472"/>
      <c r="AX2" s="472"/>
    </row>
    <row r="3" spans="1:50" ht="15.6">
      <c r="A3" s="472"/>
      <c r="B3" s="480" t="str">
        <f ca="1">MID(CELL("filename",A1),FIND("]",CELL("filename",A1))+1,255)</f>
        <v>Financial Summary</v>
      </c>
      <c r="C3" s="715"/>
      <c r="D3" s="472"/>
      <c r="E3" s="472"/>
      <c r="F3" s="472"/>
      <c r="G3" s="472"/>
      <c r="H3" s="472"/>
      <c r="I3" s="472"/>
      <c r="J3" s="472"/>
      <c r="K3" s="472"/>
      <c r="L3" s="472"/>
      <c r="M3" s="472"/>
      <c r="N3" s="472"/>
      <c r="O3" s="472"/>
      <c r="P3" s="472"/>
      <c r="Q3" s="472"/>
      <c r="R3" s="472"/>
      <c r="S3" s="472"/>
      <c r="T3" s="472"/>
      <c r="U3" s="472"/>
      <c r="V3" s="472"/>
      <c r="W3" s="472"/>
      <c r="X3" s="472"/>
      <c r="Y3" s="472"/>
      <c r="Z3" s="472"/>
      <c r="AA3" s="472"/>
      <c r="AB3" s="473"/>
      <c r="AC3" s="472"/>
      <c r="AD3" s="472"/>
      <c r="AE3" s="472"/>
      <c r="AF3" s="472"/>
      <c r="AG3" s="472"/>
      <c r="AH3" s="472"/>
      <c r="AI3" s="472"/>
      <c r="AJ3" s="472"/>
      <c r="AK3" s="472"/>
      <c r="AL3" s="472"/>
      <c r="AM3" s="472"/>
      <c r="AN3" s="472"/>
      <c r="AO3" s="472"/>
      <c r="AP3" s="472"/>
      <c r="AQ3" s="472"/>
      <c r="AR3" s="472"/>
      <c r="AS3" s="472"/>
      <c r="AT3" s="472"/>
      <c r="AU3" s="472"/>
      <c r="AV3" s="472"/>
      <c r="AW3" s="472"/>
      <c r="AX3" s="472"/>
    </row>
    <row r="4" spans="1:50" ht="14.4">
      <c r="A4" s="472"/>
      <c r="B4" s="489">
        <f>MENU!H33</f>
        <v>4.8499999999999996</v>
      </c>
      <c r="C4" s="714"/>
      <c r="D4" s="472"/>
      <c r="E4" s="472"/>
      <c r="F4" s="472"/>
      <c r="G4" s="472"/>
      <c r="H4" s="472"/>
      <c r="I4" s="472"/>
      <c r="J4" s="472"/>
      <c r="K4" s="472"/>
      <c r="L4" s="472"/>
      <c r="M4" s="472"/>
      <c r="N4" s="472"/>
      <c r="O4" s="483"/>
      <c r="P4" s="483"/>
      <c r="Q4" s="483"/>
      <c r="R4" s="483"/>
      <c r="S4" s="483"/>
      <c r="T4" s="483"/>
      <c r="U4" s="483"/>
      <c r="V4" s="483"/>
      <c r="W4" s="483"/>
      <c r="X4" s="483"/>
      <c r="Y4" s="483"/>
      <c r="Z4" s="472"/>
      <c r="AA4" s="472"/>
      <c r="AB4" s="473"/>
      <c r="AC4" s="472"/>
      <c r="AD4" s="472"/>
      <c r="AE4" s="472"/>
      <c r="AF4" s="472"/>
      <c r="AG4" s="472"/>
      <c r="AH4" s="472"/>
      <c r="AI4" s="472"/>
      <c r="AJ4" s="472"/>
      <c r="AK4" s="472"/>
      <c r="AL4" s="472"/>
      <c r="AM4" s="472"/>
      <c r="AN4" s="472"/>
      <c r="AO4" s="472"/>
      <c r="AP4" s="472"/>
      <c r="AQ4" s="472"/>
      <c r="AR4" s="472"/>
      <c r="AS4" s="472"/>
      <c r="AT4" s="472"/>
      <c r="AU4" s="472"/>
      <c r="AV4" s="472"/>
      <c r="AW4" s="472"/>
      <c r="AX4" s="472"/>
    </row>
    <row r="5" spans="1:50">
      <c r="A5" s="472"/>
      <c r="B5" s="472"/>
      <c r="C5" s="714"/>
      <c r="D5" s="472"/>
      <c r="E5" s="472"/>
      <c r="F5" s="472"/>
      <c r="G5" s="472"/>
      <c r="H5" s="472"/>
      <c r="I5" s="472"/>
      <c r="J5" s="472"/>
      <c r="K5" s="472"/>
      <c r="L5" s="472"/>
      <c r="M5" s="472"/>
      <c r="N5" s="472"/>
      <c r="O5" s="472"/>
      <c r="P5" s="472"/>
      <c r="Q5" s="472"/>
      <c r="R5" s="472"/>
      <c r="S5" s="472"/>
      <c r="T5" s="472"/>
      <c r="U5" s="472"/>
      <c r="V5" s="472"/>
      <c r="W5" s="472"/>
      <c r="X5" s="472"/>
      <c r="Y5" s="472"/>
      <c r="Z5" s="472"/>
      <c r="AA5" s="472"/>
      <c r="AB5" s="473"/>
      <c r="AC5" s="472"/>
      <c r="AD5" s="472"/>
      <c r="AE5" s="472"/>
      <c r="AF5" s="472"/>
      <c r="AG5" s="472"/>
      <c r="AH5" s="472"/>
      <c r="AI5" s="472"/>
      <c r="AJ5" s="472"/>
      <c r="AK5" s="472"/>
      <c r="AL5" s="472"/>
      <c r="AM5" s="472"/>
      <c r="AN5" s="472"/>
      <c r="AO5" s="472"/>
      <c r="AP5" s="472"/>
      <c r="AQ5" s="472"/>
      <c r="AR5" s="472"/>
      <c r="AS5" s="472"/>
      <c r="AT5" s="472"/>
      <c r="AU5" s="472"/>
      <c r="AV5" s="472"/>
      <c r="AW5" s="472"/>
      <c r="AX5" s="472"/>
    </row>
    <row r="6" spans="1:50">
      <c r="A6" s="495"/>
      <c r="B6" s="495"/>
      <c r="C6" s="716"/>
      <c r="D6" s="495"/>
      <c r="E6" s="495"/>
      <c r="F6" s="495"/>
      <c r="G6" s="495"/>
      <c r="H6" s="495"/>
      <c r="I6" s="495"/>
      <c r="J6" s="495"/>
      <c r="K6" s="495"/>
      <c r="L6" s="495"/>
      <c r="M6" s="495"/>
      <c r="N6" s="495"/>
      <c r="O6" s="495"/>
      <c r="P6" s="495"/>
      <c r="Q6" s="495"/>
      <c r="R6" s="495"/>
      <c r="S6" s="495"/>
      <c r="T6" s="495"/>
      <c r="U6" s="495"/>
      <c r="V6" s="495"/>
      <c r="W6" s="495"/>
      <c r="X6" s="495"/>
      <c r="Y6" s="495"/>
      <c r="Z6" s="495"/>
      <c r="AA6" s="495"/>
      <c r="AB6" s="710"/>
      <c r="AC6" s="495"/>
      <c r="AD6" s="495"/>
      <c r="AE6" s="495"/>
      <c r="AF6" s="495"/>
      <c r="AG6" s="495"/>
      <c r="AH6" s="495"/>
      <c r="AI6" s="495"/>
      <c r="AJ6" s="495"/>
      <c r="AK6" s="495"/>
      <c r="AL6" s="495"/>
      <c r="AM6" s="495"/>
      <c r="AN6" s="495"/>
      <c r="AO6" s="495"/>
      <c r="AP6" s="495"/>
      <c r="AQ6" s="495"/>
      <c r="AR6" s="495"/>
      <c r="AS6" s="495"/>
      <c r="AT6" s="495"/>
      <c r="AU6" s="495"/>
      <c r="AV6" s="495"/>
      <c r="AW6" s="495"/>
    </row>
    <row r="7" spans="1:50" ht="15.6">
      <c r="A7" s="980"/>
      <c r="B7" s="981" t="s">
        <v>14</v>
      </c>
      <c r="C7" s="982"/>
      <c r="D7" s="980"/>
      <c r="E7" s="980"/>
      <c r="F7" s="980"/>
      <c r="G7" s="980"/>
      <c r="H7" s="980"/>
      <c r="I7" s="980"/>
      <c r="J7" s="980"/>
      <c r="K7" s="980"/>
      <c r="L7" s="980"/>
      <c r="M7" s="980"/>
      <c r="N7" s="980"/>
      <c r="O7" s="980"/>
      <c r="P7" s="980"/>
      <c r="Q7" s="980"/>
      <c r="R7" s="980"/>
      <c r="S7" s="980"/>
      <c r="T7" s="980"/>
      <c r="U7" s="980"/>
      <c r="V7" s="980"/>
      <c r="W7" s="980"/>
      <c r="X7" s="980"/>
      <c r="Y7" s="980"/>
      <c r="Z7" s="980"/>
      <c r="AA7" s="981" t="s">
        <v>541</v>
      </c>
      <c r="AB7" s="983"/>
      <c r="AC7" s="980"/>
      <c r="AD7" s="980"/>
      <c r="AE7" s="980"/>
      <c r="AF7" s="980"/>
      <c r="AG7" s="980"/>
      <c r="AH7" s="980"/>
      <c r="AI7" s="980"/>
      <c r="AJ7" s="980"/>
      <c r="AK7" s="980"/>
      <c r="AL7" s="980"/>
      <c r="AM7" s="980"/>
      <c r="AN7" s="980"/>
      <c r="AO7" s="980"/>
      <c r="AP7" s="980"/>
      <c r="AQ7" s="980"/>
      <c r="AR7" s="980"/>
      <c r="AS7" s="980"/>
      <c r="AT7" s="980"/>
      <c r="AU7" s="980"/>
      <c r="AV7" s="980"/>
      <c r="AW7" s="980"/>
    </row>
    <row r="8" spans="1:50">
      <c r="A8" s="8"/>
      <c r="B8" s="388" t="str">
        <f>'Balance Sheet'!$B$5</f>
        <v>Fiscal year ended 30 June</v>
      </c>
      <c r="C8" s="711" t="s">
        <v>184</v>
      </c>
      <c r="D8" s="497" t="s">
        <v>134</v>
      </c>
      <c r="E8" s="497" t="s">
        <v>135</v>
      </c>
      <c r="F8" s="496" t="s">
        <v>136</v>
      </c>
      <c r="G8" s="385" t="s">
        <v>137</v>
      </c>
      <c r="H8" s="385" t="s">
        <v>138</v>
      </c>
      <c r="I8" s="385" t="s">
        <v>451</v>
      </c>
      <c r="J8" s="385" t="s">
        <v>47</v>
      </c>
      <c r="K8" s="385" t="s">
        <v>48</v>
      </c>
      <c r="L8" s="385" t="s">
        <v>49</v>
      </c>
      <c r="M8" s="498" t="s">
        <v>50</v>
      </c>
      <c r="N8" s="385" t="s">
        <v>51</v>
      </c>
      <c r="O8" s="385" t="s">
        <v>52</v>
      </c>
      <c r="P8" s="386">
        <v>19</v>
      </c>
      <c r="Q8" s="386">
        <v>20</v>
      </c>
      <c r="R8" s="386">
        <v>21</v>
      </c>
      <c r="S8" s="386">
        <v>22</v>
      </c>
      <c r="T8" s="386">
        <f t="shared" ref="T8:Y8" si="0">+S8+1</f>
        <v>23</v>
      </c>
      <c r="U8" s="386">
        <f t="shared" si="0"/>
        <v>24</v>
      </c>
      <c r="V8" s="386">
        <f t="shared" si="0"/>
        <v>25</v>
      </c>
      <c r="W8" s="387">
        <f t="shared" si="0"/>
        <v>26</v>
      </c>
      <c r="X8" s="387">
        <f t="shared" si="0"/>
        <v>27</v>
      </c>
      <c r="Y8" s="387">
        <f t="shared" si="0"/>
        <v>28</v>
      </c>
      <c r="Z8" s="8"/>
      <c r="AA8" s="388" t="str">
        <f>'Balance Sheet'!$B$5</f>
        <v>Fiscal year ended 30 June</v>
      </c>
      <c r="AB8" s="711" t="s">
        <v>184</v>
      </c>
      <c r="AC8" s="497" t="str">
        <f t="shared" ref="AC8:AW8" si="1">E8</f>
        <v>FY08</v>
      </c>
      <c r="AD8" s="496" t="str">
        <f t="shared" si="1"/>
        <v>FY09</v>
      </c>
      <c r="AE8" s="385" t="str">
        <f t="shared" si="1"/>
        <v>FY10</v>
      </c>
      <c r="AF8" s="385" t="str">
        <f t="shared" si="1"/>
        <v>FY11</v>
      </c>
      <c r="AG8" s="385" t="str">
        <f t="shared" si="1"/>
        <v>FY12</v>
      </c>
      <c r="AH8" s="385" t="str">
        <f t="shared" si="1"/>
        <v>FY13</v>
      </c>
      <c r="AI8" s="385" t="str">
        <f t="shared" si="1"/>
        <v>FY14</v>
      </c>
      <c r="AJ8" s="385" t="str">
        <f t="shared" si="1"/>
        <v>FY15</v>
      </c>
      <c r="AK8" s="498" t="str">
        <f t="shared" si="1"/>
        <v>FY16</v>
      </c>
      <c r="AL8" s="385" t="str">
        <f t="shared" si="1"/>
        <v>FY17</v>
      </c>
      <c r="AM8" s="498" t="str">
        <f t="shared" si="1"/>
        <v>FY18</v>
      </c>
      <c r="AN8" s="386">
        <f t="shared" si="1"/>
        <v>19</v>
      </c>
      <c r="AO8" s="386">
        <f t="shared" si="1"/>
        <v>20</v>
      </c>
      <c r="AP8" s="386">
        <f t="shared" si="1"/>
        <v>21</v>
      </c>
      <c r="AQ8" s="386">
        <f t="shared" si="1"/>
        <v>22</v>
      </c>
      <c r="AR8" s="386">
        <f t="shared" si="1"/>
        <v>23</v>
      </c>
      <c r="AS8" s="386">
        <f t="shared" si="1"/>
        <v>24</v>
      </c>
      <c r="AT8" s="386">
        <f t="shared" si="1"/>
        <v>25</v>
      </c>
      <c r="AU8" s="387">
        <f t="shared" si="1"/>
        <v>26</v>
      </c>
      <c r="AV8" s="387">
        <f t="shared" si="1"/>
        <v>27</v>
      </c>
      <c r="AW8" s="387">
        <f t="shared" si="1"/>
        <v>28</v>
      </c>
    </row>
    <row r="9" spans="1:50">
      <c r="A9" s="8"/>
      <c r="B9" s="9" t="s">
        <v>731</v>
      </c>
      <c r="C9" s="718"/>
      <c r="D9" s="8"/>
      <c r="E9" s="8"/>
      <c r="F9" s="8"/>
      <c r="G9" s="8"/>
      <c r="H9" s="8"/>
      <c r="I9" s="8"/>
      <c r="J9" s="8"/>
      <c r="K9" s="8"/>
      <c r="L9" s="8"/>
      <c r="M9" s="8"/>
      <c r="N9" s="8"/>
      <c r="O9" s="8"/>
      <c r="P9" s="8"/>
      <c r="Q9" s="8"/>
      <c r="R9" s="8"/>
      <c r="S9" s="8"/>
      <c r="T9" s="8"/>
      <c r="U9" s="8"/>
      <c r="V9" s="8"/>
      <c r="W9" s="8"/>
      <c r="X9" s="8"/>
      <c r="Y9" s="8"/>
      <c r="Z9" s="8"/>
      <c r="AA9" s="8" t="s">
        <v>352</v>
      </c>
      <c r="AB9" s="410" t="s">
        <v>732</v>
      </c>
      <c r="AC9" s="984">
        <f>'Balance Sheet'!L9</f>
        <v>899</v>
      </c>
      <c r="AD9" s="984">
        <f>'Balance Sheet'!M9</f>
        <v>1381</v>
      </c>
      <c r="AE9" s="984">
        <f>'Balance Sheet'!N9</f>
        <v>1936</v>
      </c>
      <c r="AF9" s="984">
        <f>'Balance Sheet'!O9</f>
        <v>2630</v>
      </c>
      <c r="AG9" s="984">
        <f>'Balance Sheet'!P9</f>
        <v>3945</v>
      </c>
      <c r="AH9" s="984">
        <f>'Balance Sheet'!Q9</f>
        <v>2479</v>
      </c>
      <c r="AI9" s="984">
        <f>'Balance Sheet'!R9</f>
        <v>5527</v>
      </c>
      <c r="AJ9" s="984">
        <f>'Balance Sheet'!S9</f>
        <v>1396</v>
      </c>
      <c r="AK9" s="984">
        <f>'Balance Sheet'!T9</f>
        <v>3549.9914036749997</v>
      </c>
      <c r="AL9" s="984">
        <f>'Balance Sheet'!U9</f>
        <v>938</v>
      </c>
      <c r="AM9" s="984">
        <f>'Balance Sheet'!V9</f>
        <v>629</v>
      </c>
      <c r="AN9" s="984">
        <f>'Balance Sheet'!W9</f>
        <v>604</v>
      </c>
      <c r="AO9" s="984">
        <f>'Balance Sheet'!X9</f>
        <v>499</v>
      </c>
      <c r="AP9" s="984">
        <f>'Balance Sheet'!Y9</f>
        <v>1125</v>
      </c>
      <c r="AQ9" s="984">
        <f>'Balance Sheet'!Z9</f>
        <v>1040</v>
      </c>
      <c r="AR9" s="984">
        <f>'Balance Sheet'!AA9</f>
        <v>932</v>
      </c>
      <c r="AS9" s="984">
        <f>'Balance Sheet'!AB9</f>
        <v>1046</v>
      </c>
      <c r="AT9" s="984">
        <f>'Balance Sheet'!AC9</f>
        <v>1012</v>
      </c>
      <c r="AU9" s="984">
        <f>'Balance Sheet'!AD9</f>
        <v>632.96558696242846</v>
      </c>
      <c r="AV9" s="984">
        <f>'Balance Sheet'!AE9</f>
        <v>883.79089773726491</v>
      </c>
      <c r="AW9" s="984">
        <f>'Balance Sheet'!AF9</f>
        <v>1395.5879761601977</v>
      </c>
    </row>
    <row r="10" spans="1:50">
      <c r="A10" s="8"/>
      <c r="B10" s="8" t="s">
        <v>248</v>
      </c>
      <c r="C10" s="410" t="s">
        <v>732</v>
      </c>
      <c r="D10" s="425"/>
      <c r="E10" s="425"/>
      <c r="F10" s="425"/>
      <c r="G10" s="425"/>
      <c r="H10" s="425"/>
      <c r="I10" s="425"/>
      <c r="J10" s="425"/>
      <c r="K10" s="425"/>
      <c r="L10" s="425"/>
      <c r="M10" s="425"/>
      <c r="N10" s="425"/>
      <c r="O10" s="425">
        <f>+'P&amp;L'!V9</f>
        <v>10508</v>
      </c>
      <c r="P10" s="425">
        <f>+'P&amp;L'!W9</f>
        <v>10649</v>
      </c>
      <c r="Q10" s="425">
        <f>+'P&amp;L'!X9</f>
        <v>10130</v>
      </c>
      <c r="R10" s="425">
        <f>+'P&amp;L'!Y9</f>
        <v>9310</v>
      </c>
      <c r="S10" s="425">
        <f>+'P&amp;L'!Z9</f>
        <v>9470</v>
      </c>
      <c r="T10" s="425">
        <f>+'P&amp;L'!AA9</f>
        <v>10258</v>
      </c>
      <c r="U10" s="425">
        <f>+'P&amp;L'!AB9</f>
        <v>10722</v>
      </c>
      <c r="V10" s="425">
        <f>+'P&amp;L'!AC9</f>
        <v>11015</v>
      </c>
      <c r="W10" s="425">
        <f>+'P&amp;L'!AD9</f>
        <v>11520.457886304279</v>
      </c>
      <c r="X10" s="425">
        <f>+'P&amp;L'!AE9</f>
        <v>12044.693704684087</v>
      </c>
      <c r="Y10" s="425">
        <f>+'P&amp;L'!AF9</f>
        <v>12605.381763112948</v>
      </c>
      <c r="Z10" s="8"/>
      <c r="AA10" s="8" t="s">
        <v>506</v>
      </c>
      <c r="AB10" s="410" t="s">
        <v>732</v>
      </c>
      <c r="AC10" s="984">
        <f>'Balance Sheet'!L10</f>
        <v>3952</v>
      </c>
      <c r="AD10" s="984">
        <f>'Balance Sheet'!M10</f>
        <v>4039</v>
      </c>
      <c r="AE10" s="984">
        <f>'Balance Sheet'!N10</f>
        <v>3981</v>
      </c>
      <c r="AF10" s="984">
        <f>'Balance Sheet'!O10</f>
        <v>4137</v>
      </c>
      <c r="AG10" s="984">
        <f>'Balance Sheet'!P10</f>
        <v>4346</v>
      </c>
      <c r="AH10" s="984">
        <f>'Balance Sheet'!Q10</f>
        <v>4557</v>
      </c>
      <c r="AI10" s="984">
        <f>'Balance Sheet'!R10</f>
        <v>4172</v>
      </c>
      <c r="AJ10" s="984">
        <f>'Balance Sheet'!S10</f>
        <v>4721</v>
      </c>
      <c r="AK10" s="984">
        <f>'Balance Sheet'!T10</f>
        <v>4737</v>
      </c>
      <c r="AL10" s="984">
        <f>'Balance Sheet'!U10</f>
        <v>5468</v>
      </c>
      <c r="AM10" s="984">
        <f>'Balance Sheet'!V10</f>
        <v>5500</v>
      </c>
      <c r="AN10" s="984">
        <f>'Balance Sheet'!W10</f>
        <v>5392</v>
      </c>
      <c r="AO10" s="984">
        <f>'Balance Sheet'!X10</f>
        <v>5121</v>
      </c>
      <c r="AP10" s="984">
        <f>'Balance Sheet'!Y10</f>
        <v>4577</v>
      </c>
      <c r="AQ10" s="984">
        <f>'Balance Sheet'!Z10</f>
        <v>4074</v>
      </c>
      <c r="AR10" s="984">
        <f>'Balance Sheet'!AA10</f>
        <v>4216</v>
      </c>
      <c r="AS10" s="984">
        <f>'Balance Sheet'!AB10</f>
        <v>3828</v>
      </c>
      <c r="AT10" s="984">
        <f>'Balance Sheet'!AC10</f>
        <v>3677</v>
      </c>
      <c r="AU10" s="984">
        <f>'Balance Sheet'!AD10</f>
        <v>3962.8035804182946</v>
      </c>
      <c r="AV10" s="984">
        <f>'Balance Sheet'!AE10</f>
        <v>4001.5834779268821</v>
      </c>
      <c r="AW10" s="984">
        <f>'Balance Sheet'!AF10</f>
        <v>4052.8672117711671</v>
      </c>
    </row>
    <row r="11" spans="1:50">
      <c r="A11" s="8"/>
      <c r="B11" s="985" t="s">
        <v>1099</v>
      </c>
      <c r="C11" s="410" t="s">
        <v>733</v>
      </c>
      <c r="D11" s="343"/>
      <c r="E11" s="343"/>
      <c r="F11" s="343"/>
      <c r="G11" s="343"/>
      <c r="H11" s="343"/>
      <c r="I11" s="343"/>
      <c r="J11" s="343"/>
      <c r="K11" s="343"/>
      <c r="L11" s="343"/>
      <c r="M11" s="343"/>
      <c r="N11" s="343"/>
      <c r="O11" s="343" t="str">
        <f t="shared" ref="O11:Y11" si="2">IFERROR(O10/N10-1, "")</f>
        <v/>
      </c>
      <c r="P11" s="343">
        <f t="shared" si="2"/>
        <v>1.3418347925390206E-2</v>
      </c>
      <c r="Q11" s="343">
        <f t="shared" si="2"/>
        <v>-4.8736970607568764E-2</v>
      </c>
      <c r="R11" s="343">
        <f t="shared" si="2"/>
        <v>-8.0947680157946733E-2</v>
      </c>
      <c r="S11" s="343">
        <f t="shared" si="2"/>
        <v>1.7185821697099923E-2</v>
      </c>
      <c r="T11" s="343">
        <f t="shared" si="2"/>
        <v>8.321013727560711E-2</v>
      </c>
      <c r="U11" s="343">
        <f t="shared" si="2"/>
        <v>4.5232988886722447E-2</v>
      </c>
      <c r="V11" s="343">
        <f t="shared" si="2"/>
        <v>2.7326991232978992E-2</v>
      </c>
      <c r="W11" s="343">
        <f t="shared" si="2"/>
        <v>4.5888142197392456E-2</v>
      </c>
      <c r="X11" s="343">
        <f t="shared" si="2"/>
        <v>4.550477277496312E-2</v>
      </c>
      <c r="Y11" s="343">
        <f t="shared" si="2"/>
        <v>4.6550628199936162E-2</v>
      </c>
      <c r="Z11" s="8"/>
      <c r="AA11" s="8" t="s">
        <v>28</v>
      </c>
      <c r="AB11" s="410" t="s">
        <v>732</v>
      </c>
      <c r="AC11" s="984">
        <f t="shared" ref="AC11:AL11" si="3">AC12-AC10-AC9</f>
        <v>662</v>
      </c>
      <c r="AD11" s="984">
        <f t="shared" si="3"/>
        <v>772</v>
      </c>
      <c r="AE11" s="984">
        <f t="shared" si="3"/>
        <v>1268</v>
      </c>
      <c r="AF11" s="984">
        <f t="shared" si="3"/>
        <v>686</v>
      </c>
      <c r="AG11" s="984">
        <f t="shared" si="3"/>
        <v>1659</v>
      </c>
      <c r="AH11" s="984">
        <f t="shared" si="3"/>
        <v>867</v>
      </c>
      <c r="AI11" s="984">
        <f t="shared" si="3"/>
        <v>739</v>
      </c>
      <c r="AJ11" s="984">
        <f t="shared" si="3"/>
        <v>853</v>
      </c>
      <c r="AK11" s="984">
        <f t="shared" si="3"/>
        <v>1053</v>
      </c>
      <c r="AL11" s="984">
        <f t="shared" si="3"/>
        <v>1456</v>
      </c>
      <c r="AM11" s="984">
        <f t="shared" ref="AM11:AR11" si="4">AM12-AM10-AM9</f>
        <v>1073</v>
      </c>
      <c r="AN11" s="984">
        <f t="shared" si="4"/>
        <v>1307</v>
      </c>
      <c r="AO11" s="984">
        <f t="shared" si="4"/>
        <v>914</v>
      </c>
      <c r="AP11" s="984">
        <f t="shared" si="4"/>
        <v>1412</v>
      </c>
      <c r="AQ11" s="984">
        <f t="shared" si="4"/>
        <v>1146</v>
      </c>
      <c r="AR11" s="984">
        <f t="shared" si="4"/>
        <v>1585</v>
      </c>
      <c r="AS11" s="984">
        <f>AS12-AS10-AS9</f>
        <v>1233</v>
      </c>
      <c r="AT11" s="984">
        <f>AT12-AT10-AT9</f>
        <v>1806</v>
      </c>
      <c r="AU11" s="984">
        <f>AU12-AU10-AU9</f>
        <v>1875.2075829770956</v>
      </c>
      <c r="AV11" s="984">
        <f>AV12-AV10-AV9</f>
        <v>1924.7671598584866</v>
      </c>
      <c r="AW11" s="984">
        <f>AW12-AW10-AW9</f>
        <v>1978.7748663232369</v>
      </c>
    </row>
    <row r="12" spans="1:50">
      <c r="A12" s="8"/>
      <c r="B12" s="8" t="s">
        <v>1250</v>
      </c>
      <c r="C12" s="410" t="s">
        <v>732</v>
      </c>
      <c r="D12" s="425"/>
      <c r="E12" s="425"/>
      <c r="F12" s="425"/>
      <c r="G12" s="425"/>
      <c r="H12" s="425"/>
      <c r="I12" s="425"/>
      <c r="J12" s="425"/>
      <c r="K12" s="425"/>
      <c r="L12" s="425"/>
      <c r="M12" s="425"/>
      <c r="N12" s="425"/>
      <c r="O12" s="425">
        <f>+'P&amp;L'!V10</f>
        <v>5811</v>
      </c>
      <c r="P12" s="425">
        <f>+'P&amp;L'!W10</f>
        <v>5485</v>
      </c>
      <c r="Q12" s="425">
        <f>+'P&amp;L'!X10</f>
        <v>5083</v>
      </c>
      <c r="R12" s="425">
        <f>+'P&amp;L'!Y10</f>
        <v>4736</v>
      </c>
      <c r="S12" s="425">
        <f>+'P&amp;L'!Z10</f>
        <v>4486</v>
      </c>
      <c r="T12" s="425">
        <f>+'P&amp;L'!AA10</f>
        <v>4457</v>
      </c>
      <c r="U12" s="425">
        <f>+'P&amp;L'!AB10</f>
        <v>4355</v>
      </c>
      <c r="V12" s="425">
        <f>+'P&amp;L'!AC10</f>
        <v>4299</v>
      </c>
      <c r="W12" s="425">
        <f>+'P&amp;L'!AD10</f>
        <v>4325.3584436216579</v>
      </c>
      <c r="X12" s="425">
        <f>+'P&amp;L'!AE10</f>
        <v>4387.0258691284025</v>
      </c>
      <c r="Y12" s="425">
        <f>+'P&amp;L'!AF10</f>
        <v>4484.790945331737</v>
      </c>
      <c r="Z12" s="8"/>
      <c r="AA12" s="9" t="s">
        <v>353</v>
      </c>
      <c r="AB12" s="338" t="s">
        <v>732</v>
      </c>
      <c r="AC12" s="986">
        <f>'Balance Sheet'!L15</f>
        <v>5513</v>
      </c>
      <c r="AD12" s="986">
        <f>'Balance Sheet'!M15</f>
        <v>6192</v>
      </c>
      <c r="AE12" s="986">
        <f>'Balance Sheet'!N15</f>
        <v>7185</v>
      </c>
      <c r="AF12" s="986">
        <f>'Balance Sheet'!O15</f>
        <v>7453</v>
      </c>
      <c r="AG12" s="986">
        <f>'Balance Sheet'!P15</f>
        <v>9950</v>
      </c>
      <c r="AH12" s="986">
        <f>'Balance Sheet'!Q15</f>
        <v>7903</v>
      </c>
      <c r="AI12" s="986">
        <f>'Balance Sheet'!R15</f>
        <v>10438</v>
      </c>
      <c r="AJ12" s="986">
        <f>'Balance Sheet'!S15</f>
        <v>6970</v>
      </c>
      <c r="AK12" s="986">
        <f>'Balance Sheet'!T15</f>
        <v>9339.9914036749997</v>
      </c>
      <c r="AL12" s="986">
        <f>'Balance Sheet'!U15</f>
        <v>7862</v>
      </c>
      <c r="AM12" s="986">
        <f>'Balance Sheet'!V15</f>
        <v>7202</v>
      </c>
      <c r="AN12" s="986">
        <f>'Balance Sheet'!W15</f>
        <v>7303</v>
      </c>
      <c r="AO12" s="986">
        <f>'Balance Sheet'!X15</f>
        <v>6534</v>
      </c>
      <c r="AP12" s="986">
        <f>'Balance Sheet'!Y15</f>
        <v>7114</v>
      </c>
      <c r="AQ12" s="986">
        <f>'Balance Sheet'!Z15</f>
        <v>6260</v>
      </c>
      <c r="AR12" s="986">
        <f>'Balance Sheet'!AA15</f>
        <v>6733</v>
      </c>
      <c r="AS12" s="986">
        <f>'Balance Sheet'!AB15</f>
        <v>6107</v>
      </c>
      <c r="AT12" s="986">
        <f>'Balance Sheet'!AC15</f>
        <v>6495</v>
      </c>
      <c r="AU12" s="986">
        <f>'Balance Sheet'!AD15</f>
        <v>6470.9767503578187</v>
      </c>
      <c r="AV12" s="986">
        <f>'Balance Sheet'!AE15</f>
        <v>6810.1415355226336</v>
      </c>
      <c r="AW12" s="986">
        <f>'Balance Sheet'!AF15</f>
        <v>7427.2300542546018</v>
      </c>
    </row>
    <row r="13" spans="1:50">
      <c r="A13" s="8"/>
      <c r="B13" s="985" t="s">
        <v>1099</v>
      </c>
      <c r="C13" s="410" t="s">
        <v>733</v>
      </c>
      <c r="D13" s="343"/>
      <c r="E13" s="343"/>
      <c r="F13" s="343"/>
      <c r="G13" s="343"/>
      <c r="H13" s="343"/>
      <c r="I13" s="343"/>
      <c r="J13" s="343"/>
      <c r="K13" s="343"/>
      <c r="L13" s="343"/>
      <c r="M13" s="343"/>
      <c r="N13" s="343"/>
      <c r="O13" s="343" t="str">
        <f t="shared" ref="O13:Y13" si="5">IFERROR(O12/N12-1, "")</f>
        <v/>
      </c>
      <c r="P13" s="343">
        <f t="shared" si="5"/>
        <v>-5.6100499053519215E-2</v>
      </c>
      <c r="Q13" s="343">
        <f t="shared" si="5"/>
        <v>-7.3290793072014582E-2</v>
      </c>
      <c r="R13" s="343">
        <f t="shared" si="5"/>
        <v>-6.8266771591579789E-2</v>
      </c>
      <c r="S13" s="343">
        <f t="shared" si="5"/>
        <v>-5.2787162162162171E-2</v>
      </c>
      <c r="T13" s="343">
        <f t="shared" si="5"/>
        <v>-6.4645563976817311E-3</v>
      </c>
      <c r="U13" s="343">
        <f t="shared" si="5"/>
        <v>-2.2885348889387536E-2</v>
      </c>
      <c r="V13" s="343">
        <f t="shared" si="5"/>
        <v>-1.2858783008036778E-2</v>
      </c>
      <c r="W13" s="343">
        <f t="shared" si="5"/>
        <v>6.1312964925930302E-3</v>
      </c>
      <c r="X13" s="343">
        <f t="shared" si="5"/>
        <v>1.425718268451992E-2</v>
      </c>
      <c r="Y13" s="343">
        <f t="shared" si="5"/>
        <v>2.2285046662548602E-2</v>
      </c>
      <c r="Z13" s="8"/>
      <c r="AA13" s="8" t="s">
        <v>30</v>
      </c>
      <c r="AB13" s="410" t="s">
        <v>732</v>
      </c>
      <c r="AC13" s="984">
        <f>'Balance Sheet'!L22</f>
        <v>24311</v>
      </c>
      <c r="AD13" s="984">
        <f>'Balance Sheet'!M22</f>
        <v>23895</v>
      </c>
      <c r="AE13" s="984">
        <f>'Balance Sheet'!N22</f>
        <v>22894</v>
      </c>
      <c r="AF13" s="984">
        <f>'Balance Sheet'!O22</f>
        <v>21790</v>
      </c>
      <c r="AG13" s="984">
        <f>'Balance Sheet'!P22</f>
        <v>20504</v>
      </c>
      <c r="AH13" s="984">
        <f>'Balance Sheet'!Q22</f>
        <v>20326</v>
      </c>
      <c r="AI13" s="984">
        <f>'Balance Sheet'!R22</f>
        <v>19842</v>
      </c>
      <c r="AJ13" s="984">
        <f>'Balance Sheet'!S22</f>
        <v>20450</v>
      </c>
      <c r="AK13" s="984">
        <f>'Balance Sheet'!T22</f>
        <v>20581</v>
      </c>
      <c r="AL13" s="984">
        <f>'Balance Sheet'!U22</f>
        <v>21350</v>
      </c>
      <c r="AM13" s="984">
        <f>'Balance Sheet'!V22</f>
        <v>21573</v>
      </c>
      <c r="AN13" s="984">
        <f>'Balance Sheet'!W22</f>
        <v>21836</v>
      </c>
      <c r="AO13" s="984">
        <f>'Balance Sheet'!X22</f>
        <v>21499</v>
      </c>
      <c r="AP13" s="984">
        <f>'Balance Sheet'!Y22</f>
        <v>20863</v>
      </c>
      <c r="AQ13" s="984">
        <f>'Balance Sheet'!Z22</f>
        <v>20485</v>
      </c>
      <c r="AR13" s="984">
        <f>'Balance Sheet'!AA22</f>
        <v>20969</v>
      </c>
      <c r="AS13" s="984">
        <f>'Balance Sheet'!AB22</f>
        <v>20867</v>
      </c>
      <c r="AT13" s="984">
        <f>'Balance Sheet'!AC22</f>
        <v>20651</v>
      </c>
      <c r="AU13" s="984">
        <f>'Balance Sheet'!AD22</f>
        <v>20179.871858306611</v>
      </c>
      <c r="AV13" s="984">
        <f>'Balance Sheet'!AE22</f>
        <v>19700.745640860576</v>
      </c>
      <c r="AW13" s="984">
        <f>'Balance Sheet'!AF22</f>
        <v>19212.380152864946</v>
      </c>
    </row>
    <row r="14" spans="1:50">
      <c r="A14" s="8"/>
      <c r="B14" s="8" t="s">
        <v>1320</v>
      </c>
      <c r="C14" s="410" t="s">
        <v>732</v>
      </c>
      <c r="D14" s="425"/>
      <c r="E14" s="425"/>
      <c r="F14" s="425"/>
      <c r="G14" s="425"/>
      <c r="H14" s="425"/>
      <c r="I14" s="425"/>
      <c r="J14" s="425"/>
      <c r="K14" s="425"/>
      <c r="L14" s="425"/>
      <c r="M14" s="425"/>
      <c r="N14" s="425"/>
      <c r="O14" s="425">
        <f>+'P&amp;L'!V13</f>
        <v>4594</v>
      </c>
      <c r="P14" s="425">
        <f>+'P&amp;L'!W13</f>
        <v>4405</v>
      </c>
      <c r="Q14" s="425">
        <f>+'P&amp;L'!X13</f>
        <v>4106</v>
      </c>
      <c r="R14" s="425">
        <f>+'P&amp;L'!Y13</f>
        <v>3724</v>
      </c>
      <c r="S14" s="425">
        <f>+'P&amp;L'!Z13</f>
        <v>3729</v>
      </c>
      <c r="T14" s="425">
        <f>+'P&amp;L'!AA13</f>
        <v>3636.00954</v>
      </c>
      <c r="U14" s="425">
        <f>+'P&amp;L'!AB13</f>
        <v>3537</v>
      </c>
      <c r="V14" s="425">
        <f>+'P&amp;L'!AC13</f>
        <v>3445</v>
      </c>
      <c r="W14" s="425">
        <f>+'P&amp;L'!AD13</f>
        <v>3711.8199976708656</v>
      </c>
      <c r="X14" s="425">
        <f>+'P&amp;L'!AE13</f>
        <v>3682.0752310150342</v>
      </c>
      <c r="Y14" s="425">
        <f>+'P&amp;L'!AF13</f>
        <v>3682.8573681475018</v>
      </c>
      <c r="Z14" s="8"/>
      <c r="AA14" s="8" t="s">
        <v>347</v>
      </c>
      <c r="AB14" s="410" t="s">
        <v>732</v>
      </c>
      <c r="AC14" s="984">
        <f>'Balance Sheet'!L24</f>
        <v>5228</v>
      </c>
      <c r="AD14" s="984">
        <f>'Balance Sheet'!M24</f>
        <v>6070</v>
      </c>
      <c r="AE14" s="984">
        <f>'Balance Sheet'!N24</f>
        <v>6226</v>
      </c>
      <c r="AF14" s="984">
        <f>'Balance Sheet'!O24</f>
        <v>6212</v>
      </c>
      <c r="AG14" s="984">
        <f>'Balance Sheet'!P24</f>
        <v>6132</v>
      </c>
      <c r="AH14" s="984">
        <f>'Balance Sheet'!Q24</f>
        <v>6820</v>
      </c>
      <c r="AI14" s="984">
        <f>'Balance Sheet'!R24</f>
        <v>5987</v>
      </c>
      <c r="AJ14" s="984">
        <f>'Balance Sheet'!S24</f>
        <v>7680</v>
      </c>
      <c r="AK14" s="984">
        <f>'Balance Sheet'!T24</f>
        <v>7883</v>
      </c>
      <c r="AL14" s="984">
        <f>'Balance Sheet'!U24</f>
        <v>8289</v>
      </c>
      <c r="AM14" s="984">
        <f>'Balance Sheet'!V24</f>
        <v>6873</v>
      </c>
      <c r="AN14" s="984">
        <f>'Balance Sheet'!W24</f>
        <v>6134</v>
      </c>
      <c r="AO14" s="984">
        <f>'Balance Sheet'!X24</f>
        <v>6327</v>
      </c>
      <c r="AP14" s="984">
        <f>'Balance Sheet'!Y24</f>
        <v>6079</v>
      </c>
      <c r="AQ14" s="984">
        <f>'Balance Sheet'!Z24</f>
        <v>6386</v>
      </c>
      <c r="AR14" s="984">
        <f>'Balance Sheet'!AA24</f>
        <v>7525</v>
      </c>
      <c r="AS14" s="984">
        <f>'Balance Sheet'!AB24</f>
        <v>8782</v>
      </c>
      <c r="AT14" s="984">
        <f>'Balance Sheet'!AC24</f>
        <v>8557</v>
      </c>
      <c r="AU14" s="984">
        <f>'Balance Sheet'!AD24</f>
        <v>8411.8932152555099</v>
      </c>
      <c r="AV14" s="984">
        <f>'Balance Sheet'!AE24</f>
        <v>8410.1213673838156</v>
      </c>
      <c r="AW14" s="984">
        <f>'Balance Sheet'!AF24</f>
        <v>8400.6501273874583</v>
      </c>
    </row>
    <row r="15" spans="1:50">
      <c r="A15" s="8"/>
      <c r="B15" s="985" t="s">
        <v>1099</v>
      </c>
      <c r="C15" s="410" t="s">
        <v>733</v>
      </c>
      <c r="D15" s="343"/>
      <c r="E15" s="343"/>
      <c r="F15" s="343"/>
      <c r="G15" s="343"/>
      <c r="H15" s="343"/>
      <c r="I15" s="343"/>
      <c r="J15" s="343"/>
      <c r="K15" s="343"/>
      <c r="L15" s="343"/>
      <c r="M15" s="343"/>
      <c r="N15" s="343"/>
      <c r="O15" s="343" t="str">
        <f t="shared" ref="O15:Y15" si="6">IFERROR(O14/N14-1, "")</f>
        <v/>
      </c>
      <c r="P15" s="343">
        <f t="shared" si="6"/>
        <v>-4.1140618197649137E-2</v>
      </c>
      <c r="Q15" s="343">
        <f t="shared" si="6"/>
        <v>-6.7877412031782103E-2</v>
      </c>
      <c r="R15" s="343">
        <f t="shared" si="6"/>
        <v>-9.3034583536288351E-2</v>
      </c>
      <c r="S15" s="343">
        <f t="shared" si="6"/>
        <v>1.3426423200859627E-3</v>
      </c>
      <c r="T15" s="343">
        <f t="shared" si="6"/>
        <v>-2.493710378117453E-2</v>
      </c>
      <c r="U15" s="343">
        <f t="shared" si="6"/>
        <v>-2.7230275088882205E-2</v>
      </c>
      <c r="V15" s="343">
        <f t="shared" si="6"/>
        <v>-2.6010743567995487E-2</v>
      </c>
      <c r="W15" s="343">
        <f t="shared" si="6"/>
        <v>7.7451378133778226E-2</v>
      </c>
      <c r="X15" s="343">
        <f t="shared" si="6"/>
        <v>-8.0135261608849095E-3</v>
      </c>
      <c r="Y15" s="343">
        <f t="shared" si="6"/>
        <v>2.1241747748113049E-4</v>
      </c>
      <c r="Z15" s="8"/>
      <c r="AA15" s="8" t="s">
        <v>738</v>
      </c>
      <c r="AB15" s="410" t="s">
        <v>732</v>
      </c>
      <c r="AC15" s="984">
        <f>'Balance Sheet'!L25</f>
        <v>2017</v>
      </c>
      <c r="AD15" s="984">
        <f>'Balance Sheet'!M25</f>
        <v>2346</v>
      </c>
      <c r="AE15" s="984">
        <f>'Balance Sheet'!N25</f>
        <v>1802</v>
      </c>
      <c r="AF15" s="984">
        <f>'Balance Sheet'!O25</f>
        <v>1415</v>
      </c>
      <c r="AG15" s="984">
        <f>'Balance Sheet'!P25</f>
        <v>1289</v>
      </c>
      <c r="AH15" s="984">
        <f>'Balance Sheet'!Q25</f>
        <v>1382</v>
      </c>
      <c r="AI15" s="984">
        <f>'Balance Sheet'!R25</f>
        <v>395</v>
      </c>
      <c r="AJ15" s="984">
        <f>'Balance Sheet'!S25</f>
        <v>1652</v>
      </c>
      <c r="AK15" s="984">
        <f>'Balance Sheet'!T25</f>
        <v>1346</v>
      </c>
      <c r="AL15" s="984">
        <f>'Balance Sheet'!U25</f>
        <v>1269</v>
      </c>
      <c r="AM15" s="984">
        <f>'Balance Sheet'!V25</f>
        <v>1049</v>
      </c>
      <c r="AN15" s="984">
        <f>'Balance Sheet'!W25</f>
        <v>1076</v>
      </c>
      <c r="AO15" s="984">
        <f>'Balance Sheet'!X25</f>
        <v>1085</v>
      </c>
      <c r="AP15" s="984">
        <f>'Balance Sheet'!Y25</f>
        <v>1052</v>
      </c>
      <c r="AQ15" s="984">
        <f>'Balance Sheet'!Z25</f>
        <v>1769</v>
      </c>
      <c r="AR15" s="984">
        <f>'Balance Sheet'!AA25</f>
        <v>3464</v>
      </c>
      <c r="AS15" s="984">
        <f>'Balance Sheet'!AB25</f>
        <v>3639</v>
      </c>
      <c r="AT15" s="984">
        <f>'Balance Sheet'!AC25</f>
        <v>3218</v>
      </c>
      <c r="AU15" s="984">
        <f>'Balance Sheet'!AD25</f>
        <v>3218</v>
      </c>
      <c r="AV15" s="984">
        <f>'Balance Sheet'!AE25</f>
        <v>3218</v>
      </c>
      <c r="AW15" s="984">
        <f>'Balance Sheet'!AF25</f>
        <v>3218</v>
      </c>
    </row>
    <row r="16" spans="1:50">
      <c r="A16" s="8"/>
      <c r="B16" s="8" t="s">
        <v>1321</v>
      </c>
      <c r="C16" s="410" t="s">
        <v>732</v>
      </c>
      <c r="D16" s="425"/>
      <c r="E16" s="425"/>
      <c r="F16" s="425"/>
      <c r="G16" s="425"/>
      <c r="H16" s="425"/>
      <c r="I16" s="425"/>
      <c r="J16" s="425"/>
      <c r="K16" s="425"/>
      <c r="L16" s="425"/>
      <c r="M16" s="425"/>
      <c r="N16" s="425"/>
      <c r="O16" s="425">
        <f>+'P&amp;L'!V14</f>
        <v>2682</v>
      </c>
      <c r="P16" s="425">
        <f>+'P&amp;L'!W14</f>
        <v>2319</v>
      </c>
      <c r="Q16" s="425">
        <f>+'P&amp;L'!X14</f>
        <v>1872</v>
      </c>
      <c r="R16" s="425">
        <f>+'P&amp;L'!Y14</f>
        <v>1356</v>
      </c>
      <c r="S16" s="425">
        <f>+'P&amp;L'!Z14</f>
        <v>477</v>
      </c>
      <c r="T16" s="425">
        <f>+'P&amp;L'!AA14</f>
        <v>403</v>
      </c>
      <c r="U16" s="425">
        <f>+'P&amp;L'!AB14</f>
        <v>366</v>
      </c>
      <c r="V16" s="425">
        <f>+'P&amp;L'!AC14</f>
        <v>349</v>
      </c>
      <c r="W16" s="425">
        <f>+'P&amp;L'!AD14</f>
        <v>341.46781159589341</v>
      </c>
      <c r="X16" s="425">
        <f>+'P&amp;L'!AE14</f>
        <v>339.1295548336692</v>
      </c>
      <c r="Y16" s="425">
        <f>+'P&amp;L'!AF14</f>
        <v>342.29413666545179</v>
      </c>
      <c r="Z16" s="8"/>
      <c r="AA16" s="8" t="s">
        <v>503</v>
      </c>
      <c r="AB16" s="410" t="s">
        <v>732</v>
      </c>
      <c r="AC16" s="984">
        <f t="shared" ref="AC16:AL16" si="7">AC17-AC15-AC14-AC13</f>
        <v>852</v>
      </c>
      <c r="AD16" s="984">
        <f t="shared" si="7"/>
        <v>1459</v>
      </c>
      <c r="AE16" s="984">
        <f t="shared" si="7"/>
        <v>1175</v>
      </c>
      <c r="AF16" s="984">
        <f t="shared" si="7"/>
        <v>1043</v>
      </c>
      <c r="AG16" s="984">
        <f t="shared" si="7"/>
        <v>1650</v>
      </c>
      <c r="AH16" s="984">
        <f t="shared" si="7"/>
        <v>2096</v>
      </c>
      <c r="AI16" s="984">
        <f t="shared" si="7"/>
        <v>2698</v>
      </c>
      <c r="AJ16" s="984">
        <f t="shared" si="7"/>
        <v>3693</v>
      </c>
      <c r="AK16" s="984">
        <f t="shared" si="7"/>
        <v>4136</v>
      </c>
      <c r="AL16" s="984">
        <f t="shared" si="7"/>
        <v>3363</v>
      </c>
      <c r="AM16" s="984">
        <f t="shared" ref="AM16:AR16" si="8">AM17-AM15-AM14-AM13</f>
        <v>5938</v>
      </c>
      <c r="AN16" s="984">
        <f t="shared" si="8"/>
        <v>6240</v>
      </c>
      <c r="AO16" s="984">
        <f t="shared" si="8"/>
        <v>8958</v>
      </c>
      <c r="AP16" s="984">
        <f t="shared" si="8"/>
        <v>7417</v>
      </c>
      <c r="AQ16" s="984">
        <f t="shared" si="8"/>
        <v>6728</v>
      </c>
      <c r="AR16" s="984">
        <f t="shared" si="8"/>
        <v>6338</v>
      </c>
      <c r="AS16" s="984">
        <f>AS17-AS15-AS14-AS13</f>
        <v>6155</v>
      </c>
      <c r="AT16" s="984">
        <f>AT17-AT15-AT14-AT13</f>
        <v>6047</v>
      </c>
      <c r="AU16" s="984">
        <f>AU17-AU15-AU14-AU13</f>
        <v>6694</v>
      </c>
      <c r="AV16" s="984">
        <f>AV17-AV15-AV14-AV13</f>
        <v>7341.0000000000036</v>
      </c>
      <c r="AW16" s="984">
        <f>AW17-AW15-AW14-AW13</f>
        <v>7987.9999999999964</v>
      </c>
    </row>
    <row r="17" spans="1:49">
      <c r="A17" s="8"/>
      <c r="B17" s="985" t="s">
        <v>1099</v>
      </c>
      <c r="C17" s="410" t="s">
        <v>733</v>
      </c>
      <c r="D17" s="343"/>
      <c r="E17" s="343"/>
      <c r="F17" s="343"/>
      <c r="G17" s="343"/>
      <c r="H17" s="343"/>
      <c r="I17" s="343"/>
      <c r="J17" s="343"/>
      <c r="K17" s="343"/>
      <c r="L17" s="343"/>
      <c r="M17" s="343"/>
      <c r="N17" s="343"/>
      <c r="O17" s="343" t="str">
        <f t="shared" ref="O17:Y17" si="9">IFERROR(O16/N16-1, "")</f>
        <v/>
      </c>
      <c r="P17" s="343">
        <f t="shared" si="9"/>
        <v>-0.13534675615212532</v>
      </c>
      <c r="Q17" s="343">
        <f t="shared" si="9"/>
        <v>-0.19275549805950842</v>
      </c>
      <c r="R17" s="343">
        <f t="shared" si="9"/>
        <v>-0.27564102564102566</v>
      </c>
      <c r="S17" s="343">
        <f t="shared" si="9"/>
        <v>-0.64823008849557517</v>
      </c>
      <c r="T17" s="343">
        <f t="shared" si="9"/>
        <v>-0.15513626834381555</v>
      </c>
      <c r="U17" s="343">
        <f t="shared" si="9"/>
        <v>-9.1811414392059532E-2</v>
      </c>
      <c r="V17" s="343">
        <f t="shared" si="9"/>
        <v>-4.6448087431694041E-2</v>
      </c>
      <c r="W17" s="343">
        <f t="shared" si="9"/>
        <v>-2.1582201730964479E-2</v>
      </c>
      <c r="X17" s="343">
        <f t="shared" si="9"/>
        <v>-6.8476637704035781E-3</v>
      </c>
      <c r="Y17" s="343">
        <f t="shared" si="9"/>
        <v>9.3314834601623264E-3</v>
      </c>
      <c r="Z17" s="8"/>
      <c r="AA17" s="9" t="s">
        <v>742</v>
      </c>
      <c r="AB17" s="338" t="s">
        <v>732</v>
      </c>
      <c r="AC17" s="986">
        <f>'Balance Sheet'!L27</f>
        <v>32408</v>
      </c>
      <c r="AD17" s="986">
        <f>'Balance Sheet'!M27</f>
        <v>33770</v>
      </c>
      <c r="AE17" s="986">
        <f>'Balance Sheet'!N27</f>
        <v>32097</v>
      </c>
      <c r="AF17" s="986">
        <f>'Balance Sheet'!O27</f>
        <v>30460</v>
      </c>
      <c r="AG17" s="986">
        <f>'Balance Sheet'!P27</f>
        <v>29575</v>
      </c>
      <c r="AH17" s="986">
        <f>'Balance Sheet'!Q27</f>
        <v>30624</v>
      </c>
      <c r="AI17" s="986">
        <f>'Balance Sheet'!R27</f>
        <v>28922</v>
      </c>
      <c r="AJ17" s="986">
        <f>'Balance Sheet'!S27</f>
        <v>33475</v>
      </c>
      <c r="AK17" s="986">
        <f>'Balance Sheet'!T27</f>
        <v>33946</v>
      </c>
      <c r="AL17" s="986">
        <f>'Balance Sheet'!U27</f>
        <v>34271</v>
      </c>
      <c r="AM17" s="986">
        <f>'Balance Sheet'!V27</f>
        <v>35433</v>
      </c>
      <c r="AN17" s="986">
        <f>'Balance Sheet'!W27</f>
        <v>35286</v>
      </c>
      <c r="AO17" s="986">
        <f>'Balance Sheet'!X27</f>
        <v>37869</v>
      </c>
      <c r="AP17" s="986">
        <f>'Balance Sheet'!Y27</f>
        <v>35411</v>
      </c>
      <c r="AQ17" s="986">
        <f>'Balance Sheet'!Z27</f>
        <v>35368</v>
      </c>
      <c r="AR17" s="986">
        <f>'Balance Sheet'!AA27</f>
        <v>38296</v>
      </c>
      <c r="AS17" s="986">
        <f>'Balance Sheet'!AB27</f>
        <v>39443</v>
      </c>
      <c r="AT17" s="986">
        <f>'Balance Sheet'!AC27</f>
        <v>38473</v>
      </c>
      <c r="AU17" s="986">
        <f>'Balance Sheet'!AD27</f>
        <v>38503.765073562121</v>
      </c>
      <c r="AV17" s="986">
        <f>'Balance Sheet'!AE27</f>
        <v>38669.867008244393</v>
      </c>
      <c r="AW17" s="986">
        <f>'Balance Sheet'!AF27</f>
        <v>38819.030280252402</v>
      </c>
    </row>
    <row r="18" spans="1:49">
      <c r="A18" s="8"/>
      <c r="B18" s="8" t="s">
        <v>237</v>
      </c>
      <c r="C18" s="410" t="s">
        <v>732</v>
      </c>
      <c r="D18" s="425"/>
      <c r="E18" s="425"/>
      <c r="F18" s="425"/>
      <c r="G18" s="425"/>
      <c r="H18" s="425"/>
      <c r="I18" s="425"/>
      <c r="J18" s="425"/>
      <c r="K18" s="425"/>
      <c r="L18" s="425"/>
      <c r="M18" s="425"/>
      <c r="N18" s="425"/>
      <c r="O18" s="425">
        <f>+'P&amp;L'!V15</f>
        <v>1584</v>
      </c>
      <c r="P18" s="425">
        <f>+'P&amp;L'!W15</f>
        <v>1705</v>
      </c>
      <c r="Q18" s="425">
        <f>+'P&amp;L'!X15</f>
        <v>1501</v>
      </c>
      <c r="R18" s="425">
        <f>+'P&amp;L'!Y15</f>
        <v>1496</v>
      </c>
      <c r="S18" s="425">
        <f>+'P&amp;L'!Z15</f>
        <v>1501</v>
      </c>
      <c r="T18" s="425">
        <f>+'P&amp;L'!AA15</f>
        <v>2429</v>
      </c>
      <c r="U18" s="425">
        <f>+'P&amp;L'!AB15</f>
        <v>2578</v>
      </c>
      <c r="V18" s="425">
        <f>+'P&amp;L'!AC15</f>
        <v>2587</v>
      </c>
      <c r="W18" s="425">
        <f>+'P&amp;L'!AD15</f>
        <v>2640.3043352562854</v>
      </c>
      <c r="X18" s="425">
        <f>+'P&amp;L'!AE15</f>
        <v>2695.2950275083417</v>
      </c>
      <c r="Y18" s="425">
        <f>+'P&amp;L'!AF15</f>
        <v>2743.6445603781808</v>
      </c>
      <c r="Z18" s="8"/>
      <c r="AA18" s="9" t="s">
        <v>408</v>
      </c>
      <c r="AB18" s="338" t="s">
        <v>732</v>
      </c>
      <c r="AC18" s="986">
        <f t="shared" ref="AC18:AO18" si="10">AC17+AC12</f>
        <v>37921</v>
      </c>
      <c r="AD18" s="986">
        <f t="shared" si="10"/>
        <v>39962</v>
      </c>
      <c r="AE18" s="986">
        <f t="shared" si="10"/>
        <v>39282</v>
      </c>
      <c r="AF18" s="986">
        <f t="shared" si="10"/>
        <v>37913</v>
      </c>
      <c r="AG18" s="986">
        <f t="shared" si="10"/>
        <v>39525</v>
      </c>
      <c r="AH18" s="986">
        <f t="shared" si="10"/>
        <v>38527</v>
      </c>
      <c r="AI18" s="986">
        <f t="shared" si="10"/>
        <v>39360</v>
      </c>
      <c r="AJ18" s="986">
        <f t="shared" si="10"/>
        <v>40445</v>
      </c>
      <c r="AK18" s="986">
        <f t="shared" si="10"/>
        <v>43285.991403674998</v>
      </c>
      <c r="AL18" s="986">
        <f t="shared" si="10"/>
        <v>42133</v>
      </c>
      <c r="AM18" s="986">
        <f t="shared" si="10"/>
        <v>42635</v>
      </c>
      <c r="AN18" s="986">
        <f t="shared" si="10"/>
        <v>42589</v>
      </c>
      <c r="AO18" s="986">
        <f t="shared" si="10"/>
        <v>44403</v>
      </c>
      <c r="AP18" s="986">
        <f t="shared" ref="AP18:AU18" si="11">AP17+AP12</f>
        <v>42525</v>
      </c>
      <c r="AQ18" s="986">
        <f t="shared" si="11"/>
        <v>41628</v>
      </c>
      <c r="AR18" s="986">
        <f t="shared" si="11"/>
        <v>45029</v>
      </c>
      <c r="AS18" s="986">
        <f t="shared" si="11"/>
        <v>45550</v>
      </c>
      <c r="AT18" s="986">
        <f t="shared" si="11"/>
        <v>44968</v>
      </c>
      <c r="AU18" s="986">
        <f t="shared" si="11"/>
        <v>44974.74182391994</v>
      </c>
      <c r="AV18" s="986">
        <f t="shared" ref="AV18:AW18" si="12">AV17+AV12</f>
        <v>45480.008543767028</v>
      </c>
      <c r="AW18" s="986">
        <f t="shared" si="12"/>
        <v>46246.260334507002</v>
      </c>
    </row>
    <row r="19" spans="1:49">
      <c r="A19" s="8"/>
      <c r="B19" s="985" t="s">
        <v>1099</v>
      </c>
      <c r="C19" s="410" t="s">
        <v>733</v>
      </c>
      <c r="D19" s="343"/>
      <c r="E19" s="343"/>
      <c r="F19" s="343"/>
      <c r="G19" s="343"/>
      <c r="H19" s="343"/>
      <c r="I19" s="343"/>
      <c r="J19" s="343"/>
      <c r="K19" s="343"/>
      <c r="L19" s="343"/>
      <c r="M19" s="343"/>
      <c r="N19" s="343"/>
      <c r="O19" s="343" t="str">
        <f t="shared" ref="O19:Y19" si="13">IFERROR(O18/N18-1, "")</f>
        <v/>
      </c>
      <c r="P19" s="343">
        <f t="shared" si="13"/>
        <v>7.638888888888884E-2</v>
      </c>
      <c r="Q19" s="343">
        <f t="shared" si="13"/>
        <v>-0.11964809384164221</v>
      </c>
      <c r="R19" s="343">
        <f t="shared" si="13"/>
        <v>-3.3311125916055673E-3</v>
      </c>
      <c r="S19" s="343">
        <f t="shared" si="13"/>
        <v>3.3422459893048817E-3</v>
      </c>
      <c r="T19" s="343">
        <f t="shared" si="13"/>
        <v>0.61825449700199875</v>
      </c>
      <c r="U19" s="343">
        <f t="shared" si="13"/>
        <v>6.1342116097159227E-2</v>
      </c>
      <c r="V19" s="343">
        <f t="shared" si="13"/>
        <v>3.4910783553141478E-3</v>
      </c>
      <c r="W19" s="343">
        <f t="shared" si="13"/>
        <v>2.0604690860566377E-2</v>
      </c>
      <c r="X19" s="343">
        <f t="shared" si="13"/>
        <v>2.0827406718899599E-2</v>
      </c>
      <c r="Y19" s="343">
        <f t="shared" si="13"/>
        <v>1.7938493699717784E-2</v>
      </c>
      <c r="Z19" s="8"/>
      <c r="AA19" s="8"/>
      <c r="AB19" s="410"/>
      <c r="AC19" s="8"/>
      <c r="AD19" s="8"/>
      <c r="AE19" s="8"/>
      <c r="AF19" s="8"/>
      <c r="AG19" s="8"/>
      <c r="AH19" s="8"/>
      <c r="AI19" s="8"/>
      <c r="AJ19" s="8"/>
      <c r="AK19" s="8"/>
      <c r="AL19" s="8"/>
      <c r="AM19" s="8"/>
      <c r="AN19" s="8"/>
      <c r="AO19" s="8"/>
      <c r="AP19" s="8"/>
      <c r="AQ19" s="8"/>
      <c r="AR19" s="8"/>
      <c r="AS19" s="8"/>
      <c r="AT19" s="8"/>
      <c r="AU19" s="8"/>
      <c r="AV19" s="8"/>
      <c r="AW19" s="8"/>
    </row>
    <row r="20" spans="1:49">
      <c r="A20" s="8"/>
      <c r="B20" s="987" t="s">
        <v>1462</v>
      </c>
      <c r="C20" s="410" t="s">
        <v>732</v>
      </c>
      <c r="D20" s="425"/>
      <c r="E20" s="425"/>
      <c r="F20" s="425"/>
      <c r="G20" s="425"/>
      <c r="H20" s="425"/>
      <c r="I20" s="425"/>
      <c r="J20" s="425"/>
      <c r="K20" s="425"/>
      <c r="L20" s="425"/>
      <c r="M20" s="425"/>
      <c r="N20" s="425"/>
      <c r="O20" s="425">
        <f>+'P&amp;L'!V16</f>
        <v>642</v>
      </c>
      <c r="P20" s="425">
        <f>+'P&amp;L'!W16</f>
        <v>784</v>
      </c>
      <c r="Q20" s="425">
        <f>+'P&amp;L'!X16</f>
        <v>874</v>
      </c>
      <c r="R20" s="425">
        <f>+'P&amp;L'!Y16</f>
        <v>908</v>
      </c>
      <c r="S20" s="425">
        <f>+'P&amp;L'!Z16</f>
        <v>2456</v>
      </c>
      <c r="T20" s="425">
        <f>+'P&amp;L'!AA16</f>
        <v>2556</v>
      </c>
      <c r="U20" s="425">
        <f>+'P&amp;L'!AB16</f>
        <v>2746</v>
      </c>
      <c r="V20" s="425">
        <f>+'P&amp;L'!AC16</f>
        <v>2710</v>
      </c>
      <c r="W20" s="425">
        <f>+'P&amp;L'!AD16</f>
        <v>2743.09</v>
      </c>
      <c r="X20" s="425">
        <f>+'P&amp;L'!AE16</f>
        <v>2777.1418000000003</v>
      </c>
      <c r="Y20" s="425">
        <f>+'P&amp;L'!AF16</f>
        <v>2812.2151540000004</v>
      </c>
      <c r="Z20" s="8"/>
      <c r="AA20" s="438" t="s">
        <v>507</v>
      </c>
      <c r="AB20" s="410" t="s">
        <v>732</v>
      </c>
      <c r="AC20" s="984">
        <f>'Balance Sheet'!L32</f>
        <v>3930</v>
      </c>
      <c r="AD20" s="984">
        <f>'Balance Sheet'!M32</f>
        <v>3734</v>
      </c>
      <c r="AE20" s="984">
        <f>'Balance Sheet'!N32</f>
        <v>3843</v>
      </c>
      <c r="AF20" s="984">
        <f>'Balance Sheet'!O32</f>
        <v>4093</v>
      </c>
      <c r="AG20" s="984">
        <f>'Balance Sheet'!P32</f>
        <v>4131</v>
      </c>
      <c r="AH20" s="984">
        <f>'Balance Sheet'!Q32</f>
        <v>4241</v>
      </c>
      <c r="AI20" s="984">
        <f>'Balance Sheet'!R32</f>
        <v>3834</v>
      </c>
      <c r="AJ20" s="984">
        <f>'Balance Sheet'!S32</f>
        <v>4045</v>
      </c>
      <c r="AK20" s="984">
        <f>'Balance Sheet'!T32</f>
        <v>3948</v>
      </c>
      <c r="AL20" s="984">
        <f>'Balance Sheet'!U32</f>
        <v>4189</v>
      </c>
      <c r="AM20" s="984">
        <f>'Balance Sheet'!V32</f>
        <v>4528</v>
      </c>
      <c r="AN20" s="984">
        <f>'Balance Sheet'!W32</f>
        <v>4528</v>
      </c>
      <c r="AO20" s="984">
        <f>'Balance Sheet'!X32</f>
        <v>3980</v>
      </c>
      <c r="AP20" s="984">
        <f>'Balance Sheet'!Y32</f>
        <v>3766</v>
      </c>
      <c r="AQ20" s="984">
        <f>'Balance Sheet'!Z32</f>
        <v>4189</v>
      </c>
      <c r="AR20" s="984">
        <f>'Balance Sheet'!AA32</f>
        <v>4365</v>
      </c>
      <c r="AS20" s="984">
        <f>'Balance Sheet'!AB32</f>
        <v>4626</v>
      </c>
      <c r="AT20" s="984">
        <f>'Balance Sheet'!AC32</f>
        <v>4212</v>
      </c>
      <c r="AU20" s="984">
        <f>'Balance Sheet'!AD32</f>
        <v>4564.0734067421818</v>
      </c>
      <c r="AV20" s="984">
        <f>'Balance Sheet'!AE32</f>
        <v>4664.0394088545891</v>
      </c>
      <c r="AW20" s="984">
        <f>'Balance Sheet'!AF32</f>
        <v>4781.7888021490362</v>
      </c>
    </row>
    <row r="21" spans="1:49">
      <c r="A21" s="8"/>
      <c r="B21" s="985" t="s">
        <v>1099</v>
      </c>
      <c r="C21" s="410" t="s">
        <v>733</v>
      </c>
      <c r="D21" s="343"/>
      <c r="E21" s="343"/>
      <c r="F21" s="343"/>
      <c r="G21" s="343"/>
      <c r="H21" s="343"/>
      <c r="I21" s="343"/>
      <c r="J21" s="343"/>
      <c r="K21" s="343"/>
      <c r="L21" s="343"/>
      <c r="M21" s="343"/>
      <c r="N21" s="343"/>
      <c r="O21" s="343" t="str">
        <f t="shared" ref="O21:Y21" si="14">IFERROR(O20/N20-1, "")</f>
        <v/>
      </c>
      <c r="P21" s="343">
        <f t="shared" si="14"/>
        <v>0.22118380062305287</v>
      </c>
      <c r="Q21" s="343">
        <f t="shared" si="14"/>
        <v>0.11479591836734704</v>
      </c>
      <c r="R21" s="343">
        <f t="shared" si="14"/>
        <v>3.8901601830663601E-2</v>
      </c>
      <c r="S21" s="343">
        <f t="shared" si="14"/>
        <v>1.7048458149779737</v>
      </c>
      <c r="T21" s="343">
        <f t="shared" si="14"/>
        <v>4.0716612377850181E-2</v>
      </c>
      <c r="U21" s="343">
        <f t="shared" si="14"/>
        <v>7.4334898278560324E-2</v>
      </c>
      <c r="V21" s="343">
        <f t="shared" si="14"/>
        <v>-1.310997815003645E-2</v>
      </c>
      <c r="W21" s="343">
        <f t="shared" si="14"/>
        <v>1.221033210332112E-2</v>
      </c>
      <c r="X21" s="343">
        <f t="shared" si="14"/>
        <v>1.2413664881575137E-2</v>
      </c>
      <c r="Y21" s="343">
        <f t="shared" si="14"/>
        <v>1.262929894325171E-2</v>
      </c>
      <c r="Z21" s="8"/>
      <c r="AA21" s="438" t="s">
        <v>338</v>
      </c>
      <c r="AB21" s="410" t="s">
        <v>732</v>
      </c>
      <c r="AC21" s="984">
        <f>'Balance Sheet'!L33</f>
        <v>2055</v>
      </c>
      <c r="AD21" s="984">
        <f>'Balance Sheet'!M33</f>
        <v>1979</v>
      </c>
      <c r="AE21" s="984">
        <f>'Balance Sheet'!N33</f>
        <v>2540</v>
      </c>
      <c r="AF21" s="984">
        <f>'Balance Sheet'!O33</f>
        <v>1990</v>
      </c>
      <c r="AG21" s="984">
        <f>'Balance Sheet'!P33</f>
        <v>3306</v>
      </c>
      <c r="AH21" s="984">
        <f>'Balance Sheet'!Q33</f>
        <v>751</v>
      </c>
      <c r="AI21" s="984">
        <f>'Balance Sheet'!R33</f>
        <v>2277</v>
      </c>
      <c r="AJ21" s="984">
        <f>'Balance Sheet'!S33</f>
        <v>1496</v>
      </c>
      <c r="AK21" s="984">
        <f>'Balance Sheet'!T33</f>
        <v>2655</v>
      </c>
      <c r="AL21" s="984">
        <f>'Balance Sheet'!U33</f>
        <v>2476</v>
      </c>
      <c r="AM21" s="984">
        <f>'Balance Sheet'!V33</f>
        <v>1635</v>
      </c>
      <c r="AN21" s="984">
        <f>'Balance Sheet'!W33</f>
        <v>2222</v>
      </c>
      <c r="AO21" s="984">
        <f>'Balance Sheet'!X33</f>
        <v>2763</v>
      </c>
      <c r="AP21" s="984">
        <f>'Balance Sheet'!Y33</f>
        <v>3631</v>
      </c>
      <c r="AQ21" s="984">
        <f>'Balance Sheet'!Z33</f>
        <v>2690</v>
      </c>
      <c r="AR21" s="984">
        <f>'Balance Sheet'!AA33</f>
        <v>3110</v>
      </c>
      <c r="AS21" s="984">
        <f>'Balance Sheet'!AB33</f>
        <v>4228</v>
      </c>
      <c r="AT21" s="984">
        <f>'Balance Sheet'!AC33</f>
        <v>4816</v>
      </c>
      <c r="AU21" s="984">
        <f>'Balance Sheet'!AD33</f>
        <v>4816</v>
      </c>
      <c r="AV21" s="984">
        <f>'Balance Sheet'!AE33</f>
        <v>4816</v>
      </c>
      <c r="AW21" s="984">
        <f>'Balance Sheet'!AF33</f>
        <v>4816</v>
      </c>
    </row>
    <row r="22" spans="1:49">
      <c r="A22" s="8"/>
      <c r="B22" s="987" t="s">
        <v>1269</v>
      </c>
      <c r="C22" s="410" t="s">
        <v>732</v>
      </c>
      <c r="D22" s="425"/>
      <c r="E22" s="425"/>
      <c r="F22" s="425"/>
      <c r="G22" s="425"/>
      <c r="H22" s="425"/>
      <c r="I22" s="425"/>
      <c r="J22" s="425"/>
      <c r="K22" s="425"/>
      <c r="L22" s="425"/>
      <c r="M22" s="425"/>
      <c r="N22" s="425"/>
      <c r="O22" s="425">
        <f>+'P&amp;L'!V18</f>
        <v>738</v>
      </c>
      <c r="P22" s="425">
        <f>+'P&amp;L'!W18</f>
        <v>344</v>
      </c>
      <c r="Q22" s="425">
        <f>+'P&amp;L'!X18</f>
        <v>367</v>
      </c>
      <c r="R22" s="425">
        <f>+'P&amp;L'!Y18</f>
        <v>552</v>
      </c>
      <c r="S22" s="425">
        <f>+'P&amp;L'!Z18</f>
        <v>755</v>
      </c>
      <c r="T22" s="425">
        <f>+'P&amp;L'!AA18</f>
        <v>1076</v>
      </c>
      <c r="U22" s="425">
        <f>+'P&amp;L'!AB18</f>
        <v>1262</v>
      </c>
      <c r="V22" s="425">
        <f>+'P&amp;L'!AC18</f>
        <v>1159</v>
      </c>
      <c r="W22" s="425">
        <f>+'P&amp;L'!AD18</f>
        <v>1182.18</v>
      </c>
      <c r="X22" s="425">
        <f>+'P&amp;L'!AE18</f>
        <v>1205.8236000000002</v>
      </c>
      <c r="Y22" s="425">
        <f>+'P&amp;L'!AF18</f>
        <v>1229.9400720000001</v>
      </c>
      <c r="Z22" s="8"/>
      <c r="AA22" s="438" t="s">
        <v>397</v>
      </c>
      <c r="AB22" s="410" t="s">
        <v>732</v>
      </c>
      <c r="AC22" s="984">
        <f>'Balance Sheet'!L34</f>
        <v>82</v>
      </c>
      <c r="AD22" s="984">
        <f>'Balance Sheet'!M34</f>
        <v>111</v>
      </c>
      <c r="AE22" s="984">
        <f>'Balance Sheet'!N34</f>
        <v>384</v>
      </c>
      <c r="AF22" s="984">
        <f>'Balance Sheet'!O34</f>
        <v>634</v>
      </c>
      <c r="AG22" s="984">
        <f>'Balance Sheet'!P34</f>
        <v>299</v>
      </c>
      <c r="AH22" s="984">
        <f>'Balance Sheet'!Q34</f>
        <v>44</v>
      </c>
      <c r="AI22" s="984">
        <f>'Balance Sheet'!R34</f>
        <v>400</v>
      </c>
      <c r="AJ22" s="984">
        <f>'Balance Sheet'!S34</f>
        <v>214</v>
      </c>
      <c r="AK22" s="984">
        <f>'Balance Sheet'!T34</f>
        <v>286</v>
      </c>
      <c r="AL22" s="984">
        <f>'Balance Sheet'!U34</f>
        <v>42</v>
      </c>
      <c r="AM22" s="984">
        <f>'Balance Sheet'!V34</f>
        <v>1</v>
      </c>
      <c r="AN22" s="984">
        <f>'Balance Sheet'!W34</f>
        <v>57</v>
      </c>
      <c r="AO22" s="984">
        <f>'Balance Sheet'!X34</f>
        <v>54</v>
      </c>
      <c r="AP22" s="984">
        <f>'Balance Sheet'!Y34</f>
        <v>26</v>
      </c>
      <c r="AQ22" s="984">
        <f>'Balance Sheet'!Z34</f>
        <v>0</v>
      </c>
      <c r="AR22" s="984">
        <f>'Balance Sheet'!AA34</f>
        <v>0</v>
      </c>
      <c r="AS22" s="984">
        <f>'Balance Sheet'!AB34</f>
        <v>0</v>
      </c>
      <c r="AT22" s="984">
        <f>'Balance Sheet'!AC34</f>
        <v>0</v>
      </c>
      <c r="AU22" s="984">
        <f>'Balance Sheet'!AD34</f>
        <v>0</v>
      </c>
      <c r="AV22" s="984">
        <f>'Balance Sheet'!AE34</f>
        <v>0</v>
      </c>
      <c r="AW22" s="984">
        <f>'Balance Sheet'!AF34</f>
        <v>0</v>
      </c>
    </row>
    <row r="23" spans="1:49">
      <c r="A23" s="8"/>
      <c r="B23" s="985" t="s">
        <v>1099</v>
      </c>
      <c r="C23" s="410" t="s">
        <v>733</v>
      </c>
      <c r="D23" s="343"/>
      <c r="E23" s="343"/>
      <c r="F23" s="343"/>
      <c r="G23" s="343"/>
      <c r="H23" s="343"/>
      <c r="I23" s="343"/>
      <c r="J23" s="343"/>
      <c r="K23" s="343"/>
      <c r="L23" s="343"/>
      <c r="M23" s="343"/>
      <c r="N23" s="343"/>
      <c r="O23" s="343" t="str">
        <f t="shared" ref="O23:Y23" si="15">IFERROR(O22/N22-1, "")</f>
        <v/>
      </c>
      <c r="P23" s="343">
        <f t="shared" si="15"/>
        <v>-0.53387533875338755</v>
      </c>
      <c r="Q23" s="343">
        <f t="shared" si="15"/>
        <v>6.6860465116278966E-2</v>
      </c>
      <c r="R23" s="343">
        <f t="shared" si="15"/>
        <v>0.50408719346049047</v>
      </c>
      <c r="S23" s="343">
        <f t="shared" si="15"/>
        <v>0.36775362318840576</v>
      </c>
      <c r="T23" s="343">
        <f t="shared" si="15"/>
        <v>0.42516556291390728</v>
      </c>
      <c r="U23" s="343">
        <f t="shared" si="15"/>
        <v>0.17286245353159857</v>
      </c>
      <c r="V23" s="343">
        <f t="shared" si="15"/>
        <v>-8.1616481774960392E-2</v>
      </c>
      <c r="W23" s="343">
        <f t="shared" si="15"/>
        <v>2.0000000000000018E-2</v>
      </c>
      <c r="X23" s="343">
        <f t="shared" si="15"/>
        <v>2.0000000000000018E-2</v>
      </c>
      <c r="Y23" s="343">
        <f t="shared" si="15"/>
        <v>2.0000000000000018E-2</v>
      </c>
      <c r="Z23" s="8"/>
      <c r="AA23" s="438" t="s">
        <v>395</v>
      </c>
      <c r="AB23" s="410" t="s">
        <v>732</v>
      </c>
      <c r="AC23" s="984">
        <f>'Balance Sheet'!L35</f>
        <v>1257</v>
      </c>
      <c r="AD23" s="984">
        <f>'Balance Sheet'!M35</f>
        <v>1171</v>
      </c>
      <c r="AE23" s="984">
        <f>'Balance Sheet'!N35</f>
        <v>1102</v>
      </c>
      <c r="AF23" s="984">
        <f>'Balance Sheet'!O35</f>
        <v>1018</v>
      </c>
      <c r="AG23" s="984">
        <f>'Balance Sheet'!P35</f>
        <v>1170</v>
      </c>
      <c r="AH23" s="984">
        <f>'Balance Sheet'!Q35</f>
        <v>1124</v>
      </c>
      <c r="AI23" s="984">
        <f>'Balance Sheet'!R35</f>
        <v>926</v>
      </c>
      <c r="AJ23" s="984">
        <f>'Balance Sheet'!S35</f>
        <v>1113</v>
      </c>
      <c r="AK23" s="984">
        <f>'Balance Sheet'!T35</f>
        <v>1118</v>
      </c>
      <c r="AL23" s="984">
        <f>'Balance Sheet'!U35</f>
        <v>1236</v>
      </c>
      <c r="AM23" s="984">
        <f>'Balance Sheet'!V35</f>
        <v>1532</v>
      </c>
      <c r="AN23" s="984">
        <f>'Balance Sheet'!W35</f>
        <v>1657</v>
      </c>
      <c r="AO23" s="984">
        <f>'Balance Sheet'!X35</f>
        <v>1611</v>
      </c>
      <c r="AP23" s="984">
        <f>'Balance Sheet'!Y35</f>
        <v>1605</v>
      </c>
      <c r="AQ23" s="984">
        <f>'Balance Sheet'!Z35</f>
        <v>1622</v>
      </c>
      <c r="AR23" s="984">
        <f>'Balance Sheet'!AA35</f>
        <v>1495</v>
      </c>
      <c r="AS23" s="984">
        <f>'Balance Sheet'!AB35</f>
        <v>1477</v>
      </c>
      <c r="AT23" s="984">
        <f>'Balance Sheet'!AC35</f>
        <v>1487</v>
      </c>
      <c r="AU23" s="984">
        <f>'Balance Sheet'!AD35</f>
        <v>1487</v>
      </c>
      <c r="AV23" s="984">
        <f>'Balance Sheet'!AE35</f>
        <v>1487</v>
      </c>
      <c r="AW23" s="984">
        <f>'Balance Sheet'!AF35</f>
        <v>1487</v>
      </c>
    </row>
    <row r="24" spans="1:49">
      <c r="A24" s="8"/>
      <c r="B24" s="988" t="s">
        <v>815</v>
      </c>
      <c r="C24" s="338" t="s">
        <v>732</v>
      </c>
      <c r="D24" s="425"/>
      <c r="E24" s="425"/>
      <c r="F24" s="425"/>
      <c r="G24" s="404"/>
      <c r="H24" s="404"/>
      <c r="I24" s="404"/>
      <c r="J24" s="404"/>
      <c r="K24" s="404"/>
      <c r="L24" s="404"/>
      <c r="M24" s="404"/>
      <c r="N24" s="404"/>
      <c r="O24" s="404">
        <f>+'P&amp;L'!V21</f>
        <v>28841</v>
      </c>
      <c r="P24" s="404">
        <f>+'P&amp;L'!W21</f>
        <v>27807</v>
      </c>
      <c r="Q24" s="404">
        <f>+'P&amp;L'!X21</f>
        <v>25937</v>
      </c>
      <c r="R24" s="404">
        <f>+'P&amp;L'!Y21</f>
        <v>23132</v>
      </c>
      <c r="S24" s="404">
        <f>+'P&amp;L'!Z21</f>
        <v>22045</v>
      </c>
      <c r="T24" s="404">
        <f>+'P&amp;L'!AA21</f>
        <v>23245.009539999999</v>
      </c>
      <c r="U24" s="404">
        <f>+'P&amp;L'!AB21</f>
        <v>23482</v>
      </c>
      <c r="V24" s="404">
        <f>+'P&amp;L'!AC21</f>
        <v>23610</v>
      </c>
      <c r="W24" s="404">
        <f>+'P&amp;L'!AD21</f>
        <v>24510.678474448981</v>
      </c>
      <c r="X24" s="404">
        <f>+'P&amp;L'!AE21</f>
        <v>25177.184787169535</v>
      </c>
      <c r="Y24" s="404">
        <f>+'P&amp;L'!AF21</f>
        <v>25947.12399963582</v>
      </c>
      <c r="Z24" s="8"/>
      <c r="AA24" s="8" t="s">
        <v>746</v>
      </c>
      <c r="AB24" s="410" t="s">
        <v>732</v>
      </c>
      <c r="AC24" s="984">
        <f t="shared" ref="AC24:AL24" si="16">AC25-AC23-AC22-AC21-AC20</f>
        <v>799</v>
      </c>
      <c r="AD24" s="984">
        <f t="shared" si="16"/>
        <v>757</v>
      </c>
      <c r="AE24" s="984">
        <f t="shared" si="16"/>
        <v>813</v>
      </c>
      <c r="AF24" s="984">
        <f t="shared" si="16"/>
        <v>803</v>
      </c>
      <c r="AG24" s="984">
        <f t="shared" si="16"/>
        <v>1778</v>
      </c>
      <c r="AH24" s="984">
        <f t="shared" si="16"/>
        <v>1362</v>
      </c>
      <c r="AI24" s="984">
        <f t="shared" si="16"/>
        <v>1247</v>
      </c>
      <c r="AJ24" s="984">
        <f t="shared" si="16"/>
        <v>1261</v>
      </c>
      <c r="AK24" s="984">
        <f t="shared" si="16"/>
        <v>1181</v>
      </c>
      <c r="AL24" s="984">
        <f t="shared" si="16"/>
        <v>1216</v>
      </c>
      <c r="AM24" s="984">
        <f t="shared" ref="AM24:AR24" si="17">AM25-AM23-AM22-AM21-AM20</f>
        <v>1089</v>
      </c>
      <c r="AN24" s="984">
        <f t="shared" si="17"/>
        <v>1089</v>
      </c>
      <c r="AO24" s="984">
        <f t="shared" si="17"/>
        <v>1686</v>
      </c>
      <c r="AP24" s="984">
        <f t="shared" si="17"/>
        <v>1396</v>
      </c>
      <c r="AQ24" s="984">
        <f t="shared" si="17"/>
        <v>1359</v>
      </c>
      <c r="AR24" s="984">
        <f t="shared" si="17"/>
        <v>1122</v>
      </c>
      <c r="AS24" s="984">
        <f>AS25-AS23-AS22-AS21-AS20</f>
        <v>1195</v>
      </c>
      <c r="AT24" s="984">
        <f>AT25-AT23-AT22-AT21-AT20</f>
        <v>1006</v>
      </c>
      <c r="AU24" s="984">
        <f>AU25-AU23-AU22-AU21-AU20</f>
        <v>1006</v>
      </c>
      <c r="AV24" s="984">
        <f>AV25-AV23-AV22-AV21-AV20</f>
        <v>1006</v>
      </c>
      <c r="AW24" s="984">
        <f>AW25-AW23-AW22-AW21-AW20</f>
        <v>1006</v>
      </c>
    </row>
    <row r="25" spans="1:49">
      <c r="A25" s="8"/>
      <c r="B25" s="985" t="s">
        <v>1099</v>
      </c>
      <c r="C25" s="410" t="s">
        <v>733</v>
      </c>
      <c r="D25" s="343"/>
      <c r="E25" s="343"/>
      <c r="F25" s="343"/>
      <c r="G25" s="343"/>
      <c r="H25" s="343"/>
      <c r="I25" s="343"/>
      <c r="J25" s="343"/>
      <c r="K25" s="343"/>
      <c r="L25" s="343"/>
      <c r="M25" s="343"/>
      <c r="N25" s="343"/>
      <c r="O25" s="343" t="str">
        <f t="shared" ref="O25:Y25" si="18">IFERROR(O24/N24-1, "")</f>
        <v/>
      </c>
      <c r="P25" s="343">
        <f t="shared" si="18"/>
        <v>-3.5851738844006831E-2</v>
      </c>
      <c r="Q25" s="343">
        <f t="shared" si="18"/>
        <v>-6.7249253785018115E-2</v>
      </c>
      <c r="R25" s="343">
        <f t="shared" si="18"/>
        <v>-0.10814666306820375</v>
      </c>
      <c r="S25" s="343">
        <f t="shared" si="18"/>
        <v>-4.6991181047899011E-2</v>
      </c>
      <c r="T25" s="343">
        <f t="shared" si="18"/>
        <v>5.4434544794738082E-2</v>
      </c>
      <c r="U25" s="343">
        <f t="shared" si="18"/>
        <v>1.0195326424460527E-2</v>
      </c>
      <c r="V25" s="343">
        <f t="shared" si="18"/>
        <v>5.4509837322205268E-3</v>
      </c>
      <c r="W25" s="343">
        <f t="shared" si="18"/>
        <v>3.8148177655611182E-2</v>
      </c>
      <c r="X25" s="343">
        <f t="shared" si="18"/>
        <v>2.7192487283260958E-2</v>
      </c>
      <c r="Y25" s="343">
        <f t="shared" si="18"/>
        <v>3.0580830183152496E-2</v>
      </c>
      <c r="Z25" s="8"/>
      <c r="AA25" s="9" t="s">
        <v>743</v>
      </c>
      <c r="AB25" s="338" t="s">
        <v>732</v>
      </c>
      <c r="AC25" s="986">
        <f>'Balance Sheet'!L38</f>
        <v>8123</v>
      </c>
      <c r="AD25" s="986">
        <f>'Balance Sheet'!M38</f>
        <v>7752</v>
      </c>
      <c r="AE25" s="986">
        <f>'Balance Sheet'!N38</f>
        <v>8682</v>
      </c>
      <c r="AF25" s="986">
        <f>'Balance Sheet'!O38</f>
        <v>8538</v>
      </c>
      <c r="AG25" s="986">
        <f>'Balance Sheet'!P38</f>
        <v>10684</v>
      </c>
      <c r="AH25" s="986">
        <f>'Balance Sheet'!Q38</f>
        <v>7522</v>
      </c>
      <c r="AI25" s="986">
        <f>'Balance Sheet'!R38</f>
        <v>8684</v>
      </c>
      <c r="AJ25" s="986">
        <f>'Balance Sheet'!S38</f>
        <v>8129</v>
      </c>
      <c r="AK25" s="986">
        <f>'Balance Sheet'!T38</f>
        <v>9188</v>
      </c>
      <c r="AL25" s="986">
        <f>'Balance Sheet'!U38</f>
        <v>9159</v>
      </c>
      <c r="AM25" s="986">
        <f>'Balance Sheet'!V38</f>
        <v>8785</v>
      </c>
      <c r="AN25" s="986">
        <f>'Balance Sheet'!W38</f>
        <v>9553</v>
      </c>
      <c r="AO25" s="986">
        <f>'Balance Sheet'!X38</f>
        <v>10094</v>
      </c>
      <c r="AP25" s="986">
        <f>'Balance Sheet'!Y38</f>
        <v>10424</v>
      </c>
      <c r="AQ25" s="986">
        <f>'Balance Sheet'!Z38</f>
        <v>9860</v>
      </c>
      <c r="AR25" s="986">
        <f>'Balance Sheet'!AA38</f>
        <v>10092</v>
      </c>
      <c r="AS25" s="986">
        <f>'Balance Sheet'!AB38</f>
        <v>11526</v>
      </c>
      <c r="AT25" s="986">
        <f>'Balance Sheet'!AC38</f>
        <v>11521</v>
      </c>
      <c r="AU25" s="986">
        <f>'Balance Sheet'!AD38</f>
        <v>11873.073406742182</v>
      </c>
      <c r="AV25" s="986">
        <f>'Balance Sheet'!AE38</f>
        <v>11973.039408854589</v>
      </c>
      <c r="AW25" s="986">
        <f>'Balance Sheet'!AF38</f>
        <v>12090.788802149036</v>
      </c>
    </row>
    <row r="26" spans="1:49">
      <c r="A26" s="8"/>
      <c r="B26" s="8"/>
      <c r="C26" s="718"/>
      <c r="D26" s="8"/>
      <c r="E26" s="8"/>
      <c r="F26" s="8"/>
      <c r="G26" s="8"/>
      <c r="H26" s="8"/>
      <c r="I26" s="8"/>
      <c r="J26" s="8"/>
      <c r="K26" s="8"/>
      <c r="L26" s="8"/>
      <c r="M26" s="8"/>
      <c r="N26" s="8"/>
      <c r="O26" s="8"/>
      <c r="P26" s="8"/>
      <c r="Q26" s="8"/>
      <c r="R26" s="8"/>
      <c r="S26" s="8"/>
      <c r="T26" s="8"/>
      <c r="U26" s="8"/>
      <c r="V26" s="8"/>
      <c r="W26" s="8"/>
      <c r="X26" s="8"/>
      <c r="Y26" s="8"/>
      <c r="Z26" s="8"/>
      <c r="AA26" s="438" t="s">
        <v>507</v>
      </c>
      <c r="AB26" s="410" t="s">
        <v>732</v>
      </c>
      <c r="AC26" s="984">
        <f>'Balance Sheet'!L41</f>
        <v>181</v>
      </c>
      <c r="AD26" s="984">
        <f>'Balance Sheet'!M41</f>
        <v>245</v>
      </c>
      <c r="AE26" s="984">
        <f>'Balance Sheet'!N41</f>
        <v>248</v>
      </c>
      <c r="AF26" s="984">
        <f>'Balance Sheet'!O41</f>
        <v>177</v>
      </c>
      <c r="AG26" s="984">
        <f>'Balance Sheet'!P41</f>
        <v>174</v>
      </c>
      <c r="AH26" s="984">
        <f>'Balance Sheet'!Q41</f>
        <v>163</v>
      </c>
      <c r="AI26" s="984">
        <f>'Balance Sheet'!R41</f>
        <v>66</v>
      </c>
      <c r="AJ26" s="984">
        <f>'Balance Sheet'!S41</f>
        <v>74</v>
      </c>
      <c r="AK26" s="984">
        <f>'Balance Sheet'!T41</f>
        <v>66</v>
      </c>
      <c r="AL26" s="984">
        <f>'Balance Sheet'!U41</f>
        <v>70</v>
      </c>
      <c r="AM26" s="984">
        <f>'Balance Sheet'!V41</f>
        <v>65</v>
      </c>
      <c r="AN26" s="984">
        <f>'Balance Sheet'!W41</f>
        <v>68</v>
      </c>
      <c r="AO26" s="984">
        <f>'Balance Sheet'!X41</f>
        <v>4</v>
      </c>
      <c r="AP26" s="984">
        <f>'Balance Sheet'!Y41</f>
        <v>9</v>
      </c>
      <c r="AQ26" s="984">
        <f>'Balance Sheet'!Z41</f>
        <v>233</v>
      </c>
      <c r="AR26" s="984">
        <f>'Balance Sheet'!AA41</f>
        <v>208</v>
      </c>
      <c r="AS26" s="984">
        <f>'Balance Sheet'!AB41</f>
        <v>10</v>
      </c>
      <c r="AT26" s="984">
        <f>'Balance Sheet'!AC41</f>
        <v>28</v>
      </c>
      <c r="AU26" s="984">
        <f>'Balance Sheet'!AD41</f>
        <v>28</v>
      </c>
      <c r="AV26" s="984">
        <f>'Balance Sheet'!AE41</f>
        <v>28</v>
      </c>
      <c r="AW26" s="984">
        <f>'Balance Sheet'!AF41</f>
        <v>28</v>
      </c>
    </row>
    <row r="27" spans="1:49">
      <c r="A27" s="8"/>
      <c r="B27" s="9" t="s">
        <v>745</v>
      </c>
      <c r="C27" s="338" t="s">
        <v>732</v>
      </c>
      <c r="D27" s="404">
        <f>'P&amp;L'!K32</f>
        <v>14092</v>
      </c>
      <c r="E27" s="404">
        <f>'P&amp;L'!L32</f>
        <v>14586</v>
      </c>
      <c r="F27" s="404">
        <f>'P&amp;L'!M32</f>
        <v>14668</v>
      </c>
      <c r="G27" s="404">
        <f>'P&amp;L'!N32</f>
        <v>14184</v>
      </c>
      <c r="H27" s="404">
        <f>'P&amp;L'!O32</f>
        <v>15154</v>
      </c>
      <c r="I27" s="404">
        <f>'P&amp;L'!P32</f>
        <v>15269</v>
      </c>
      <c r="J27" s="404">
        <f>'P&amp;L'!Q32</f>
        <v>15350</v>
      </c>
      <c r="K27" s="404">
        <f>'P&amp;L'!R32</f>
        <v>15185</v>
      </c>
      <c r="L27" s="404">
        <f>'P&amp;L'!S32</f>
        <v>15598</v>
      </c>
      <c r="M27" s="404">
        <f>'P&amp;L'!T32</f>
        <v>16600</v>
      </c>
      <c r="N27" s="404">
        <f>'P&amp;L'!U32</f>
        <v>17440.359751576441</v>
      </c>
      <c r="O27" s="404">
        <f>'P&amp;L'!V32</f>
        <v>21266</v>
      </c>
      <c r="P27" s="404">
        <f>'P&amp;L'!W32</f>
        <v>19373</v>
      </c>
      <c r="Q27" s="404">
        <f>'P&amp;L'!X32</f>
        <v>17526</v>
      </c>
      <c r="R27" s="404">
        <f>'P&amp;L'!Y32</f>
        <v>15688</v>
      </c>
      <c r="S27" s="404">
        <f>'P&amp;L'!Z32</f>
        <v>14789</v>
      </c>
      <c r="T27" s="404">
        <f>'P&amp;L'!AA32</f>
        <v>15383.009539999999</v>
      </c>
      <c r="U27" s="404">
        <f>'P&amp;L'!AB32</f>
        <v>15954</v>
      </c>
      <c r="V27" s="404">
        <f>'P&amp;L'!AC32</f>
        <v>15002</v>
      </c>
      <c r="W27" s="404">
        <f>'P&amp;L'!AD32</f>
        <v>15548.326003922921</v>
      </c>
      <c r="X27" s="404">
        <f>'P&amp;L'!AE32</f>
        <v>15927.576442644773</v>
      </c>
      <c r="Y27" s="404">
        <f>'P&amp;L'!AF32</f>
        <v>16388.394399210607</v>
      </c>
      <c r="Z27" s="8"/>
      <c r="AA27" s="438" t="s">
        <v>338</v>
      </c>
      <c r="AB27" s="410" t="s">
        <v>732</v>
      </c>
      <c r="AC27" s="984">
        <f>'Balance Sheet'!L42</f>
        <v>13444</v>
      </c>
      <c r="AD27" s="984">
        <f>'Balance Sheet'!M42</f>
        <v>15344</v>
      </c>
      <c r="AE27" s="984">
        <f>'Balance Sheet'!N42</f>
        <v>12370</v>
      </c>
      <c r="AF27" s="984">
        <f>'Balance Sheet'!O42</f>
        <v>12178</v>
      </c>
      <c r="AG27" s="984">
        <f>'Balance Sheet'!P42</f>
        <v>11958</v>
      </c>
      <c r="AH27" s="984">
        <f>'Balance Sheet'!Q42</f>
        <v>14313</v>
      </c>
      <c r="AI27" s="984">
        <f>'Balance Sheet'!R42</f>
        <v>13547</v>
      </c>
      <c r="AJ27" s="984">
        <f>'Balance Sheet'!S42</f>
        <v>14138</v>
      </c>
      <c r="AK27" s="984">
        <f>'Balance Sheet'!T42</f>
        <v>14647</v>
      </c>
      <c r="AL27" s="984">
        <f>'Balance Sheet'!U42</f>
        <v>14808</v>
      </c>
      <c r="AM27" s="984">
        <f>'Balance Sheet'!V42</f>
        <v>15316</v>
      </c>
      <c r="AN27" s="984">
        <f>'Balance Sheet'!W42</f>
        <v>15031</v>
      </c>
      <c r="AO27" s="984">
        <f>'Balance Sheet'!X42</f>
        <v>13066</v>
      </c>
      <c r="AP27" s="984">
        <f>'Balance Sheet'!Y42</f>
        <v>10505</v>
      </c>
      <c r="AQ27" s="984">
        <f>'Balance Sheet'!Z42</f>
        <v>8292</v>
      </c>
      <c r="AR27" s="984">
        <f>'Balance Sheet'!AA42</f>
        <v>10013</v>
      </c>
      <c r="AS27" s="984">
        <f>'Balance Sheet'!AB42</f>
        <v>10162</v>
      </c>
      <c r="AT27" s="984">
        <f>'Balance Sheet'!AC42</f>
        <v>10582</v>
      </c>
      <c r="AU27" s="984">
        <f>'Balance Sheet'!AD42</f>
        <v>11182</v>
      </c>
      <c r="AV27" s="984">
        <f>'Balance Sheet'!AE42</f>
        <v>11782</v>
      </c>
      <c r="AW27" s="984">
        <f>'Balance Sheet'!AF42</f>
        <v>12382</v>
      </c>
    </row>
    <row r="28" spans="1:49">
      <c r="A28" s="8"/>
      <c r="B28" s="985" t="s">
        <v>1099</v>
      </c>
      <c r="C28" s="410" t="s">
        <v>733</v>
      </c>
      <c r="D28" s="343"/>
      <c r="E28" s="343">
        <f>E27/D27-1</f>
        <v>3.5055350553505615E-2</v>
      </c>
      <c r="F28" s="343"/>
      <c r="G28" s="343">
        <f t="shared" ref="G28:Y28" si="19">G27/F27-1</f>
        <v>-3.299700027270247E-2</v>
      </c>
      <c r="H28" s="343">
        <f t="shared" si="19"/>
        <v>6.8386914833615364E-2</v>
      </c>
      <c r="I28" s="343">
        <f t="shared" si="19"/>
        <v>7.588755444107198E-3</v>
      </c>
      <c r="J28" s="343">
        <f t="shared" si="19"/>
        <v>5.3048660685048876E-3</v>
      </c>
      <c r="K28" s="343">
        <f t="shared" si="19"/>
        <v>-1.0749185667752403E-2</v>
      </c>
      <c r="L28" s="343">
        <f t="shared" si="19"/>
        <v>2.7197892657227607E-2</v>
      </c>
      <c r="M28" s="343">
        <f t="shared" si="19"/>
        <v>6.4239005000641169E-2</v>
      </c>
      <c r="N28" s="343">
        <f t="shared" si="19"/>
        <v>5.0624081420267641E-2</v>
      </c>
      <c r="O28" s="343">
        <f t="shared" si="19"/>
        <v>0.21935558113001408</v>
      </c>
      <c r="P28" s="343">
        <f t="shared" si="19"/>
        <v>-8.9015329634157814E-2</v>
      </c>
      <c r="Q28" s="343">
        <f t="shared" si="19"/>
        <v>-9.5338873690187342E-2</v>
      </c>
      <c r="R28" s="343">
        <f t="shared" si="19"/>
        <v>-0.10487276047015859</v>
      </c>
      <c r="S28" s="343">
        <f t="shared" si="19"/>
        <v>-5.7304946455889905E-2</v>
      </c>
      <c r="T28" s="343">
        <f t="shared" si="19"/>
        <v>4.0165632564743925E-2</v>
      </c>
      <c r="U28" s="343">
        <f t="shared" si="19"/>
        <v>3.7118254299671971E-2</v>
      </c>
      <c r="V28" s="343">
        <f t="shared" si="19"/>
        <v>-5.9671555722702774E-2</v>
      </c>
      <c r="W28" s="343">
        <f t="shared" si="19"/>
        <v>3.6416878011126474E-2</v>
      </c>
      <c r="X28" s="343">
        <f t="shared" si="19"/>
        <v>2.4391721567078362E-2</v>
      </c>
      <c r="Y28" s="343">
        <f t="shared" si="19"/>
        <v>2.8932082556642591E-2</v>
      </c>
      <c r="Z28" s="8"/>
      <c r="AA28" s="8" t="s">
        <v>28</v>
      </c>
      <c r="AB28" s="410" t="s">
        <v>732</v>
      </c>
      <c r="AC28" s="984">
        <f t="shared" ref="AC28:AM28" si="20">AC29-AC27-AC26</f>
        <v>3928</v>
      </c>
      <c r="AD28" s="984">
        <f t="shared" si="20"/>
        <v>3940</v>
      </c>
      <c r="AE28" s="984">
        <f t="shared" si="20"/>
        <v>4974</v>
      </c>
      <c r="AF28" s="984">
        <f t="shared" si="20"/>
        <v>4728</v>
      </c>
      <c r="AG28" s="984">
        <f t="shared" si="20"/>
        <v>5020</v>
      </c>
      <c r="AH28" s="984">
        <f t="shared" si="20"/>
        <v>3654</v>
      </c>
      <c r="AI28" s="984">
        <f t="shared" si="20"/>
        <v>3103</v>
      </c>
      <c r="AJ28" s="984">
        <f t="shared" si="20"/>
        <v>3594</v>
      </c>
      <c r="AK28" s="984">
        <f t="shared" si="20"/>
        <v>3478</v>
      </c>
      <c r="AL28" s="984">
        <f t="shared" si="20"/>
        <v>3536</v>
      </c>
      <c r="AM28" s="984">
        <f t="shared" si="20"/>
        <v>3938</v>
      </c>
      <c r="AN28" s="984">
        <f t="shared" ref="AN28:AS28" si="21">AN29-AN27-AN26</f>
        <v>3407</v>
      </c>
      <c r="AO28" s="984">
        <f t="shared" si="21"/>
        <v>6092</v>
      </c>
      <c r="AP28" s="984">
        <f t="shared" si="21"/>
        <v>6312</v>
      </c>
      <c r="AQ28" s="984">
        <f t="shared" si="21"/>
        <v>6406</v>
      </c>
      <c r="AR28" s="984">
        <f t="shared" si="21"/>
        <v>6900</v>
      </c>
      <c r="AS28" s="984">
        <f t="shared" si="21"/>
        <v>6500</v>
      </c>
      <c r="AT28" s="984">
        <f>AT29-AT27-AT26</f>
        <v>6521</v>
      </c>
      <c r="AU28" s="984">
        <f>AU29-AU27-AU26</f>
        <v>6521</v>
      </c>
      <c r="AV28" s="984">
        <f>AV29-AV27-AV26</f>
        <v>6521</v>
      </c>
      <c r="AW28" s="984">
        <f>AW29-AW27-AW26</f>
        <v>6521</v>
      </c>
    </row>
    <row r="29" spans="1:49">
      <c r="A29" s="8"/>
      <c r="B29" s="8"/>
      <c r="C29" s="410"/>
      <c r="D29" s="8"/>
      <c r="E29" s="8"/>
      <c r="F29" s="8"/>
      <c r="G29" s="8"/>
      <c r="H29" s="989"/>
      <c r="I29" s="989"/>
      <c r="J29" s="989"/>
      <c r="K29" s="989"/>
      <c r="L29" s="989"/>
      <c r="M29" s="989"/>
      <c r="N29" s="989"/>
      <c r="O29" s="989"/>
      <c r="P29" s="989"/>
      <c r="Q29" s="989"/>
      <c r="R29" s="989"/>
      <c r="S29" s="989"/>
      <c r="T29" s="989"/>
      <c r="U29" s="989"/>
      <c r="V29" s="989"/>
      <c r="W29" s="989"/>
      <c r="X29" s="989"/>
      <c r="Y29" s="989"/>
      <c r="Z29" s="8"/>
      <c r="AA29" s="9" t="s">
        <v>744</v>
      </c>
      <c r="AB29" s="338" t="s">
        <v>732</v>
      </c>
      <c r="AC29" s="408">
        <f>'Balance Sheet'!L47</f>
        <v>17553</v>
      </c>
      <c r="AD29" s="408">
        <f>'Balance Sheet'!M47</f>
        <v>19529</v>
      </c>
      <c r="AE29" s="408">
        <f>'Balance Sheet'!N47</f>
        <v>17592</v>
      </c>
      <c r="AF29" s="408">
        <f>'Balance Sheet'!O47</f>
        <v>17083</v>
      </c>
      <c r="AG29" s="408">
        <f>'Balance Sheet'!P47</f>
        <v>17152</v>
      </c>
      <c r="AH29" s="408">
        <f>'Balance Sheet'!Q47</f>
        <v>18130</v>
      </c>
      <c r="AI29" s="408">
        <f>'Balance Sheet'!R47</f>
        <v>16716</v>
      </c>
      <c r="AJ29" s="408">
        <f>'Balance Sheet'!S47</f>
        <v>17806</v>
      </c>
      <c r="AK29" s="408">
        <f>'Balance Sheet'!T47</f>
        <v>18191</v>
      </c>
      <c r="AL29" s="408">
        <f>'Balance Sheet'!U47</f>
        <v>18414</v>
      </c>
      <c r="AM29" s="408">
        <f>'Balance Sheet'!V47</f>
        <v>19319</v>
      </c>
      <c r="AN29" s="408">
        <f>'Balance Sheet'!W47</f>
        <v>18506</v>
      </c>
      <c r="AO29" s="408">
        <f>'Balance Sheet'!X47</f>
        <v>19162</v>
      </c>
      <c r="AP29" s="408">
        <f>'Balance Sheet'!Y47</f>
        <v>16826</v>
      </c>
      <c r="AQ29" s="408">
        <f>'Balance Sheet'!Z47</f>
        <v>14931</v>
      </c>
      <c r="AR29" s="408">
        <f>'Balance Sheet'!AA47</f>
        <v>17121</v>
      </c>
      <c r="AS29" s="408">
        <f>'Balance Sheet'!AB47</f>
        <v>16672</v>
      </c>
      <c r="AT29" s="408">
        <f>'Balance Sheet'!AC47</f>
        <v>17131</v>
      </c>
      <c r="AU29" s="408">
        <f>'Balance Sheet'!AD47</f>
        <v>17731</v>
      </c>
      <c r="AV29" s="408">
        <f>'Balance Sheet'!AE47</f>
        <v>18331</v>
      </c>
      <c r="AW29" s="408">
        <f>'Balance Sheet'!AF47</f>
        <v>18931</v>
      </c>
    </row>
    <row r="30" spans="1:49">
      <c r="A30" s="8"/>
      <c r="B30" s="648" t="s">
        <v>1049</v>
      </c>
      <c r="C30" s="717" t="s">
        <v>732</v>
      </c>
      <c r="D30" s="688">
        <f>'P&amp;L'!K186</f>
        <v>9860.9999999999982</v>
      </c>
      <c r="E30" s="688">
        <f>'P&amp;L'!L186</f>
        <v>10416</v>
      </c>
      <c r="F30" s="688">
        <f>'P&amp;L'!M186</f>
        <v>10948</v>
      </c>
      <c r="G30" s="688">
        <f>'P&amp;L'!N186</f>
        <v>10847</v>
      </c>
      <c r="H30" s="688">
        <f>'P&amp;L'!O186</f>
        <v>10151</v>
      </c>
      <c r="I30" s="688">
        <f>'P&amp;L'!P186</f>
        <v>10320.817287899999</v>
      </c>
      <c r="J30" s="688">
        <f>'P&amp;L'!Q186</f>
        <v>10735.105465133809</v>
      </c>
      <c r="K30" s="688">
        <f>'P&amp;L'!R186</f>
        <v>11135</v>
      </c>
      <c r="L30" s="688">
        <f>'P&amp;L'!S186</f>
        <v>10533</v>
      </c>
      <c r="M30" s="688">
        <f>'P&amp;L'!T184</f>
        <v>10204.8976</v>
      </c>
      <c r="N30" s="688">
        <f>'P&amp;L'!U184</f>
        <v>9368.6370000000006</v>
      </c>
      <c r="O30" s="688">
        <f>'P&amp;L'!V184</f>
        <v>8732</v>
      </c>
      <c r="P30" s="688">
        <f>'P&amp;L'!W46</f>
        <v>8203</v>
      </c>
      <c r="Q30" s="688">
        <f>'P&amp;L'!X46</f>
        <v>7409</v>
      </c>
      <c r="R30" s="688">
        <f>'P&amp;L'!Y46</f>
        <v>6689</v>
      </c>
      <c r="S30" s="688">
        <f>'P&amp;L'!Z46</f>
        <v>7251</v>
      </c>
      <c r="T30" s="688">
        <f>'P&amp;L'!AA46</f>
        <v>7950</v>
      </c>
      <c r="U30" s="688">
        <f>'P&amp;L'!AB46</f>
        <v>8243</v>
      </c>
      <c r="V30" s="688">
        <f>'P&amp;L'!AC46</f>
        <v>8621</v>
      </c>
      <c r="W30" s="688">
        <f>'P&amp;L'!AD46</f>
        <v>8962.3524705260606</v>
      </c>
      <c r="X30" s="688">
        <f>'P&amp;L'!AE46</f>
        <v>9249.6083445247623</v>
      </c>
      <c r="Y30" s="688">
        <f>'P&amp;L'!AF46</f>
        <v>9558.7296004252148</v>
      </c>
      <c r="Z30" s="8"/>
      <c r="AA30" s="9" t="s">
        <v>508</v>
      </c>
      <c r="AB30" s="338" t="s">
        <v>732</v>
      </c>
      <c r="AC30" s="986">
        <f t="shared" ref="AC30:AO30" si="22">AC29+AC25</f>
        <v>25676</v>
      </c>
      <c r="AD30" s="986">
        <f t="shared" si="22"/>
        <v>27281</v>
      </c>
      <c r="AE30" s="986">
        <f t="shared" si="22"/>
        <v>26274</v>
      </c>
      <c r="AF30" s="986">
        <f t="shared" si="22"/>
        <v>25621</v>
      </c>
      <c r="AG30" s="986">
        <f t="shared" si="22"/>
        <v>27836</v>
      </c>
      <c r="AH30" s="986">
        <f t="shared" si="22"/>
        <v>25652</v>
      </c>
      <c r="AI30" s="986">
        <f t="shared" si="22"/>
        <v>25400</v>
      </c>
      <c r="AJ30" s="986">
        <f t="shared" si="22"/>
        <v>25935</v>
      </c>
      <c r="AK30" s="986">
        <f t="shared" si="22"/>
        <v>27379</v>
      </c>
      <c r="AL30" s="986">
        <f t="shared" si="22"/>
        <v>27573</v>
      </c>
      <c r="AM30" s="986">
        <f t="shared" si="22"/>
        <v>28104</v>
      </c>
      <c r="AN30" s="986">
        <f t="shared" si="22"/>
        <v>28059</v>
      </c>
      <c r="AO30" s="986">
        <f t="shared" si="22"/>
        <v>29256</v>
      </c>
      <c r="AP30" s="986">
        <f t="shared" ref="AP30:AU30" si="23">AP29+AP25</f>
        <v>27250</v>
      </c>
      <c r="AQ30" s="986">
        <f t="shared" si="23"/>
        <v>24791</v>
      </c>
      <c r="AR30" s="986">
        <f t="shared" si="23"/>
        <v>27213</v>
      </c>
      <c r="AS30" s="986">
        <f t="shared" si="23"/>
        <v>28198</v>
      </c>
      <c r="AT30" s="986">
        <f t="shared" si="23"/>
        <v>28652</v>
      </c>
      <c r="AU30" s="986">
        <f t="shared" si="23"/>
        <v>29604.07340674218</v>
      </c>
      <c r="AV30" s="986">
        <f t="shared" ref="AV30:AW30" si="24">AV29+AV25</f>
        <v>30304.039408854587</v>
      </c>
      <c r="AW30" s="986">
        <f t="shared" si="24"/>
        <v>31021.788802149036</v>
      </c>
    </row>
    <row r="31" spans="1:49">
      <c r="A31" s="8"/>
      <c r="B31" s="985" t="s">
        <v>1099</v>
      </c>
      <c r="C31" s="410" t="s">
        <v>733</v>
      </c>
      <c r="D31" s="343"/>
      <c r="E31" s="343">
        <f t="shared" ref="E31:Y31" si="25">E30/D30-1</f>
        <v>5.6282324307879827E-2</v>
      </c>
      <c r="F31" s="343">
        <f t="shared" si="25"/>
        <v>5.1075268817204256E-2</v>
      </c>
      <c r="G31" s="343">
        <f t="shared" si="25"/>
        <v>-9.2254293021556411E-3</v>
      </c>
      <c r="H31" s="343">
        <f t="shared" si="25"/>
        <v>-6.4165206969668986E-2</v>
      </c>
      <c r="I31" s="343">
        <f t="shared" si="25"/>
        <v>1.672911909171515E-2</v>
      </c>
      <c r="J31" s="343">
        <f t="shared" si="25"/>
        <v>4.0141024269416681E-2</v>
      </c>
      <c r="K31" s="343">
        <f t="shared" si="25"/>
        <v>3.7251104440938709E-2</v>
      </c>
      <c r="L31" s="343">
        <f t="shared" si="25"/>
        <v>-5.4063762909744018E-2</v>
      </c>
      <c r="M31" s="343">
        <f t="shared" si="25"/>
        <v>-3.1149947783157717E-2</v>
      </c>
      <c r="N31" s="343">
        <f t="shared" si="25"/>
        <v>-8.1946985925659854E-2</v>
      </c>
      <c r="O31" s="343">
        <f t="shared" si="25"/>
        <v>-6.7954068452006466E-2</v>
      </c>
      <c r="P31" s="343">
        <f t="shared" si="25"/>
        <v>-6.0581768208886833E-2</v>
      </c>
      <c r="Q31" s="343">
        <f t="shared" si="25"/>
        <v>-9.6793855906375681E-2</v>
      </c>
      <c r="R31" s="343">
        <f t="shared" si="25"/>
        <v>-9.717910649210415E-2</v>
      </c>
      <c r="S31" s="343">
        <f t="shared" si="25"/>
        <v>8.401853789804159E-2</v>
      </c>
      <c r="T31" s="343">
        <f t="shared" si="25"/>
        <v>9.6400496483243669E-2</v>
      </c>
      <c r="U31" s="343">
        <f t="shared" si="25"/>
        <v>3.6855345911949611E-2</v>
      </c>
      <c r="V31" s="343">
        <f t="shared" si="25"/>
        <v>4.5857090864976247E-2</v>
      </c>
      <c r="W31" s="343">
        <f t="shared" si="25"/>
        <v>3.9595461144421806E-2</v>
      </c>
      <c r="X31" s="343">
        <f t="shared" si="25"/>
        <v>3.2051392192327111E-2</v>
      </c>
      <c r="Y31" s="343">
        <f t="shared" si="25"/>
        <v>3.3419929189048903E-2</v>
      </c>
      <c r="Z31" s="8"/>
      <c r="AA31" s="8"/>
      <c r="AB31" s="410"/>
      <c r="AC31" s="8"/>
      <c r="AD31" s="8"/>
      <c r="AE31" s="8"/>
      <c r="AF31" s="8"/>
      <c r="AG31" s="8"/>
      <c r="AH31" s="8"/>
      <c r="AI31" s="8"/>
      <c r="AJ31" s="8"/>
      <c r="AK31" s="8"/>
      <c r="AL31" s="8"/>
      <c r="AM31" s="8"/>
      <c r="AN31" s="8"/>
      <c r="AO31" s="8"/>
      <c r="AP31" s="8"/>
      <c r="AQ31" s="8"/>
      <c r="AR31" s="8"/>
      <c r="AS31" s="8"/>
      <c r="AT31" s="8"/>
      <c r="AU31" s="8"/>
      <c r="AV31" s="8"/>
      <c r="AW31" s="8"/>
    </row>
    <row r="32" spans="1:49">
      <c r="A32" s="8"/>
      <c r="B32" s="9" t="s">
        <v>1357</v>
      </c>
      <c r="C32" s="338" t="s">
        <v>732</v>
      </c>
      <c r="D32" s="404">
        <f>'P&amp;L'!K186</f>
        <v>9860.9999999999982</v>
      </c>
      <c r="E32" s="404">
        <f>'P&amp;L'!L186</f>
        <v>10416</v>
      </c>
      <c r="F32" s="404">
        <f>'P&amp;L'!M186</f>
        <v>10948</v>
      </c>
      <c r="G32" s="404">
        <f>'P&amp;L'!N186</f>
        <v>10847</v>
      </c>
      <c r="H32" s="404">
        <f>'P&amp;L'!O186</f>
        <v>10151</v>
      </c>
      <c r="I32" s="404">
        <f>'P&amp;L'!P186</f>
        <v>10320.817287899999</v>
      </c>
      <c r="J32" s="404">
        <f>'P&amp;L'!Q186</f>
        <v>10735.105465133809</v>
      </c>
      <c r="K32" s="404">
        <f>'P&amp;L'!R186</f>
        <v>11135</v>
      </c>
      <c r="L32" s="404">
        <f>'P&amp;L'!S186</f>
        <v>10533</v>
      </c>
      <c r="M32" s="404">
        <f>'P&amp;L'!T186</f>
        <v>10704.8976</v>
      </c>
      <c r="N32" s="404">
        <f>'P&amp;L'!U186</f>
        <v>10750.637000000001</v>
      </c>
      <c r="O32" s="404">
        <f>'P&amp;L'!V186</f>
        <v>10568</v>
      </c>
      <c r="P32" s="404">
        <f>'P&amp;L'!W48</f>
        <v>9816</v>
      </c>
      <c r="Q32" s="404">
        <f>'P&amp;L'!X48</f>
        <v>8945</v>
      </c>
      <c r="R32" s="404">
        <f>'P&amp;L'!Y48</f>
        <v>7491</v>
      </c>
      <c r="S32" s="404">
        <f>'P&amp;L'!Z48</f>
        <v>7484</v>
      </c>
      <c r="T32" s="404">
        <f>'P&amp;L'!AA48</f>
        <v>7987</v>
      </c>
      <c r="U32" s="404">
        <f>'P&amp;L'!AB48</f>
        <v>8243</v>
      </c>
      <c r="V32" s="404">
        <f>'P&amp;L'!AC48</f>
        <v>8622</v>
      </c>
      <c r="W32" s="404">
        <f>'P&amp;L'!AD48</f>
        <v>8962.3524705260606</v>
      </c>
      <c r="X32" s="404">
        <f>'P&amp;L'!AE48</f>
        <v>9249.6083445247623</v>
      </c>
      <c r="Y32" s="404">
        <f>'P&amp;L'!AF48</f>
        <v>9558.7296004252148</v>
      </c>
      <c r="Z32" s="8"/>
      <c r="AA32" s="9" t="s">
        <v>333</v>
      </c>
      <c r="AB32" s="338" t="s">
        <v>732</v>
      </c>
      <c r="AC32" s="986">
        <f>'Balance Sheet'!L51</f>
        <v>12245</v>
      </c>
      <c r="AD32" s="986">
        <f>'Balance Sheet'!M51</f>
        <v>12681</v>
      </c>
      <c r="AE32" s="986">
        <f>'Balance Sheet'!N51</f>
        <v>13008</v>
      </c>
      <c r="AF32" s="986">
        <f>'Balance Sheet'!O51</f>
        <v>12292</v>
      </c>
      <c r="AG32" s="986">
        <f>'Balance Sheet'!P51</f>
        <v>11689</v>
      </c>
      <c r="AH32" s="986">
        <f>'Balance Sheet'!Q51</f>
        <v>12875</v>
      </c>
      <c r="AI32" s="986">
        <f>'Balance Sheet'!R51</f>
        <v>13960</v>
      </c>
      <c r="AJ32" s="986">
        <f>'Balance Sheet'!S51</f>
        <v>14510</v>
      </c>
      <c r="AK32" s="986">
        <f>'Balance Sheet'!T51</f>
        <v>15906.991403674998</v>
      </c>
      <c r="AL32" s="986">
        <f>'Balance Sheet'!U51</f>
        <v>14560</v>
      </c>
      <c r="AM32" s="986">
        <f>'Balance Sheet'!V51</f>
        <v>14531</v>
      </c>
      <c r="AN32" s="986">
        <f>'Balance Sheet'!W51</f>
        <v>14530</v>
      </c>
      <c r="AO32" s="986">
        <f>'Balance Sheet'!X51</f>
        <v>15147</v>
      </c>
      <c r="AP32" s="986">
        <f>'Balance Sheet'!Y51</f>
        <v>15275</v>
      </c>
      <c r="AQ32" s="986">
        <f>'Balance Sheet'!Z51</f>
        <v>16837</v>
      </c>
      <c r="AR32" s="986">
        <f>'Balance Sheet'!AA51</f>
        <v>17816</v>
      </c>
      <c r="AS32" s="986">
        <f>'Balance Sheet'!AB51</f>
        <v>17352</v>
      </c>
      <c r="AT32" s="986">
        <f>'Balance Sheet'!AC51</f>
        <v>16316</v>
      </c>
      <c r="AU32" s="986">
        <f>'Balance Sheet'!AD51</f>
        <v>15370.66841717776</v>
      </c>
      <c r="AV32" s="986">
        <f>'Balance Sheet'!AE51</f>
        <v>15175.96913491244</v>
      </c>
      <c r="AW32" s="986">
        <f>'Balance Sheet'!AF51</f>
        <v>15224.471532357966</v>
      </c>
    </row>
    <row r="33" spans="1:49">
      <c r="A33" s="8"/>
      <c r="B33" s="985" t="s">
        <v>1099</v>
      </c>
      <c r="C33" s="410" t="s">
        <v>733</v>
      </c>
      <c r="D33" s="343"/>
      <c r="E33" s="343">
        <f>E32/D32-1</f>
        <v>5.6282324307879827E-2</v>
      </c>
      <c r="F33" s="343">
        <f>F32/E32-1</f>
        <v>5.1075268817204256E-2</v>
      </c>
      <c r="G33" s="343">
        <f>G32/F32-1</f>
        <v>-9.2254293021556411E-3</v>
      </c>
      <c r="H33" s="343">
        <f t="shared" ref="H33:Y33" si="26">H32/G32-1</f>
        <v>-6.4165206969668986E-2</v>
      </c>
      <c r="I33" s="343">
        <f t="shared" si="26"/>
        <v>1.672911909171515E-2</v>
      </c>
      <c r="J33" s="343">
        <f t="shared" si="26"/>
        <v>4.0141024269416681E-2</v>
      </c>
      <c r="K33" s="343">
        <f t="shared" si="26"/>
        <v>3.7251104440938709E-2</v>
      </c>
      <c r="L33" s="343">
        <f t="shared" si="26"/>
        <v>-5.4063762909744018E-2</v>
      </c>
      <c r="M33" s="343">
        <f t="shared" si="26"/>
        <v>1.6319908857875376E-2</v>
      </c>
      <c r="N33" s="343">
        <f t="shared" si="26"/>
        <v>4.2727545567553538E-3</v>
      </c>
      <c r="O33" s="343">
        <f t="shared" si="26"/>
        <v>-1.6988481705781822E-2</v>
      </c>
      <c r="P33" s="343">
        <f t="shared" si="26"/>
        <v>-7.1158213474640464E-2</v>
      </c>
      <c r="Q33" s="343">
        <f t="shared" si="26"/>
        <v>-8.8732681336593289E-2</v>
      </c>
      <c r="R33" s="343">
        <f t="shared" si="26"/>
        <v>-0.16254891000558969</v>
      </c>
      <c r="S33" s="343">
        <f t="shared" si="26"/>
        <v>-9.3445467894803791E-4</v>
      </c>
      <c r="T33" s="343">
        <f t="shared" si="26"/>
        <v>6.7210048102618991E-2</v>
      </c>
      <c r="U33" s="343">
        <f t="shared" si="26"/>
        <v>3.205208463753606E-2</v>
      </c>
      <c r="V33" s="343">
        <f t="shared" si="26"/>
        <v>4.5978405920174659E-2</v>
      </c>
      <c r="W33" s="343">
        <f t="shared" si="26"/>
        <v>3.9474886398290554E-2</v>
      </c>
      <c r="X33" s="343">
        <f t="shared" si="26"/>
        <v>3.2051392192327111E-2</v>
      </c>
      <c r="Y33" s="343">
        <f t="shared" si="26"/>
        <v>3.3419929189048903E-2</v>
      </c>
      <c r="Z33" s="8"/>
      <c r="AA33" s="9" t="s">
        <v>344</v>
      </c>
      <c r="AB33" s="338" t="s">
        <v>732</v>
      </c>
      <c r="AC33" s="986">
        <f>'Balance Sheet'!L60</f>
        <v>12245</v>
      </c>
      <c r="AD33" s="986">
        <f>'Balance Sheet'!M60</f>
        <v>12681</v>
      </c>
      <c r="AE33" s="986">
        <f>'Balance Sheet'!N60</f>
        <v>13008</v>
      </c>
      <c r="AF33" s="986">
        <f>'Balance Sheet'!O60</f>
        <v>12292</v>
      </c>
      <c r="AG33" s="986">
        <f>'Balance Sheet'!P60</f>
        <v>11689</v>
      </c>
      <c r="AH33" s="986">
        <f>'Balance Sheet'!Q60</f>
        <v>12875</v>
      </c>
      <c r="AI33" s="986">
        <f t="shared" ref="AI33:AO33" si="27">AI32</f>
        <v>13960</v>
      </c>
      <c r="AJ33" s="986">
        <f t="shared" si="27"/>
        <v>14510</v>
      </c>
      <c r="AK33" s="986">
        <f t="shared" si="27"/>
        <v>15906.991403674998</v>
      </c>
      <c r="AL33" s="986">
        <f t="shared" si="27"/>
        <v>14560</v>
      </c>
      <c r="AM33" s="986">
        <f t="shared" si="27"/>
        <v>14531</v>
      </c>
      <c r="AN33" s="986">
        <f t="shared" si="27"/>
        <v>14530</v>
      </c>
      <c r="AO33" s="986">
        <f t="shared" si="27"/>
        <v>15147</v>
      </c>
      <c r="AP33" s="986">
        <f t="shared" ref="AP33:AU33" si="28">AP32</f>
        <v>15275</v>
      </c>
      <c r="AQ33" s="986">
        <f t="shared" si="28"/>
        <v>16837</v>
      </c>
      <c r="AR33" s="986">
        <f t="shared" si="28"/>
        <v>17816</v>
      </c>
      <c r="AS33" s="986">
        <f t="shared" si="28"/>
        <v>17352</v>
      </c>
      <c r="AT33" s="986">
        <f t="shared" si="28"/>
        <v>16316</v>
      </c>
      <c r="AU33" s="986">
        <f t="shared" si="28"/>
        <v>15370.66841717776</v>
      </c>
      <c r="AV33" s="986">
        <f t="shared" ref="AV33:AW33" si="29">AV32</f>
        <v>15175.96913491244</v>
      </c>
      <c r="AW33" s="986">
        <f t="shared" si="29"/>
        <v>15224.471532357966</v>
      </c>
    </row>
    <row r="34" spans="1:49">
      <c r="A34" s="8"/>
      <c r="B34" s="648" t="s">
        <v>1490</v>
      </c>
      <c r="C34" s="717" t="s">
        <v>732</v>
      </c>
      <c r="D34" s="688">
        <f>'P&amp;L'!K189</f>
        <v>9860.9999999999982</v>
      </c>
      <c r="E34" s="688">
        <f>'P&amp;L'!L189</f>
        <v>10416</v>
      </c>
      <c r="F34" s="688">
        <f>'P&amp;L'!M189</f>
        <v>10948</v>
      </c>
      <c r="G34" s="688">
        <f>'P&amp;L'!N189</f>
        <v>10847</v>
      </c>
      <c r="H34" s="688">
        <f>'P&amp;L'!O189</f>
        <v>10151</v>
      </c>
      <c r="I34" s="688">
        <f>'P&amp;L'!P189</f>
        <v>10320.817287899999</v>
      </c>
      <c r="J34" s="688">
        <f>'P&amp;L'!Q189</f>
        <v>10735.105465133809</v>
      </c>
      <c r="K34" s="688">
        <f>'P&amp;L'!R189</f>
        <v>11135</v>
      </c>
      <c r="L34" s="688">
        <f>'P&amp;L'!S189</f>
        <v>10533</v>
      </c>
      <c r="M34" s="688">
        <f>'P&amp;L'!T189</f>
        <v>10458.8976</v>
      </c>
      <c r="N34" s="688">
        <f>'P&amp;L'!U189</f>
        <v>10234.637000000001</v>
      </c>
      <c r="O34" s="688">
        <f>'P&amp;L'!V189</f>
        <v>10568</v>
      </c>
      <c r="P34" s="688">
        <f>'P&amp;L'!W51</f>
        <v>8434</v>
      </c>
      <c r="Q34" s="688">
        <f>'P&amp;L'!X51</f>
        <v>8411</v>
      </c>
      <c r="R34" s="688">
        <f>'P&amp;L'!Y51</f>
        <v>7444</v>
      </c>
      <c r="S34" s="688">
        <f>'P&amp;L'!Z51</f>
        <v>7256</v>
      </c>
      <c r="T34" s="688">
        <f>'P&amp;L'!AA51</f>
        <v>7862</v>
      </c>
      <c r="U34" s="688">
        <f>'P&amp;L'!AB51</f>
        <v>7528</v>
      </c>
      <c r="V34" s="688">
        <f>V30-'Cost + BS Assumptions'!AD97</f>
        <v>8019.3168131662615</v>
      </c>
      <c r="W34" s="688">
        <f>W30-'Cost + BS Assumptions'!AE97</f>
        <v>8357.3029100248459</v>
      </c>
      <c r="X34" s="688">
        <f>X30-'Cost + BS Assumptions'!AF97</f>
        <v>8641.1924103560705</v>
      </c>
      <c r="Y34" s="688">
        <f>Y30-'Cost + BS Assumptions'!AG97</f>
        <v>8946.9472925890441</v>
      </c>
      <c r="Z34" s="8"/>
      <c r="AA34" s="8"/>
      <c r="AB34" s="410"/>
      <c r="AC34" s="8"/>
      <c r="AD34" s="8"/>
      <c r="AE34" s="8"/>
      <c r="AF34" s="8"/>
      <c r="AG34" s="8"/>
      <c r="AH34" s="8"/>
      <c r="AI34" s="8"/>
      <c r="AJ34" s="8"/>
      <c r="AK34" s="8"/>
      <c r="AL34" s="8"/>
      <c r="AM34" s="8"/>
      <c r="AN34" s="8"/>
      <c r="AO34" s="8"/>
      <c r="AP34" s="8"/>
      <c r="AQ34" s="8"/>
      <c r="AR34" s="8"/>
      <c r="AS34" s="8"/>
      <c r="AT34" s="8"/>
      <c r="AU34" s="8"/>
      <c r="AV34" s="8"/>
      <c r="AW34" s="8"/>
    </row>
    <row r="35" spans="1:49" ht="15.6">
      <c r="A35" s="8"/>
      <c r="B35" s="985" t="s">
        <v>1099</v>
      </c>
      <c r="C35" s="410" t="s">
        <v>733</v>
      </c>
      <c r="D35" s="343"/>
      <c r="E35" s="343">
        <f t="shared" ref="E35:Y35" si="30">E34/D34-1</f>
        <v>5.6282324307879827E-2</v>
      </c>
      <c r="F35" s="343">
        <f t="shared" si="30"/>
        <v>5.1075268817204256E-2</v>
      </c>
      <c r="G35" s="343">
        <f t="shared" si="30"/>
        <v>-9.2254293021556411E-3</v>
      </c>
      <c r="H35" s="343">
        <f t="shared" si="30"/>
        <v>-6.4165206969668986E-2</v>
      </c>
      <c r="I35" s="343">
        <f t="shared" si="30"/>
        <v>1.672911909171515E-2</v>
      </c>
      <c r="J35" s="343">
        <f t="shared" si="30"/>
        <v>4.0141024269416681E-2</v>
      </c>
      <c r="K35" s="343">
        <f t="shared" si="30"/>
        <v>3.7251104440938709E-2</v>
      </c>
      <c r="L35" s="343">
        <f t="shared" si="30"/>
        <v>-5.4063762909744018E-2</v>
      </c>
      <c r="M35" s="343">
        <f t="shared" si="30"/>
        <v>-7.0352606095129833E-3</v>
      </c>
      <c r="N35" s="343">
        <f t="shared" si="30"/>
        <v>-2.1442087739725002E-2</v>
      </c>
      <c r="O35" s="343">
        <f t="shared" si="30"/>
        <v>3.2572039438233169E-2</v>
      </c>
      <c r="P35" s="343">
        <f t="shared" si="30"/>
        <v>-0.20193035579106733</v>
      </c>
      <c r="Q35" s="343">
        <f t="shared" si="30"/>
        <v>-2.7270571496323948E-3</v>
      </c>
      <c r="R35" s="343">
        <f t="shared" si="30"/>
        <v>-0.11496849363928185</v>
      </c>
      <c r="S35" s="343">
        <f t="shared" si="30"/>
        <v>-2.5255239118753381E-2</v>
      </c>
      <c r="T35" s="343">
        <f t="shared" si="30"/>
        <v>8.351708930540247E-2</v>
      </c>
      <c r="U35" s="343">
        <f t="shared" si="30"/>
        <v>-4.248282879674381E-2</v>
      </c>
      <c r="V35" s="343">
        <f t="shared" si="30"/>
        <v>6.5265251483297204E-2</v>
      </c>
      <c r="W35" s="343">
        <f t="shared" si="30"/>
        <v>4.2146495110864324E-2</v>
      </c>
      <c r="X35" s="343">
        <f t="shared" si="30"/>
        <v>3.3969033238066659E-2</v>
      </c>
      <c r="Y35" s="343">
        <f t="shared" si="30"/>
        <v>3.5383413273675002E-2</v>
      </c>
      <c r="Z35" s="8"/>
      <c r="AA35" s="981" t="s">
        <v>334</v>
      </c>
      <c r="AB35" s="410"/>
      <c r="AC35" s="8"/>
      <c r="AD35" s="8"/>
      <c r="AE35" s="8"/>
      <c r="AF35" s="8"/>
      <c r="AG35" s="8"/>
      <c r="AH35" s="8"/>
      <c r="AI35" s="8"/>
      <c r="AJ35" s="8"/>
      <c r="AK35" s="8"/>
      <c r="AL35" s="8"/>
      <c r="AM35" s="8"/>
      <c r="AN35" s="8"/>
      <c r="AO35" s="8"/>
      <c r="AP35" s="8"/>
      <c r="AQ35" s="8"/>
      <c r="AR35" s="8"/>
      <c r="AS35" s="8"/>
      <c r="AT35" s="8"/>
      <c r="AU35" s="8"/>
      <c r="AV35" s="8"/>
      <c r="AW35" s="8"/>
    </row>
    <row r="36" spans="1:49">
      <c r="A36" s="8"/>
      <c r="B36" s="8"/>
      <c r="C36" s="718"/>
      <c r="D36" s="8"/>
      <c r="E36" s="8"/>
      <c r="F36" s="8"/>
      <c r="G36" s="8"/>
      <c r="H36" s="8"/>
      <c r="I36" s="8"/>
      <c r="J36" s="8"/>
      <c r="K36" s="8"/>
      <c r="L36" s="8"/>
      <c r="M36" s="8"/>
      <c r="N36" s="8"/>
      <c r="O36" s="8"/>
      <c r="P36" s="8"/>
      <c r="Q36" s="8"/>
      <c r="R36" s="8"/>
      <c r="S36" s="8"/>
      <c r="T36" s="8"/>
      <c r="U36" s="8"/>
      <c r="V36" s="8"/>
      <c r="W36" s="8"/>
      <c r="X36" s="8"/>
      <c r="Y36" s="8"/>
      <c r="Z36" s="8"/>
      <c r="AA36" s="388" t="str">
        <f>'Balance Sheet'!$B$5</f>
        <v>Fiscal year ended 30 June</v>
      </c>
      <c r="AB36" s="711" t="s">
        <v>184</v>
      </c>
      <c r="AC36" s="497" t="str">
        <f t="shared" ref="AC36:AW36" si="31">E8</f>
        <v>FY08</v>
      </c>
      <c r="AD36" s="496" t="str">
        <f t="shared" si="31"/>
        <v>FY09</v>
      </c>
      <c r="AE36" s="385" t="str">
        <f t="shared" si="31"/>
        <v>FY10</v>
      </c>
      <c r="AF36" s="385" t="str">
        <f t="shared" si="31"/>
        <v>FY11</v>
      </c>
      <c r="AG36" s="385" t="str">
        <f t="shared" si="31"/>
        <v>FY12</v>
      </c>
      <c r="AH36" s="385" t="str">
        <f t="shared" si="31"/>
        <v>FY13</v>
      </c>
      <c r="AI36" s="385" t="str">
        <f t="shared" si="31"/>
        <v>FY14</v>
      </c>
      <c r="AJ36" s="385" t="str">
        <f t="shared" si="31"/>
        <v>FY15</v>
      </c>
      <c r="AK36" s="498" t="str">
        <f t="shared" si="31"/>
        <v>FY16</v>
      </c>
      <c r="AL36" s="385" t="str">
        <f t="shared" si="31"/>
        <v>FY17</v>
      </c>
      <c r="AM36" s="498" t="str">
        <f t="shared" si="31"/>
        <v>FY18</v>
      </c>
      <c r="AN36" s="386">
        <f t="shared" si="31"/>
        <v>19</v>
      </c>
      <c r="AO36" s="386">
        <f t="shared" si="31"/>
        <v>20</v>
      </c>
      <c r="AP36" s="387">
        <f t="shared" si="31"/>
        <v>21</v>
      </c>
      <c r="AQ36" s="386">
        <f t="shared" si="31"/>
        <v>22</v>
      </c>
      <c r="AR36" s="387">
        <f t="shared" si="31"/>
        <v>23</v>
      </c>
      <c r="AS36" s="386">
        <f t="shared" si="31"/>
        <v>24</v>
      </c>
      <c r="AT36" s="386">
        <f t="shared" si="31"/>
        <v>25</v>
      </c>
      <c r="AU36" s="387">
        <f t="shared" si="31"/>
        <v>26</v>
      </c>
      <c r="AV36" s="387">
        <f t="shared" si="31"/>
        <v>27</v>
      </c>
      <c r="AW36" s="387">
        <f t="shared" si="31"/>
        <v>28</v>
      </c>
    </row>
    <row r="37" spans="1:49">
      <c r="A37" s="8"/>
      <c r="B37" s="9" t="s">
        <v>342</v>
      </c>
      <c r="C37" s="338" t="s">
        <v>732</v>
      </c>
      <c r="D37" s="404">
        <f>'P&amp;L'!K78</f>
        <v>4082</v>
      </c>
      <c r="E37" s="404">
        <f>'P&amp;L'!L78</f>
        <v>4190</v>
      </c>
      <c r="F37" s="404">
        <f>'P&amp;L'!M78</f>
        <v>4390</v>
      </c>
      <c r="G37" s="404">
        <f>'P&amp;L'!N78</f>
        <v>4346</v>
      </c>
      <c r="H37" s="404">
        <f>'P&amp;L'!O78</f>
        <v>4459</v>
      </c>
      <c r="I37" s="404">
        <f>'P&amp;L'!P78</f>
        <v>4412</v>
      </c>
      <c r="J37" s="404">
        <f>'P&amp;L'!Q78</f>
        <v>4238</v>
      </c>
      <c r="K37" s="404">
        <f>'P&amp;L'!R78</f>
        <v>3940</v>
      </c>
      <c r="L37" s="404">
        <f>'P&amp;L'!S78</f>
        <v>3974</v>
      </c>
      <c r="M37" s="404">
        <f>'P&amp;L'!T78</f>
        <v>4155</v>
      </c>
      <c r="N37" s="404">
        <f>'P&amp;L'!U78</f>
        <v>4441</v>
      </c>
      <c r="O37" s="404">
        <f>'P&amp;L'!V78</f>
        <v>4470</v>
      </c>
      <c r="P37" s="404">
        <f>'P&amp;L'!W78</f>
        <v>4282</v>
      </c>
      <c r="Q37" s="404">
        <f>'P&amp;L'!X78</f>
        <v>5338</v>
      </c>
      <c r="R37" s="404">
        <f>'P&amp;L'!Y78</f>
        <v>4646</v>
      </c>
      <c r="S37" s="404">
        <f>'P&amp;L'!Z78</f>
        <v>4358</v>
      </c>
      <c r="T37" s="404">
        <f>'P&amp;L'!AA78</f>
        <v>4470</v>
      </c>
      <c r="U37" s="404">
        <f>'P&amp;L'!AB78</f>
        <v>4479</v>
      </c>
      <c r="V37" s="404">
        <f>'P&amp;L'!AC78</f>
        <v>4691</v>
      </c>
      <c r="W37" s="404">
        <f>'P&amp;L'!AD78</f>
        <v>4694.9664920667183</v>
      </c>
      <c r="X37" s="404">
        <f>'P&amp;L'!AE78</f>
        <v>4809.6394199585275</v>
      </c>
      <c r="Y37" s="404">
        <f>'P&amp;L'!AF78</f>
        <v>4941.5856421078743</v>
      </c>
      <c r="Z37" s="8"/>
      <c r="AA37" s="10" t="s">
        <v>734</v>
      </c>
      <c r="AB37" s="410" t="s">
        <v>732</v>
      </c>
      <c r="AC37" s="989">
        <f>'Cash Flow Statement'!L13</f>
        <v>0</v>
      </c>
      <c r="AD37" s="989">
        <f>'Cash Flow Statement'!M13</f>
        <v>0</v>
      </c>
      <c r="AE37" s="989">
        <f>'Cash Flow Statement'!N13</f>
        <v>0</v>
      </c>
      <c r="AF37" s="989">
        <f>'Cash Flow Statement'!O13</f>
        <v>0</v>
      </c>
      <c r="AG37" s="989">
        <f>'Cash Flow Statement'!P13</f>
        <v>0</v>
      </c>
      <c r="AH37" s="989">
        <f>'Cash Flow Statement'!Q13</f>
        <v>0</v>
      </c>
      <c r="AI37" s="989">
        <f>'Cash Flow Statement'!R13</f>
        <v>0</v>
      </c>
      <c r="AJ37" s="989">
        <f>'Cash Flow Statement'!S13</f>
        <v>0</v>
      </c>
      <c r="AK37" s="989">
        <f>'Cash Flow Statement'!T13</f>
        <v>0</v>
      </c>
      <c r="AL37" s="989">
        <f>'Cash Flow Statement'!U13</f>
        <v>0</v>
      </c>
      <c r="AM37" s="989">
        <f>'Cash Flow Statement'!V13</f>
        <v>0</v>
      </c>
      <c r="AN37" s="989">
        <f>'Cash Flow Statement'!W13</f>
        <v>0</v>
      </c>
      <c r="AO37" s="989">
        <f>'Cash Flow Statement'!X13</f>
        <v>0</v>
      </c>
      <c r="AP37" s="989">
        <f>'Cash Flow Statement'!Y13</f>
        <v>0</v>
      </c>
      <c r="AQ37" s="989">
        <f>'Cash Flow Statement'!Z13</f>
        <v>0</v>
      </c>
      <c r="AR37" s="989">
        <f>'Cash Flow Statement'!AA13</f>
        <v>0</v>
      </c>
      <c r="AS37" s="989">
        <f>'Cash Flow Statement'!AB13</f>
        <v>0</v>
      </c>
      <c r="AT37" s="989">
        <f>'Cash Flow Statement'!AC13</f>
        <v>0</v>
      </c>
      <c r="AU37" s="989">
        <f>'Cash Flow Statement'!AD13</f>
        <v>8962.3524705260606</v>
      </c>
      <c r="AV37" s="989">
        <f>'Cash Flow Statement'!AE13</f>
        <v>9249.6083445247623</v>
      </c>
      <c r="AW37" s="989">
        <f>'Cash Flow Statement'!AF13</f>
        <v>9558.7296004252148</v>
      </c>
    </row>
    <row r="38" spans="1:49">
      <c r="A38" s="8"/>
      <c r="B38" s="985" t="s">
        <v>1099</v>
      </c>
      <c r="C38" s="410" t="s">
        <v>733</v>
      </c>
      <c r="D38" s="343"/>
      <c r="E38" s="343">
        <f t="shared" ref="E38:Y38" si="32">E37/D37-1</f>
        <v>2.6457618814306638E-2</v>
      </c>
      <c r="F38" s="343">
        <f t="shared" si="32"/>
        <v>4.7732696897374804E-2</v>
      </c>
      <c r="G38" s="343">
        <f t="shared" si="32"/>
        <v>-1.0022779043280194E-2</v>
      </c>
      <c r="H38" s="343">
        <f t="shared" si="32"/>
        <v>2.6000920386562321E-2</v>
      </c>
      <c r="I38" s="343">
        <f t="shared" si="32"/>
        <v>-1.0540479928235036E-2</v>
      </c>
      <c r="J38" s="343">
        <f t="shared" si="32"/>
        <v>-3.9437896645512227E-2</v>
      </c>
      <c r="K38" s="343">
        <f t="shared" si="32"/>
        <v>-7.0316186880604037E-2</v>
      </c>
      <c r="L38" s="343">
        <f t="shared" si="32"/>
        <v>8.6294416243655192E-3</v>
      </c>
      <c r="M38" s="343">
        <f t="shared" si="32"/>
        <v>4.5546049320583704E-2</v>
      </c>
      <c r="N38" s="343">
        <f t="shared" si="32"/>
        <v>6.8832731648616141E-2</v>
      </c>
      <c r="O38" s="343">
        <f t="shared" si="32"/>
        <v>6.5300607971177094E-3</v>
      </c>
      <c r="P38" s="343">
        <f t="shared" si="32"/>
        <v>-4.2058165548098381E-2</v>
      </c>
      <c r="Q38" s="343">
        <f t="shared" si="32"/>
        <v>0.2466137319009809</v>
      </c>
      <c r="R38" s="343">
        <f t="shared" si="32"/>
        <v>-0.12963656800299739</v>
      </c>
      <c r="S38" s="343">
        <f t="shared" si="32"/>
        <v>-6.1988807576409788E-2</v>
      </c>
      <c r="T38" s="343">
        <f t="shared" si="32"/>
        <v>2.5699862322166034E-2</v>
      </c>
      <c r="U38" s="343">
        <f t="shared" si="32"/>
        <v>2.0134228187920211E-3</v>
      </c>
      <c r="V38" s="343">
        <f t="shared" si="32"/>
        <v>4.7331993748604528E-2</v>
      </c>
      <c r="W38" s="343">
        <f t="shared" si="32"/>
        <v>8.4555362752469776E-4</v>
      </c>
      <c r="X38" s="343">
        <f t="shared" si="32"/>
        <v>2.4424653101481564E-2</v>
      </c>
      <c r="Y38" s="343">
        <f t="shared" si="32"/>
        <v>2.7433703574910595E-2</v>
      </c>
      <c r="Z38" s="8"/>
      <c r="AA38" s="10" t="s">
        <v>404</v>
      </c>
      <c r="AB38" s="410" t="s">
        <v>732</v>
      </c>
      <c r="AC38" s="989">
        <f>'Cash Flow Statement'!L14</f>
        <v>0</v>
      </c>
      <c r="AD38" s="989">
        <f>'Cash Flow Statement'!M14</f>
        <v>0</v>
      </c>
      <c r="AE38" s="989">
        <f>'Cash Flow Statement'!N14</f>
        <v>0</v>
      </c>
      <c r="AF38" s="989">
        <f>'Cash Flow Statement'!O14</f>
        <v>0</v>
      </c>
      <c r="AG38" s="989">
        <f>'Cash Flow Statement'!P14</f>
        <v>0</v>
      </c>
      <c r="AH38" s="989">
        <f>'Cash Flow Statement'!Q14</f>
        <v>0</v>
      </c>
      <c r="AI38" s="989">
        <f>'Cash Flow Statement'!R14</f>
        <v>0</v>
      </c>
      <c r="AJ38" s="989">
        <f>'Cash Flow Statement'!S14</f>
        <v>0</v>
      </c>
      <c r="AK38" s="989">
        <f>'Cash Flow Statement'!T14</f>
        <v>0</v>
      </c>
      <c r="AL38" s="989">
        <f>'Cash Flow Statement'!U14</f>
        <v>0</v>
      </c>
      <c r="AM38" s="989">
        <f>'Cash Flow Statement'!V14</f>
        <v>0</v>
      </c>
      <c r="AN38" s="989">
        <f>'Cash Flow Statement'!W14</f>
        <v>0</v>
      </c>
      <c r="AO38" s="989">
        <f>'Cash Flow Statement'!X14</f>
        <v>0</v>
      </c>
      <c r="AP38" s="989">
        <f>'Cash Flow Statement'!Y14</f>
        <v>0</v>
      </c>
      <c r="AQ38" s="989">
        <f>'Cash Flow Statement'!Z14</f>
        <v>0</v>
      </c>
      <c r="AR38" s="989">
        <f>'Cash Flow Statement'!AA14</f>
        <v>0</v>
      </c>
      <c r="AS38" s="989">
        <f>'Cash Flow Statement'!AB14</f>
        <v>0</v>
      </c>
      <c r="AT38" s="989">
        <f>'Cash Flow Statement'!AC14</f>
        <v>0</v>
      </c>
      <c r="AU38" s="989">
        <f>'Cash Flow Statement'!AD14</f>
        <v>-2.9377566532086803</v>
      </c>
      <c r="AV38" s="989">
        <f>'Cash Flow Statement'!AE14</f>
        <v>11.626527722428818</v>
      </c>
      <c r="AW38" s="989">
        <f>'Cash Flow Statement'!AF14</f>
        <v>12.457952985412248</v>
      </c>
    </row>
    <row r="39" spans="1:49">
      <c r="A39" s="8"/>
      <c r="B39" s="9" t="s">
        <v>31</v>
      </c>
      <c r="C39" s="338" t="s">
        <v>732</v>
      </c>
      <c r="D39" s="404">
        <f t="shared" ref="D39:M39" si="33">D30-D37</f>
        <v>5778.9999999999982</v>
      </c>
      <c r="E39" s="404">
        <f t="shared" si="33"/>
        <v>6226</v>
      </c>
      <c r="F39" s="404">
        <f t="shared" si="33"/>
        <v>6558</v>
      </c>
      <c r="G39" s="404">
        <f t="shared" si="33"/>
        <v>6501</v>
      </c>
      <c r="H39" s="404">
        <f t="shared" si="33"/>
        <v>5692</v>
      </c>
      <c r="I39" s="404">
        <f t="shared" si="33"/>
        <v>5908.8172878999994</v>
      </c>
      <c r="J39" s="404">
        <f t="shared" si="33"/>
        <v>6497.105465133809</v>
      </c>
      <c r="K39" s="404">
        <f t="shared" si="33"/>
        <v>7195</v>
      </c>
      <c r="L39" s="404">
        <f t="shared" si="33"/>
        <v>6559</v>
      </c>
      <c r="M39" s="404">
        <f t="shared" si="33"/>
        <v>6049.8976000000002</v>
      </c>
      <c r="N39" s="404">
        <f>'P&amp;L'!U80</f>
        <v>5793.6370000000006</v>
      </c>
      <c r="O39" s="404">
        <f t="shared" ref="O39:T39" si="34">O30-O37</f>
        <v>4262</v>
      </c>
      <c r="P39" s="404">
        <f t="shared" si="34"/>
        <v>3921</v>
      </c>
      <c r="Q39" s="404">
        <f t="shared" si="34"/>
        <v>2071</v>
      </c>
      <c r="R39" s="404">
        <f t="shared" si="34"/>
        <v>2043</v>
      </c>
      <c r="S39" s="404">
        <f t="shared" si="34"/>
        <v>2893</v>
      </c>
      <c r="T39" s="404">
        <f t="shared" si="34"/>
        <v>3480</v>
      </c>
      <c r="U39" s="404">
        <f>U30-U37</f>
        <v>3764</v>
      </c>
      <c r="V39" s="404">
        <f>V30-V37</f>
        <v>3930</v>
      </c>
      <c r="W39" s="404">
        <f>W30-W37</f>
        <v>4267.3859784593424</v>
      </c>
      <c r="X39" s="404">
        <f>X30-X37</f>
        <v>4439.9689245662348</v>
      </c>
      <c r="Y39" s="404">
        <f>Y30-Y37</f>
        <v>4617.1439583173405</v>
      </c>
      <c r="Z39" s="984"/>
      <c r="AA39" s="8" t="s">
        <v>341</v>
      </c>
      <c r="AB39" s="410" t="s">
        <v>732</v>
      </c>
      <c r="AC39" s="989">
        <f>'Cash Flow Statement'!L50</f>
        <v>-1141</v>
      </c>
      <c r="AD39" s="989">
        <f>'Cash Flow Statement'!M50</f>
        <v>-1156</v>
      </c>
      <c r="AE39" s="989">
        <f>'Cash Flow Statement'!N50</f>
        <v>-976</v>
      </c>
      <c r="AF39" s="989">
        <f>'Cash Flow Statement'!O50</f>
        <v>-1013</v>
      </c>
      <c r="AG39" s="989">
        <f>'Cash Flow Statement'!P50</f>
        <v>-1037</v>
      </c>
      <c r="AH39" s="989">
        <f>'Cash Flow Statement'!Q50</f>
        <v>-801</v>
      </c>
      <c r="AI39" s="989">
        <f>'Cash Flow Statement'!R50</f>
        <v>-797</v>
      </c>
      <c r="AJ39" s="989">
        <f>'Cash Flow Statement'!S50</f>
        <v>-749</v>
      </c>
      <c r="AK39" s="989">
        <f>'Cash Flow Statement'!T50</f>
        <v>-729</v>
      </c>
      <c r="AL39" s="989">
        <f>'Cash Flow Statement'!U50</f>
        <v>-745</v>
      </c>
      <c r="AM39" s="989">
        <f>'Cash Flow Statement'!V50</f>
        <v>-711</v>
      </c>
      <c r="AN39" s="989">
        <f>'Cash Flow Statement'!W50</f>
        <v>-748</v>
      </c>
      <c r="AO39" s="989">
        <f>'Cash Flow Statement'!X50</f>
        <v>-786</v>
      </c>
      <c r="AP39" s="989">
        <f>'Cash Flow Statement'!Y50</f>
        <v>-595</v>
      </c>
      <c r="AQ39" s="989">
        <f>'Cash Flow Statement'!Z50</f>
        <v>0</v>
      </c>
      <c r="AR39" s="989">
        <f>'Cash Flow Statement'!AA50</f>
        <v>0</v>
      </c>
      <c r="AS39" s="989">
        <f>'Cash Flow Statement'!AB50</f>
        <v>0</v>
      </c>
      <c r="AT39" s="989">
        <f>'Cash Flow Statement'!AC50</f>
        <v>0</v>
      </c>
      <c r="AU39" s="989">
        <f>'Cash Flow Statement'!AD50</f>
        <v>-633.90000000000009</v>
      </c>
      <c r="AV39" s="989">
        <f>'Cash Flow Statement'!AE50</f>
        <v>-663.90000000000009</v>
      </c>
      <c r="AW39" s="989">
        <f>'Cash Flow Statement'!AF50</f>
        <v>-693.90000000000009</v>
      </c>
    </row>
    <row r="40" spans="1:49">
      <c r="A40" s="8"/>
      <c r="B40" s="985" t="s">
        <v>1099</v>
      </c>
      <c r="C40" s="410" t="s">
        <v>733</v>
      </c>
      <c r="D40" s="343"/>
      <c r="E40" s="343">
        <f t="shared" ref="E40:Y40" si="35">E39/D39-1</f>
        <v>7.7349022322201311E-2</v>
      </c>
      <c r="F40" s="343">
        <f t="shared" si="35"/>
        <v>5.3324767105685789E-2</v>
      </c>
      <c r="G40" s="343">
        <f t="shared" si="35"/>
        <v>-8.6916742909423084E-3</v>
      </c>
      <c r="H40" s="343">
        <f t="shared" si="35"/>
        <v>-0.12444239347792652</v>
      </c>
      <c r="I40" s="343">
        <f t="shared" si="35"/>
        <v>3.8091582554462322E-2</v>
      </c>
      <c r="J40" s="343">
        <f t="shared" si="35"/>
        <v>9.9561070950441977E-2</v>
      </c>
      <c r="K40" s="343">
        <f t="shared" si="35"/>
        <v>0.1074162238263463</v>
      </c>
      <c r="L40" s="343">
        <f t="shared" si="35"/>
        <v>-8.8394718554551721E-2</v>
      </c>
      <c r="M40" s="343">
        <f t="shared" si="35"/>
        <v>-7.7618905320933074E-2</v>
      </c>
      <c r="N40" s="343">
        <f t="shared" si="35"/>
        <v>-4.235784089965422E-2</v>
      </c>
      <c r="O40" s="343">
        <f t="shared" si="35"/>
        <v>-0.26436537187262521</v>
      </c>
      <c r="P40" s="343">
        <f t="shared" si="35"/>
        <v>-8.0009385265133792E-2</v>
      </c>
      <c r="Q40" s="343">
        <f t="shared" si="35"/>
        <v>-0.47181841366998212</v>
      </c>
      <c r="R40" s="343">
        <f t="shared" si="35"/>
        <v>-1.3520038628681785E-2</v>
      </c>
      <c r="S40" s="343">
        <f t="shared" si="35"/>
        <v>0.416054821341165</v>
      </c>
      <c r="T40" s="343">
        <f t="shared" si="35"/>
        <v>0.20290356031800894</v>
      </c>
      <c r="U40" s="343">
        <f t="shared" si="35"/>
        <v>8.1609195402298829E-2</v>
      </c>
      <c r="V40" s="343">
        <f t="shared" si="35"/>
        <v>4.4102019128586578E-2</v>
      </c>
      <c r="W40" s="343">
        <f t="shared" si="35"/>
        <v>8.5848849480748779E-2</v>
      </c>
      <c r="X40" s="343">
        <f t="shared" si="35"/>
        <v>4.0442309877298799E-2</v>
      </c>
      <c r="Y40" s="343">
        <f t="shared" si="35"/>
        <v>3.9904566171803824E-2</v>
      </c>
      <c r="Z40" s="8"/>
      <c r="AA40" s="8" t="s">
        <v>351</v>
      </c>
      <c r="AB40" s="410" t="s">
        <v>732</v>
      </c>
      <c r="AC40" s="989">
        <f>'Cash Flow Statement'!L18</f>
        <v>-1531</v>
      </c>
      <c r="AD40" s="989">
        <f>'Cash Flow Statement'!M18</f>
        <v>-1647</v>
      </c>
      <c r="AE40" s="989">
        <f>'Cash Flow Statement'!N18</f>
        <v>-1219</v>
      </c>
      <c r="AF40" s="989">
        <f>'Cash Flow Statement'!O18</f>
        <v>-1511</v>
      </c>
      <c r="AG40" s="989">
        <f>'Cash Flow Statement'!P18</f>
        <v>-1597</v>
      </c>
      <c r="AH40" s="989">
        <f>'Cash Flow Statement'!Q18</f>
        <v>-1500</v>
      </c>
      <c r="AI40" s="989">
        <f>'Cash Flow Statement'!R18</f>
        <v>-1774</v>
      </c>
      <c r="AJ40" s="989">
        <f>'Cash Flow Statement'!S18</f>
        <v>-1755</v>
      </c>
      <c r="AK40" s="989">
        <f>'Cash Flow Statement'!T18</f>
        <v>-1860</v>
      </c>
      <c r="AL40" s="989">
        <f>'Cash Flow Statement'!U18</f>
        <v>-1751</v>
      </c>
      <c r="AM40" s="989">
        <f>'Cash Flow Statement'!V18</f>
        <v>-1521</v>
      </c>
      <c r="AN40" s="989">
        <f>'Cash Flow Statement'!W18</f>
        <v>-956</v>
      </c>
      <c r="AO40" s="989">
        <f>'Cash Flow Statement'!X18</f>
        <v>-754</v>
      </c>
      <c r="AP40" s="989">
        <f>'Cash Flow Statement'!Y18</f>
        <v>-762</v>
      </c>
      <c r="AQ40" s="989">
        <f>'Cash Flow Statement'!Z18</f>
        <v>-819</v>
      </c>
      <c r="AR40" s="989">
        <f>'Cash Flow Statement'!AA18</f>
        <v>-933</v>
      </c>
      <c r="AS40" s="989">
        <f>'Cash Flow Statement'!AB18</f>
        <v>-946</v>
      </c>
      <c r="AT40" s="989">
        <f>'Cash Flow Statement'!AC18</f>
        <v>-980</v>
      </c>
      <c r="AU40" s="989">
        <f>'Cash Flow Statement'!AD18</f>
        <v>-1035.2885612815819</v>
      </c>
      <c r="AV40" s="989">
        <f>'Cash Flow Statement'!AE18</f>
        <v>-1075.914696627475</v>
      </c>
      <c r="AW40" s="989">
        <f>'Cash Flow Statement'!AF18</f>
        <v>-1117.8492547493581</v>
      </c>
    </row>
    <row r="41" spans="1:49">
      <c r="A41" s="8"/>
      <c r="B41" s="8" t="s">
        <v>22</v>
      </c>
      <c r="C41" s="410" t="s">
        <v>732</v>
      </c>
      <c r="D41" s="425">
        <f>'P&amp;L'!K85</f>
        <v>-1087</v>
      </c>
      <c r="E41" s="425">
        <f>'P&amp;L'!L85</f>
        <v>-1086</v>
      </c>
      <c r="F41" s="425">
        <f>'P&amp;L'!M85</f>
        <v>-900</v>
      </c>
      <c r="G41" s="425">
        <f>'P&amp;L'!N85</f>
        <v>-963</v>
      </c>
      <c r="H41" s="425">
        <f>'P&amp;L'!O85</f>
        <v>-1135</v>
      </c>
      <c r="I41" s="425">
        <f>'P&amp;L'!P85</f>
        <v>-888</v>
      </c>
      <c r="J41" s="425">
        <f>'P&amp;L'!Q85</f>
        <v>-909</v>
      </c>
      <c r="K41" s="425">
        <f>'P&amp;L'!R85</f>
        <v>-957</v>
      </c>
      <c r="L41" s="425">
        <f>'P&amp;L'!S85</f>
        <v>-689</v>
      </c>
      <c r="M41" s="425">
        <f>'P&amp;L'!T85</f>
        <v>-710</v>
      </c>
      <c r="N41" s="425">
        <f>'P&amp;L'!U85</f>
        <v>-591</v>
      </c>
      <c r="O41" s="425">
        <f>'P&amp;L'!V85</f>
        <v>-588</v>
      </c>
      <c r="P41" s="425">
        <f>'P&amp;L'!W85</f>
        <v>-694</v>
      </c>
      <c r="Q41" s="425">
        <f>'P&amp;L'!X85</f>
        <v>-771</v>
      </c>
      <c r="R41" s="425">
        <f>'P&amp;L'!Y85</f>
        <v>-551</v>
      </c>
      <c r="S41" s="425">
        <f>'P&amp;L'!Z85</f>
        <v>-417</v>
      </c>
      <c r="T41" s="425">
        <f>'P&amp;L'!AA85</f>
        <v>-529</v>
      </c>
      <c r="U41" s="425">
        <f>'P&amp;L'!AB85</f>
        <v>-584</v>
      </c>
      <c r="V41" s="425">
        <f>'P&amp;L'!AC85</f>
        <v>-639</v>
      </c>
      <c r="W41" s="425">
        <f>'P&amp;L'!AD85</f>
        <v>-633.90000000000009</v>
      </c>
      <c r="X41" s="425">
        <f>'P&amp;L'!AE85</f>
        <v>-663.90000000000009</v>
      </c>
      <c r="Y41" s="425">
        <f>'P&amp;L'!AF85</f>
        <v>-693.90000000000009</v>
      </c>
      <c r="Z41" s="8"/>
      <c r="AA41" s="10" t="s">
        <v>636</v>
      </c>
      <c r="AB41" s="410" t="s">
        <v>732</v>
      </c>
      <c r="AC41" s="989">
        <f>'Cash Flow Statement'!L15</f>
        <v>0</v>
      </c>
      <c r="AD41" s="989">
        <f>'Cash Flow Statement'!M15</f>
        <v>0</v>
      </c>
      <c r="AE41" s="989">
        <f>'Cash Flow Statement'!N15</f>
        <v>0</v>
      </c>
      <c r="AF41" s="989">
        <f>'Cash Flow Statement'!O15</f>
        <v>0</v>
      </c>
      <c r="AG41" s="989">
        <f>'Cash Flow Statement'!P15</f>
        <v>0</v>
      </c>
      <c r="AH41" s="989">
        <f>'Cash Flow Statement'!Q15</f>
        <v>0</v>
      </c>
      <c r="AI41" s="989">
        <f>'Cash Flow Statement'!R15</f>
        <v>0</v>
      </c>
      <c r="AJ41" s="989">
        <f>'Cash Flow Statement'!S15</f>
        <v>0</v>
      </c>
      <c r="AK41" s="989">
        <f>'Cash Flow Statement'!T15</f>
        <v>0</v>
      </c>
      <c r="AL41" s="989">
        <f>'Cash Flow Statement'!U15</f>
        <v>0</v>
      </c>
      <c r="AM41" s="989">
        <f>'Cash Flow Statement'!V15</f>
        <v>0</v>
      </c>
      <c r="AN41" s="989">
        <f>'Cash Flow Statement'!W15</f>
        <v>0</v>
      </c>
      <c r="AO41" s="989">
        <f>'Cash Flow Statement'!X15</f>
        <v>0</v>
      </c>
      <c r="AP41" s="989">
        <f>'Cash Flow Statement'!Y15</f>
        <v>0</v>
      </c>
      <c r="AQ41" s="989">
        <f>'Cash Flow Statement'!Z15</f>
        <v>0</v>
      </c>
      <c r="AR41" s="989">
        <f>'Cash Flow Statement'!AA15</f>
        <v>0</v>
      </c>
      <c r="AS41" s="989">
        <f>'Cash Flow Statement'!AB15</f>
        <v>0</v>
      </c>
      <c r="AT41" s="989">
        <f>'Cash Flow Statement'!AC15</f>
        <v>0</v>
      </c>
      <c r="AU41" s="989">
        <f>'Cash Flow Statement'!AD15</f>
        <v>-180</v>
      </c>
      <c r="AV41" s="989">
        <f>'Cash Flow Statement'!AE15</f>
        <v>-180</v>
      </c>
      <c r="AW41" s="989">
        <f>'Cash Flow Statement'!AF15</f>
        <v>-180</v>
      </c>
    </row>
    <row r="42" spans="1:49">
      <c r="A42" s="8"/>
      <c r="B42" s="9" t="s">
        <v>335</v>
      </c>
      <c r="C42" s="338" t="s">
        <v>732</v>
      </c>
      <c r="D42" s="404">
        <f>'P&amp;L'!K86</f>
        <v>4691.9999999999982</v>
      </c>
      <c r="E42" s="404">
        <f>'P&amp;L'!L86</f>
        <v>5140</v>
      </c>
      <c r="F42" s="404">
        <f>'P&amp;L'!M86</f>
        <v>5658</v>
      </c>
      <c r="G42" s="404">
        <f>'P&amp;L'!N86</f>
        <v>5538</v>
      </c>
      <c r="H42" s="404">
        <f>'P&amp;L'!O86</f>
        <v>4557</v>
      </c>
      <c r="I42" s="404">
        <f>'P&amp;L'!P86</f>
        <v>5020.8172878999994</v>
      </c>
      <c r="J42" s="404">
        <f>'P&amp;L'!Q86</f>
        <v>5588.105465133809</v>
      </c>
      <c r="K42" s="404">
        <f>'P&amp;L'!R86</f>
        <v>6238</v>
      </c>
      <c r="L42" s="404">
        <f>'P&amp;L'!S86</f>
        <v>5870</v>
      </c>
      <c r="M42" s="404">
        <f>'P&amp;L'!T86</f>
        <v>5593.8976000000002</v>
      </c>
      <c r="N42" s="404">
        <f>'P&amp;L'!U86</f>
        <v>5202.6370000000006</v>
      </c>
      <c r="O42" s="404">
        <f>'P&amp;L'!V86</f>
        <v>5510</v>
      </c>
      <c r="P42" s="404">
        <f>'P&amp;L'!W86</f>
        <v>3008</v>
      </c>
      <c r="Q42" s="404">
        <f>'P&amp;L'!X86</f>
        <v>2796</v>
      </c>
      <c r="R42" s="404">
        <f>'P&amp;L'!Y86</f>
        <v>2441</v>
      </c>
      <c r="S42" s="404">
        <f>'P&amp;L'!Z86</f>
        <v>2481</v>
      </c>
      <c r="T42" s="404">
        <f>'P&amp;L'!AA86</f>
        <v>2863</v>
      </c>
      <c r="U42" s="404">
        <f>'P&amp;L'!AB86</f>
        <v>2465</v>
      </c>
      <c r="V42" s="404">
        <f>'P&amp;L'!AC86</f>
        <v>3278</v>
      </c>
      <c r="W42" s="404">
        <f>'P&amp;L'!AD86</f>
        <v>3633.4859784593423</v>
      </c>
      <c r="X42" s="404">
        <f>'P&amp;L'!AE86</f>
        <v>3776.0689245662347</v>
      </c>
      <c r="Y42" s="404">
        <f>'P&amp;L'!AF86</f>
        <v>3923.2439583173405</v>
      </c>
      <c r="Z42" s="8"/>
      <c r="AA42" s="9" t="s">
        <v>17</v>
      </c>
      <c r="AB42" s="338" t="s">
        <v>732</v>
      </c>
      <c r="AC42" s="986">
        <f>'Cash Flow Statement'!L20</f>
        <v>7703</v>
      </c>
      <c r="AD42" s="986">
        <f>'Cash Flow Statement'!M20</f>
        <v>7842</v>
      </c>
      <c r="AE42" s="986">
        <f>'Cash Flow Statement'!N20</f>
        <v>8715</v>
      </c>
      <c r="AF42" s="986">
        <f>'Cash Flow Statement'!O20</f>
        <v>7005</v>
      </c>
      <c r="AG42" s="986">
        <f>'Cash Flow Statement'!P20</f>
        <v>8239</v>
      </c>
      <c r="AH42" s="986">
        <f>'Cash Flow Statement'!Q20</f>
        <v>7558</v>
      </c>
      <c r="AI42" s="986">
        <f>'Cash Flow Statement'!R20</f>
        <v>7816</v>
      </c>
      <c r="AJ42" s="986">
        <f>'Cash Flow Statement'!S20</f>
        <v>7562</v>
      </c>
      <c r="AK42" s="986">
        <f>'Cash Flow Statement'!T20</f>
        <v>7404</v>
      </c>
      <c r="AL42" s="986">
        <f>'Cash Flow Statement'!U20</f>
        <v>7030</v>
      </c>
      <c r="AM42" s="986">
        <f>'Cash Flow Statement'!V20</f>
        <v>7986</v>
      </c>
      <c r="AN42" s="986">
        <f>'Cash Flow Statement'!W20</f>
        <v>5941</v>
      </c>
      <c r="AO42" s="986">
        <f>'Cash Flow Statement'!X20</f>
        <v>6097</v>
      </c>
      <c r="AP42" s="986">
        <f>'Cash Flow Statement'!Y20</f>
        <v>6490</v>
      </c>
      <c r="AQ42" s="986">
        <f>'Cash Flow Statement'!Z20</f>
        <v>7249</v>
      </c>
      <c r="AR42" s="986">
        <f>'Cash Flow Statement'!AA20</f>
        <v>6802</v>
      </c>
      <c r="AS42" s="986">
        <f>'Cash Flow Statement'!AB20</f>
        <v>7049</v>
      </c>
      <c r="AT42" s="986">
        <f>'Cash Flow Statement'!AC20</f>
        <v>7324</v>
      </c>
      <c r="AU42" s="986">
        <f>'Cash Flow Statement'!AD20</f>
        <v>7744.1261525912696</v>
      </c>
      <c r="AV42" s="986">
        <f>'Cash Flow Statement'!AE20</f>
        <v>8005.3201756197159</v>
      </c>
      <c r="AW42" s="986">
        <f>'Cash Flow Statement'!AF20</f>
        <v>8273.3382986612687</v>
      </c>
    </row>
    <row r="43" spans="1:49">
      <c r="A43" s="8"/>
      <c r="B43" s="8" t="s">
        <v>23</v>
      </c>
      <c r="C43" s="410" t="s">
        <v>732</v>
      </c>
      <c r="D43" s="425">
        <f>'P&amp;L'!K87</f>
        <v>-1417</v>
      </c>
      <c r="E43" s="425">
        <f>'P&amp;L'!L87</f>
        <v>-1429</v>
      </c>
      <c r="F43" s="425">
        <f>'P&amp;L'!M87</f>
        <v>-1582</v>
      </c>
      <c r="G43" s="425">
        <f>'P&amp;L'!N87</f>
        <v>-1598</v>
      </c>
      <c r="H43" s="425">
        <f>'P&amp;L'!O87</f>
        <v>-1307</v>
      </c>
      <c r="I43" s="425">
        <f>'P&amp;L'!P87</f>
        <v>-1510</v>
      </c>
      <c r="J43" s="425">
        <f>'P&amp;L'!Q87</f>
        <v>-1617</v>
      </c>
      <c r="K43" s="425">
        <f>'P&amp;L'!R87</f>
        <v>-1680</v>
      </c>
      <c r="L43" s="425">
        <f>'P&amp;L'!S87</f>
        <v>-1787</v>
      </c>
      <c r="M43" s="425">
        <f>'P&amp;L'!T87</f>
        <v>-1768</v>
      </c>
      <c r="N43" s="425">
        <f>'P&amp;L'!U87</f>
        <v>-1773</v>
      </c>
      <c r="O43" s="425">
        <f>'P&amp;L'!V87</f>
        <v>-1582</v>
      </c>
      <c r="P43" s="425">
        <f>'P&amp;L'!W87</f>
        <v>-903</v>
      </c>
      <c r="Q43" s="425">
        <f>'P&amp;L'!X87</f>
        <v>-957</v>
      </c>
      <c r="R43" s="425">
        <f>'P&amp;L'!Y87</f>
        <v>-539</v>
      </c>
      <c r="S43" s="425">
        <f>'P&amp;L'!Z87</f>
        <v>-667</v>
      </c>
      <c r="T43" s="425">
        <f>'P&amp;L'!AA87</f>
        <v>-812</v>
      </c>
      <c r="U43" s="425">
        <f>'P&amp;L'!AB87</f>
        <v>-677</v>
      </c>
      <c r="V43" s="425">
        <f>'P&amp;L'!AC87</f>
        <v>-934</v>
      </c>
      <c r="W43" s="425">
        <f>'P&amp;L'!AD87</f>
        <v>-1035.2885612815819</v>
      </c>
      <c r="X43" s="425">
        <f>'P&amp;L'!AE87</f>
        <v>-1075.914696627475</v>
      </c>
      <c r="Y43" s="425">
        <f>'P&amp;L'!AF87</f>
        <v>-1117.8492547493581</v>
      </c>
      <c r="Z43" s="8"/>
      <c r="AA43" s="985" t="s">
        <v>1099</v>
      </c>
      <c r="AB43" s="410" t="s">
        <v>733</v>
      </c>
      <c r="AC43" s="990"/>
      <c r="AD43" s="990">
        <f t="shared" ref="AD43:AM43" si="36">AD42/AC42-1</f>
        <v>1.804491756458515E-2</v>
      </c>
      <c r="AE43" s="990">
        <f t="shared" si="36"/>
        <v>0.11132364192807964</v>
      </c>
      <c r="AF43" s="990">
        <f t="shared" si="36"/>
        <v>-0.19621342512908779</v>
      </c>
      <c r="AG43" s="990">
        <f t="shared" si="36"/>
        <v>0.17615988579586017</v>
      </c>
      <c r="AH43" s="990">
        <f t="shared" si="36"/>
        <v>-8.2655662094914484E-2</v>
      </c>
      <c r="AI43" s="990">
        <f t="shared" si="36"/>
        <v>3.4136014818735072E-2</v>
      </c>
      <c r="AJ43" s="990">
        <f t="shared" si="36"/>
        <v>-3.2497441146366435E-2</v>
      </c>
      <c r="AK43" s="990">
        <f t="shared" si="36"/>
        <v>-2.0893943401216641E-2</v>
      </c>
      <c r="AL43" s="990">
        <f t="shared" si="36"/>
        <v>-5.051323608860081E-2</v>
      </c>
      <c r="AM43" s="990">
        <f t="shared" si="36"/>
        <v>0.13598862019914648</v>
      </c>
      <c r="AN43" s="990">
        <f t="shared" ref="AN43:AW43" si="37">AN42/AM42-1</f>
        <v>-0.25607312797395443</v>
      </c>
      <c r="AO43" s="990">
        <f t="shared" si="37"/>
        <v>2.6258205689277947E-2</v>
      </c>
      <c r="AP43" s="990">
        <f t="shared" si="37"/>
        <v>6.4457930129572016E-2</v>
      </c>
      <c r="AQ43" s="990">
        <f t="shared" si="37"/>
        <v>0.11694915254237293</v>
      </c>
      <c r="AR43" s="990">
        <f t="shared" si="37"/>
        <v>-6.1663677748654999E-2</v>
      </c>
      <c r="AS43" s="990">
        <f t="shared" si="37"/>
        <v>3.6312849162011274E-2</v>
      </c>
      <c r="AT43" s="990">
        <f t="shared" si="37"/>
        <v>3.9012625904383702E-2</v>
      </c>
      <c r="AU43" s="990">
        <f t="shared" si="37"/>
        <v>5.7362937273521153E-2</v>
      </c>
      <c r="AV43" s="990">
        <f t="shared" si="37"/>
        <v>3.3728017581563741E-2</v>
      </c>
      <c r="AW43" s="990">
        <f t="shared" si="37"/>
        <v>3.3480000444929603E-2</v>
      </c>
    </row>
    <row r="44" spans="1:49">
      <c r="A44" s="8"/>
      <c r="B44" s="9" t="s">
        <v>24</v>
      </c>
      <c r="C44" s="338" t="s">
        <v>732</v>
      </c>
      <c r="D44" s="404">
        <f t="shared" ref="D44:Q44" si="38">D42+D43</f>
        <v>3274.9999999999982</v>
      </c>
      <c r="E44" s="404">
        <f t="shared" si="38"/>
        <v>3711</v>
      </c>
      <c r="F44" s="404">
        <f t="shared" si="38"/>
        <v>4076</v>
      </c>
      <c r="G44" s="404">
        <f t="shared" si="38"/>
        <v>3940</v>
      </c>
      <c r="H44" s="404">
        <f t="shared" si="38"/>
        <v>3250</v>
      </c>
      <c r="I44" s="404">
        <f t="shared" si="38"/>
        <v>3510.8172878999994</v>
      </c>
      <c r="J44" s="404">
        <f t="shared" si="38"/>
        <v>3971.105465133809</v>
      </c>
      <c r="K44" s="404">
        <f t="shared" si="38"/>
        <v>4558</v>
      </c>
      <c r="L44" s="404">
        <f t="shared" si="38"/>
        <v>4083</v>
      </c>
      <c r="M44" s="404">
        <f t="shared" si="38"/>
        <v>3825.8976000000002</v>
      </c>
      <c r="N44" s="404">
        <f t="shared" si="38"/>
        <v>3429.6370000000006</v>
      </c>
      <c r="O44" s="404">
        <f t="shared" si="38"/>
        <v>3928</v>
      </c>
      <c r="P44" s="404">
        <f t="shared" si="38"/>
        <v>2105</v>
      </c>
      <c r="Q44" s="404">
        <f t="shared" si="38"/>
        <v>1839</v>
      </c>
      <c r="R44" s="404">
        <f t="shared" ref="R44:T44" si="39">R42+R43</f>
        <v>1902</v>
      </c>
      <c r="S44" s="404">
        <f t="shared" si="39"/>
        <v>1814</v>
      </c>
      <c r="T44" s="404">
        <f t="shared" si="39"/>
        <v>2051</v>
      </c>
      <c r="U44" s="404">
        <f>'P&amp;L'!AB88</f>
        <v>1788</v>
      </c>
      <c r="V44" s="404">
        <f>'P&amp;L'!AC88</f>
        <v>2344</v>
      </c>
      <c r="W44" s="404">
        <f>'P&amp;L'!AD88</f>
        <v>2598.1974171777601</v>
      </c>
      <c r="X44" s="404">
        <f>'P&amp;L'!AE88</f>
        <v>2700.1542279387595</v>
      </c>
      <c r="Y44" s="404">
        <f>'P&amp;L'!AF88</f>
        <v>2805.3947035679821</v>
      </c>
      <c r="Z44" s="8"/>
      <c r="AA44" s="8" t="s">
        <v>21</v>
      </c>
      <c r="AB44" s="410" t="s">
        <v>732</v>
      </c>
      <c r="AC44" s="989">
        <f>'Cash Flow Statement'!L24</f>
        <v>-3862</v>
      </c>
      <c r="AD44" s="989">
        <f>'Cash Flow Statement'!M24</f>
        <v>-3263</v>
      </c>
      <c r="AE44" s="989">
        <f>'Cash Flow Statement'!N24</f>
        <v>-2718</v>
      </c>
      <c r="AF44" s="989">
        <f>'Cash Flow Statement'!O24</f>
        <v>-2342</v>
      </c>
      <c r="AG44" s="989">
        <f>'Cash Flow Statement'!P24</f>
        <v>-3006</v>
      </c>
      <c r="AH44" s="989">
        <f>'Cash Flow Statement'!Q24</f>
        <v>-2818</v>
      </c>
      <c r="AI44" s="989">
        <f>'Cash Flow Statement'!R24</f>
        <v>-2868</v>
      </c>
      <c r="AJ44" s="989">
        <f>'Cash Flow Statement'!S24</f>
        <v>-2845</v>
      </c>
      <c r="AK44" s="989">
        <f>'Cash Flow Statement'!T24</f>
        <v>-3117.7085963250001</v>
      </c>
      <c r="AL44" s="989">
        <f>'Cash Flow Statement'!U24</f>
        <v>-3793.7098542147501</v>
      </c>
      <c r="AM44" s="989">
        <f>'Cash Flow Statement'!V24</f>
        <v>-3571</v>
      </c>
      <c r="AN44" s="989">
        <f>'Cash Flow Statement'!W24</f>
        <v>-3207</v>
      </c>
      <c r="AO44" s="989">
        <f>'Cash Flow Statement'!X24</f>
        <v>-2341</v>
      </c>
      <c r="AP44" s="989">
        <f>'Cash Flow Statement'!Y24</f>
        <v>-2079</v>
      </c>
      <c r="AQ44" s="989">
        <f>'Cash Flow Statement'!Z24</f>
        <v>-2176</v>
      </c>
      <c r="AR44" s="989">
        <f>'Cash Flow Statement'!AA24</f>
        <v>-2474</v>
      </c>
      <c r="AS44" s="989">
        <f>'Cash Flow Statement'!AB24</f>
        <v>-2288</v>
      </c>
      <c r="AT44" s="989">
        <f>'Cash Flow Statement'!AC24</f>
        <v>-2375</v>
      </c>
      <c r="AU44" s="989">
        <f>'Cash Flow Statement'!AD24</f>
        <v>-2205.9610627004081</v>
      </c>
      <c r="AV44" s="989">
        <f>'Cash Flow Statement'!AE24</f>
        <v>-2265.9466308452579</v>
      </c>
      <c r="AW44" s="989">
        <f>'Cash Flow Statement'!AF24</f>
        <v>-2335.2411599672237</v>
      </c>
    </row>
    <row r="45" spans="1:49">
      <c r="A45" s="8"/>
      <c r="B45" s="8" t="s">
        <v>337</v>
      </c>
      <c r="C45" s="410" t="s">
        <v>732</v>
      </c>
      <c r="D45" s="425">
        <f>'P&amp;L'!K90</f>
        <v>-22</v>
      </c>
      <c r="E45" s="425">
        <f>'P&amp;L'!L90</f>
        <v>-19</v>
      </c>
      <c r="F45" s="425">
        <f>'P&amp;L'!M90</f>
        <v>-3</v>
      </c>
      <c r="G45" s="425">
        <f>'P&amp;L'!N90</f>
        <v>-57</v>
      </c>
      <c r="H45" s="425">
        <f>'P&amp;L'!O90</f>
        <v>-19</v>
      </c>
      <c r="I45" s="425">
        <f>'P&amp;L'!P90</f>
        <v>-19</v>
      </c>
      <c r="J45" s="425">
        <f>'P&amp;L'!Q90</f>
        <v>-52</v>
      </c>
      <c r="K45" s="425">
        <f>'P&amp;L'!R90</f>
        <v>-46</v>
      </c>
      <c r="L45" s="425">
        <f>'P&amp;L'!S90</f>
        <v>-74</v>
      </c>
      <c r="M45" s="425">
        <f>'P&amp;L'!T90</f>
        <v>0</v>
      </c>
      <c r="N45" s="425">
        <f>'P&amp;L'!U90</f>
        <v>0</v>
      </c>
      <c r="O45" s="425">
        <f>'P&amp;L'!V90</f>
        <v>0</v>
      </c>
      <c r="P45" s="425">
        <f>'P&amp;L'!W90</f>
        <v>5</v>
      </c>
      <c r="Q45" s="425">
        <f>'P&amp;L'!X90</f>
        <v>-20</v>
      </c>
      <c r="R45" s="425">
        <f>'P&amp;L'!Y90</f>
        <v>-45</v>
      </c>
      <c r="S45" s="425">
        <f>'P&amp;L'!Z90</f>
        <v>-126</v>
      </c>
      <c r="T45" s="425">
        <f>'P&amp;L'!AA90</f>
        <v>-123</v>
      </c>
      <c r="U45" s="425">
        <f>'P&amp;L'!AB90</f>
        <v>-166</v>
      </c>
      <c r="V45" s="425">
        <f>'P&amp;L'!AC90</f>
        <v>-171</v>
      </c>
      <c r="W45" s="425">
        <f>'P&amp;L'!AD90</f>
        <v>-180</v>
      </c>
      <c r="X45" s="425">
        <f>'P&amp;L'!AE90</f>
        <v>-180</v>
      </c>
      <c r="Y45" s="425">
        <f>'P&amp;L'!AF90</f>
        <v>-180</v>
      </c>
      <c r="Z45" s="8"/>
      <c r="AA45" s="8" t="s">
        <v>441</v>
      </c>
      <c r="AB45" s="410" t="s">
        <v>732</v>
      </c>
      <c r="AC45" s="989">
        <f>'Cash Flow Statement'!L25</f>
        <v>-1465</v>
      </c>
      <c r="AD45" s="989">
        <f>'Cash Flow Statement'!M25</f>
        <v>-1531</v>
      </c>
      <c r="AE45" s="989">
        <f>'Cash Flow Statement'!N25</f>
        <v>-877</v>
      </c>
      <c r="AF45" s="989">
        <f>'Cash Flow Statement'!O25</f>
        <v>-909</v>
      </c>
      <c r="AG45" s="989">
        <f>'Cash Flow Statement'!P25</f>
        <v>-942</v>
      </c>
      <c r="AH45" s="989">
        <f>'Cash Flow Statement'!Q25</f>
        <v>-1691</v>
      </c>
      <c r="AI45" s="989">
        <f>'Cash Flow Statement'!R25</f>
        <v>-894</v>
      </c>
      <c r="AJ45" s="989">
        <f>'Cash Flow Statement'!S25</f>
        <v>-2257</v>
      </c>
      <c r="AK45" s="989">
        <f>'Cash Flow Statement'!T25</f>
        <v>-1143</v>
      </c>
      <c r="AL45" s="989">
        <f>'Cash Flow Statement'!U25</f>
        <v>-1596</v>
      </c>
      <c r="AM45" s="989">
        <f>'Cash Flow Statement'!V25</f>
        <v>-1361</v>
      </c>
      <c r="AN45" s="989">
        <f>'Cash Flow Statement'!W25</f>
        <v>-1163</v>
      </c>
      <c r="AO45" s="989">
        <f>'Cash Flow Statement'!X25</f>
        <v>-1101</v>
      </c>
      <c r="AP45" s="989">
        <f>'Cash Flow Statement'!Y25</f>
        <v>-1061</v>
      </c>
      <c r="AQ45" s="989">
        <f>'Cash Flow Statement'!Z25</f>
        <v>-877</v>
      </c>
      <c r="AR45" s="989">
        <f>'Cash Flow Statement'!AA25</f>
        <v>-1284</v>
      </c>
      <c r="AS45" s="989">
        <f>'Cash Flow Statement'!AB25</f>
        <v>-1492</v>
      </c>
      <c r="AT45" s="989">
        <f>'Cash Flow Statement'!AC25</f>
        <v>-1442</v>
      </c>
      <c r="AU45" s="989">
        <f>'Cash Flow Statement'!AD25</f>
        <v>-1348.087316094694</v>
      </c>
      <c r="AV45" s="989">
        <f>'Cash Flow Statement'!AE25</f>
        <v>-1384.7451632943244</v>
      </c>
      <c r="AW45" s="989">
        <f>'Cash Flow Statement'!AF25</f>
        <v>-1427.0918199799701</v>
      </c>
    </row>
    <row r="46" spans="1:49">
      <c r="A46" s="8"/>
      <c r="B46" s="8" t="s">
        <v>34</v>
      </c>
      <c r="C46" s="410" t="s">
        <v>732</v>
      </c>
      <c r="D46" s="425">
        <f>'P&amp;L'!K93</f>
        <v>-244.99999999999997</v>
      </c>
      <c r="E46" s="425">
        <f>'P&amp;L'!L93</f>
        <v>-155.39999999999998</v>
      </c>
      <c r="F46" s="425">
        <f>'P&amp;L'!M93</f>
        <v>-153.29999999999998</v>
      </c>
      <c r="G46" s="425">
        <f>'P&amp;L'!N93</f>
        <v>-89.6</v>
      </c>
      <c r="H46" s="425">
        <f>'P&amp;L'!O93</f>
        <v>-208.6</v>
      </c>
      <c r="I46" s="425">
        <f>'P&amp;L'!P93</f>
        <v>-91</v>
      </c>
      <c r="J46" s="425">
        <f>'P&amp;L'!Q93</f>
        <v>0</v>
      </c>
      <c r="K46" s="425">
        <f>'P&amp;L'!R93</f>
        <v>528</v>
      </c>
      <c r="L46" s="425">
        <f>'P&amp;L'!S93</f>
        <v>19</v>
      </c>
      <c r="M46" s="425">
        <f>'P&amp;L'!T93</f>
        <v>11</v>
      </c>
      <c r="N46" s="425">
        <f>'P&amp;L'!U93</f>
        <v>0</v>
      </c>
      <c r="O46" s="425">
        <f>'P&amp;L'!V93</f>
        <v>0</v>
      </c>
      <c r="P46" s="425">
        <f>'P&amp;L'!W93</f>
        <v>0</v>
      </c>
      <c r="Q46" s="425">
        <f>'P&amp;L'!X93</f>
        <v>0</v>
      </c>
      <c r="R46" s="425">
        <f>'P&amp;L'!Y93</f>
        <v>0</v>
      </c>
      <c r="S46" s="425">
        <f>'P&amp;L'!Z93</f>
        <v>0</v>
      </c>
      <c r="T46" s="425">
        <f>'P&amp;L'!AA93</f>
        <v>95</v>
      </c>
      <c r="U46" s="425">
        <f>'P&amp;L'!AB93</f>
        <v>528</v>
      </c>
      <c r="V46" s="425">
        <f>'P&amp;L'!AC93</f>
        <v>132</v>
      </c>
      <c r="W46" s="425">
        <f>'P&amp;L'!AD93</f>
        <v>0</v>
      </c>
      <c r="X46" s="425">
        <f>'P&amp;L'!AE93</f>
        <v>0</v>
      </c>
      <c r="Y46" s="425">
        <f>'P&amp;L'!AF93</f>
        <v>0</v>
      </c>
      <c r="Z46" s="8"/>
      <c r="AA46" s="8" t="s">
        <v>18</v>
      </c>
      <c r="AB46" s="410" t="s">
        <v>732</v>
      </c>
      <c r="AC46" s="989">
        <f t="shared" ref="AC46:AL46" si="40">AC47-AC45-AC44</f>
        <v>266</v>
      </c>
      <c r="AD46" s="989">
        <f t="shared" si="40"/>
        <v>96</v>
      </c>
      <c r="AE46" s="989">
        <f t="shared" si="40"/>
        <v>63</v>
      </c>
      <c r="AF46" s="989">
        <f t="shared" si="40"/>
        <v>588</v>
      </c>
      <c r="AG46" s="989">
        <f t="shared" si="40"/>
        <v>-248</v>
      </c>
      <c r="AH46" s="989">
        <f t="shared" si="40"/>
        <v>874</v>
      </c>
      <c r="AI46" s="989">
        <f t="shared" si="40"/>
        <v>2482</v>
      </c>
      <c r="AJ46" s="989">
        <f t="shared" si="40"/>
        <v>-757</v>
      </c>
      <c r="AK46" s="989">
        <f t="shared" si="40"/>
        <v>1856</v>
      </c>
      <c r="AL46" s="989">
        <f t="shared" si="40"/>
        <v>932.99999999999955</v>
      </c>
      <c r="AM46" s="989">
        <f t="shared" ref="AM46:AR46" si="41">AM47-AM45-AM44</f>
        <v>865</v>
      </c>
      <c r="AN46" s="989">
        <f t="shared" si="41"/>
        <v>716</v>
      </c>
      <c r="AO46" s="989">
        <f t="shared" si="41"/>
        <v>567</v>
      </c>
      <c r="AP46" s="989">
        <f t="shared" si="41"/>
        <v>924</v>
      </c>
      <c r="AQ46" s="989">
        <f t="shared" si="41"/>
        <v>-342</v>
      </c>
      <c r="AR46" s="989">
        <f t="shared" si="41"/>
        <v>-2193</v>
      </c>
      <c r="AS46" s="989">
        <f>AS47-AS45-AS44</f>
        <v>-1210</v>
      </c>
      <c r="AT46" s="989">
        <f>AT47-AT45-AT44</f>
        <v>449</v>
      </c>
      <c r="AU46" s="989">
        <f>AU47-AU45-AU44</f>
        <v>77</v>
      </c>
      <c r="AV46" s="989">
        <f>AV47-AV45-AV44</f>
        <v>-73</v>
      </c>
      <c r="AW46" s="989">
        <f>AW47-AW45-AW44</f>
        <v>-73.000000000000455</v>
      </c>
    </row>
    <row r="47" spans="1:49">
      <c r="A47" s="8"/>
      <c r="B47" s="9" t="s">
        <v>332</v>
      </c>
      <c r="C47" s="338" t="s">
        <v>732</v>
      </c>
      <c r="D47" s="404">
        <f t="shared" ref="D47:J47" si="42">D44+D45</f>
        <v>3252.9999999999982</v>
      </c>
      <c r="E47" s="404">
        <f t="shared" si="42"/>
        <v>3692</v>
      </c>
      <c r="F47" s="404">
        <f t="shared" si="42"/>
        <v>4073</v>
      </c>
      <c r="G47" s="404">
        <f t="shared" si="42"/>
        <v>3883</v>
      </c>
      <c r="H47" s="404">
        <f t="shared" si="42"/>
        <v>3231</v>
      </c>
      <c r="I47" s="404">
        <f t="shared" si="42"/>
        <v>3491.8172878999994</v>
      </c>
      <c r="J47" s="404">
        <f t="shared" si="42"/>
        <v>3919.105465133809</v>
      </c>
      <c r="K47" s="404">
        <f>K44+K45+K46</f>
        <v>5040</v>
      </c>
      <c r="L47" s="404">
        <f>L44+L45+L46</f>
        <v>4028</v>
      </c>
      <c r="M47" s="404">
        <f t="shared" ref="M47:R47" si="43">M44+M45</f>
        <v>3825.8976000000002</v>
      </c>
      <c r="N47" s="404">
        <f t="shared" si="43"/>
        <v>3429.6370000000006</v>
      </c>
      <c r="O47" s="404">
        <f t="shared" si="43"/>
        <v>3928</v>
      </c>
      <c r="P47" s="404">
        <f t="shared" si="43"/>
        <v>2110</v>
      </c>
      <c r="Q47" s="404">
        <f t="shared" si="43"/>
        <v>1819</v>
      </c>
      <c r="R47" s="404">
        <f t="shared" si="43"/>
        <v>1857</v>
      </c>
      <c r="S47" s="404">
        <f t="shared" ref="S47:T47" si="44">S44+S45</f>
        <v>1688</v>
      </c>
      <c r="T47" s="404">
        <f t="shared" si="44"/>
        <v>1928</v>
      </c>
      <c r="U47" s="404">
        <f>'P&amp;L'!AB91</f>
        <v>1612</v>
      </c>
      <c r="V47" s="404">
        <f>'P&amp;L'!AC91</f>
        <v>2173</v>
      </c>
      <c r="W47" s="404">
        <f>'P&amp;L'!AD91</f>
        <v>2418.1974171777601</v>
      </c>
      <c r="X47" s="404">
        <f>'P&amp;L'!AE91</f>
        <v>2520.1542279387595</v>
      </c>
      <c r="Y47" s="404">
        <f>'P&amp;L'!AF91</f>
        <v>2625.3947035679821</v>
      </c>
      <c r="Z47" s="8"/>
      <c r="AA47" s="9" t="s">
        <v>19</v>
      </c>
      <c r="AB47" s="338" t="s">
        <v>732</v>
      </c>
      <c r="AC47" s="894">
        <f>'Cash Flow Statement'!L33</f>
        <v>-5061</v>
      </c>
      <c r="AD47" s="894">
        <f>'Cash Flow Statement'!M33</f>
        <v>-4698</v>
      </c>
      <c r="AE47" s="894">
        <f>'Cash Flow Statement'!N33</f>
        <v>-3532</v>
      </c>
      <c r="AF47" s="894">
        <f>'Cash Flow Statement'!O33</f>
        <v>-2663</v>
      </c>
      <c r="AG47" s="894">
        <f>'Cash Flow Statement'!P33</f>
        <v>-4196</v>
      </c>
      <c r="AH47" s="894">
        <f>'Cash Flow Statement'!Q33</f>
        <v>-3635</v>
      </c>
      <c r="AI47" s="894">
        <f>'Cash Flow Statement'!R33</f>
        <v>-1280</v>
      </c>
      <c r="AJ47" s="894">
        <f>'Cash Flow Statement'!S33</f>
        <v>-5859</v>
      </c>
      <c r="AK47" s="894">
        <f>'Cash Flow Statement'!T33</f>
        <v>-2404.7085963250001</v>
      </c>
      <c r="AL47" s="894">
        <f>'Cash Flow Statement'!U33</f>
        <v>-4456.7098542147505</v>
      </c>
      <c r="AM47" s="894">
        <f>'Cash Flow Statement'!V33</f>
        <v>-4067</v>
      </c>
      <c r="AN47" s="894">
        <f>'Cash Flow Statement'!W33</f>
        <v>-3654</v>
      </c>
      <c r="AO47" s="894">
        <f>'Cash Flow Statement'!X33</f>
        <v>-2875</v>
      </c>
      <c r="AP47" s="894">
        <f>'Cash Flow Statement'!Y33</f>
        <v>-2216</v>
      </c>
      <c r="AQ47" s="894">
        <f>'Cash Flow Statement'!Z33</f>
        <v>-3395</v>
      </c>
      <c r="AR47" s="894">
        <f>'Cash Flow Statement'!AA33</f>
        <v>-5951</v>
      </c>
      <c r="AS47" s="894">
        <f>'Cash Flow Statement'!AB33</f>
        <v>-4990</v>
      </c>
      <c r="AT47" s="894">
        <f>'Cash Flow Statement'!AC33</f>
        <v>-3368</v>
      </c>
      <c r="AU47" s="894">
        <f>'Cash Flow Statement'!AD33</f>
        <v>-3477.0483787951021</v>
      </c>
      <c r="AV47" s="894">
        <f>'Cash Flow Statement'!AE33</f>
        <v>-3723.6917941395823</v>
      </c>
      <c r="AW47" s="894">
        <f>'Cash Flow Statement'!AF33</f>
        <v>-3835.332979947194</v>
      </c>
    </row>
    <row r="48" spans="1:49">
      <c r="A48" s="8"/>
      <c r="B48" s="985" t="s">
        <v>1099</v>
      </c>
      <c r="C48" s="410" t="s">
        <v>733</v>
      </c>
      <c r="D48" s="343"/>
      <c r="E48" s="343">
        <f>E47/D47-1</f>
        <v>0.13495235167537722</v>
      </c>
      <c r="F48" s="343"/>
      <c r="G48" s="343">
        <f t="shared" ref="G48:Y48" si="45">G47/F47-1</f>
        <v>-4.6648661919960754E-2</v>
      </c>
      <c r="H48" s="343">
        <f t="shared" si="45"/>
        <v>-0.16791140870460985</v>
      </c>
      <c r="I48" s="343">
        <f t="shared" si="45"/>
        <v>8.0723394583720021E-2</v>
      </c>
      <c r="J48" s="343">
        <f t="shared" si="45"/>
        <v>0.12236842366136047</v>
      </c>
      <c r="K48" s="343">
        <f t="shared" si="45"/>
        <v>0.28600774968629739</v>
      </c>
      <c r="L48" s="343">
        <f t="shared" si="45"/>
        <v>-0.20079365079365075</v>
      </c>
      <c r="M48" s="343">
        <f t="shared" si="45"/>
        <v>-5.0174379344587794E-2</v>
      </c>
      <c r="N48" s="343">
        <f t="shared" si="45"/>
        <v>-0.10357323729730761</v>
      </c>
      <c r="O48" s="343">
        <f t="shared" si="45"/>
        <v>0.14531071364112269</v>
      </c>
      <c r="P48" s="343">
        <f t="shared" si="45"/>
        <v>-0.46283095723014256</v>
      </c>
      <c r="Q48" s="343">
        <f t="shared" si="45"/>
        <v>-0.137914691943128</v>
      </c>
      <c r="R48" s="343">
        <f t="shared" si="45"/>
        <v>2.0890599230346307E-2</v>
      </c>
      <c r="S48" s="343">
        <f t="shared" si="45"/>
        <v>-9.1007000538502969E-2</v>
      </c>
      <c r="T48" s="343">
        <f t="shared" si="45"/>
        <v>0.14218009478672977</v>
      </c>
      <c r="U48" s="343">
        <f t="shared" si="45"/>
        <v>-0.16390041493775931</v>
      </c>
      <c r="V48" s="343">
        <f t="shared" si="45"/>
        <v>0.34801488833746896</v>
      </c>
      <c r="W48" s="343">
        <f t="shared" si="45"/>
        <v>0.11283820394742761</v>
      </c>
      <c r="X48" s="343">
        <f t="shared" si="45"/>
        <v>4.2162318939200416E-2</v>
      </c>
      <c r="Y48" s="343">
        <f t="shared" si="45"/>
        <v>4.175953775467911E-2</v>
      </c>
      <c r="Z48" s="8"/>
      <c r="AA48" s="8" t="s">
        <v>513</v>
      </c>
      <c r="AB48" s="410" t="s">
        <v>732</v>
      </c>
      <c r="AC48" s="989">
        <f>'Cash Flow Statement'!L48</f>
        <v>-3498</v>
      </c>
      <c r="AD48" s="989">
        <f>'Cash Flow Statement'!M48</f>
        <v>-3517</v>
      </c>
      <c r="AE48" s="989">
        <f>'Cash Flow Statement'!N48</f>
        <v>-3494</v>
      </c>
      <c r="AF48" s="989">
        <f>'Cash Flow Statement'!O48</f>
        <v>-3489</v>
      </c>
      <c r="AG48" s="989">
        <f>'Cash Flow Statement'!P48</f>
        <v>-3491</v>
      </c>
      <c r="AH48" s="989">
        <f>'Cash Flow Statement'!Q48</f>
        <v>-3508</v>
      </c>
      <c r="AI48" s="989">
        <f>'Cash Flow Statement'!R48</f>
        <v>-3567</v>
      </c>
      <c r="AJ48" s="989">
        <f>'Cash Flow Statement'!S48</f>
        <v>-3700</v>
      </c>
      <c r="AK48" s="989">
        <f>'Cash Flow Statement'!T48</f>
        <v>-3787</v>
      </c>
      <c r="AL48" s="989">
        <f>'Cash Flow Statement'!U48</f>
        <v>-3736</v>
      </c>
      <c r="AM48" s="989">
        <f>'Cash Flow Statement'!V48</f>
        <v>-3150</v>
      </c>
      <c r="AN48" s="989">
        <f>'Cash Flow Statement'!W48</f>
        <v>-2259</v>
      </c>
      <c r="AO48" s="989">
        <f>'Cash Flow Statement'!X48</f>
        <v>-1903</v>
      </c>
      <c r="AP48" s="989">
        <f>'Cash Flow Statement'!Y48</f>
        <v>-1902</v>
      </c>
      <c r="AQ48" s="989">
        <f>'Cash Flow Statement'!Z48</f>
        <v>-1888</v>
      </c>
      <c r="AR48" s="989">
        <f>'Cash Flow Statement'!AA48</f>
        <v>-1964</v>
      </c>
      <c r="AS48" s="989">
        <f>'Cash Flow Statement'!AB48</f>
        <v>-2022</v>
      </c>
      <c r="AT48" s="989">
        <f>'Cash Flow Statement'!AC48</f>
        <v>-2137</v>
      </c>
      <c r="AU48" s="989">
        <f>'Cash Flow Statement'!AD48</f>
        <v>-2363.529</v>
      </c>
      <c r="AV48" s="989">
        <f>'Cash Flow Statement'!AE48</f>
        <v>-2464.8535102040814</v>
      </c>
      <c r="AW48" s="989">
        <f>'Cash Flow Statement'!AF48</f>
        <v>-2576.8923061224491</v>
      </c>
    </row>
    <row r="49" spans="1:49">
      <c r="A49" s="8"/>
      <c r="B49" s="9" t="s">
        <v>500</v>
      </c>
      <c r="C49" s="338" t="s">
        <v>732</v>
      </c>
      <c r="D49" s="404">
        <f t="shared" ref="D49:Q49" si="46">D47-D46</f>
        <v>3497.9999999999982</v>
      </c>
      <c r="E49" s="404">
        <f t="shared" si="46"/>
        <v>3847.4</v>
      </c>
      <c r="F49" s="404">
        <f t="shared" si="46"/>
        <v>4226.3</v>
      </c>
      <c r="G49" s="404">
        <f t="shared" si="46"/>
        <v>3972.6</v>
      </c>
      <c r="H49" s="404">
        <f t="shared" si="46"/>
        <v>3439.6</v>
      </c>
      <c r="I49" s="404">
        <f t="shared" si="46"/>
        <v>3582.8172878999994</v>
      </c>
      <c r="J49" s="404">
        <f t="shared" si="46"/>
        <v>3919.105465133809</v>
      </c>
      <c r="K49" s="404">
        <f t="shared" si="46"/>
        <v>4512</v>
      </c>
      <c r="L49" s="404">
        <f t="shared" si="46"/>
        <v>4009</v>
      </c>
      <c r="M49" s="404">
        <f t="shared" si="46"/>
        <v>3814.8976000000002</v>
      </c>
      <c r="N49" s="404">
        <f t="shared" si="46"/>
        <v>3429.6370000000006</v>
      </c>
      <c r="O49" s="404">
        <f t="shared" si="46"/>
        <v>3928</v>
      </c>
      <c r="P49" s="404">
        <f t="shared" si="46"/>
        <v>2110</v>
      </c>
      <c r="Q49" s="404">
        <f t="shared" si="46"/>
        <v>1819</v>
      </c>
      <c r="R49" s="404">
        <f t="shared" ref="R49:T49" si="47">R47-R46</f>
        <v>1857</v>
      </c>
      <c r="S49" s="404">
        <f t="shared" si="47"/>
        <v>1688</v>
      </c>
      <c r="T49" s="404">
        <f t="shared" si="47"/>
        <v>1833</v>
      </c>
      <c r="U49" s="404">
        <f>'P&amp;L'!AB97</f>
        <v>2140</v>
      </c>
      <c r="V49" s="404">
        <f>'P&amp;L'!AC97</f>
        <v>2173</v>
      </c>
      <c r="W49" s="404">
        <f>'P&amp;L'!AD97</f>
        <v>2418.1974171777601</v>
      </c>
      <c r="X49" s="404">
        <f>'P&amp;L'!AE97</f>
        <v>2520.1542279387595</v>
      </c>
      <c r="Y49" s="404">
        <f>'P&amp;L'!AF97</f>
        <v>2625.3947035679821</v>
      </c>
      <c r="Z49" s="8"/>
      <c r="AA49" s="8" t="s">
        <v>249</v>
      </c>
      <c r="AB49" s="410" t="s">
        <v>732</v>
      </c>
      <c r="AC49" s="989">
        <f>'Cash Flow Statement'!L45</f>
        <v>1101</v>
      </c>
      <c r="AD49" s="989">
        <f>'Cash Flow Statement'!M45</f>
        <v>830</v>
      </c>
      <c r="AE49" s="989">
        <f>'Cash Flow Statement'!N45</f>
        <v>-899</v>
      </c>
      <c r="AF49" s="989">
        <f>'Cash Flow Statement'!O45</f>
        <v>-196</v>
      </c>
      <c r="AG49" s="989">
        <f>'Cash Flow Statement'!P45</f>
        <v>825</v>
      </c>
      <c r="AH49" s="989">
        <f>'Cash Flow Statement'!Q45</f>
        <v>-1968</v>
      </c>
      <c r="AI49" s="989">
        <f>'Cash Flow Statement'!R45</f>
        <v>97</v>
      </c>
      <c r="AJ49" s="989">
        <f>'Cash Flow Statement'!S45</f>
        <v>-1667</v>
      </c>
      <c r="AK49" s="989">
        <f>'Cash Flow Statement'!T45</f>
        <v>932</v>
      </c>
      <c r="AL49" s="989">
        <f>'Cash Flow Statement'!U45</f>
        <v>8</v>
      </c>
      <c r="AM49" s="989">
        <f>'Cash Flow Statement'!V45</f>
        <v>-1073</v>
      </c>
      <c r="AN49" s="989">
        <f>'Cash Flow Statement'!W45</f>
        <v>-47</v>
      </c>
      <c r="AO49" s="989">
        <f>'Cash Flow Statement'!X45</f>
        <v>-1086</v>
      </c>
      <c r="AP49" s="989">
        <f>'Cash Flow Statement'!Y45</f>
        <v>-952</v>
      </c>
      <c r="AQ49" s="989">
        <f>'Cash Flow Statement'!Z45</f>
        <v>-2280</v>
      </c>
      <c r="AR49" s="989">
        <f>'Cash Flow Statement'!AA45</f>
        <v>1560</v>
      </c>
      <c r="AS49" s="989">
        <f>'Cash Flow Statement'!AB45</f>
        <v>1636</v>
      </c>
      <c r="AT49" s="989">
        <f>'Cash Flow Statement'!AC45</f>
        <v>625</v>
      </c>
      <c r="AU49" s="989">
        <f>'Cash Flow Statement'!AD45</f>
        <v>600</v>
      </c>
      <c r="AV49" s="989">
        <f>'Cash Flow Statement'!AE45</f>
        <v>600</v>
      </c>
      <c r="AW49" s="989">
        <f>'Cash Flow Statement'!AF45</f>
        <v>600</v>
      </c>
    </row>
    <row r="50" spans="1:49">
      <c r="A50" s="8"/>
      <c r="B50" s="985" t="s">
        <v>1099</v>
      </c>
      <c r="C50" s="410" t="s">
        <v>733</v>
      </c>
      <c r="D50" s="343"/>
      <c r="E50" s="343">
        <f>E49/D49-1</f>
        <v>9.9885648942253269E-2</v>
      </c>
      <c r="F50" s="343"/>
      <c r="G50" s="343">
        <f t="shared" ref="G50:Y50" si="48">G49/F49-1</f>
        <v>-6.0028866857535057E-2</v>
      </c>
      <c r="H50" s="343">
        <f t="shared" si="48"/>
        <v>-0.13416905804762624</v>
      </c>
      <c r="I50" s="343">
        <f t="shared" si="48"/>
        <v>4.163777413071279E-2</v>
      </c>
      <c r="J50" s="343">
        <f t="shared" si="48"/>
        <v>9.3861380642974002E-2</v>
      </c>
      <c r="K50" s="343">
        <f t="shared" si="48"/>
        <v>0.15128312829059021</v>
      </c>
      <c r="L50" s="343">
        <f t="shared" si="48"/>
        <v>-0.11148049645390068</v>
      </c>
      <c r="M50" s="343">
        <f t="shared" si="48"/>
        <v>-4.8416662509353947E-2</v>
      </c>
      <c r="N50" s="343">
        <f t="shared" si="48"/>
        <v>-0.10098845117100907</v>
      </c>
      <c r="O50" s="343">
        <f t="shared" si="48"/>
        <v>0.14531071364112269</v>
      </c>
      <c r="P50" s="343">
        <f t="shared" si="48"/>
        <v>-0.46283095723014256</v>
      </c>
      <c r="Q50" s="343">
        <f t="shared" si="48"/>
        <v>-0.137914691943128</v>
      </c>
      <c r="R50" s="343">
        <f t="shared" si="48"/>
        <v>2.0890599230346307E-2</v>
      </c>
      <c r="S50" s="343">
        <f t="shared" si="48"/>
        <v>-9.1007000538502969E-2</v>
      </c>
      <c r="T50" s="343">
        <f t="shared" si="48"/>
        <v>8.5900473933649302E-2</v>
      </c>
      <c r="U50" s="343">
        <f t="shared" si="48"/>
        <v>0.16748499727223121</v>
      </c>
      <c r="V50" s="343">
        <f t="shared" si="48"/>
        <v>1.5420560747663625E-2</v>
      </c>
      <c r="W50" s="343">
        <f t="shared" si="48"/>
        <v>0.11283820394742761</v>
      </c>
      <c r="X50" s="343">
        <f t="shared" si="48"/>
        <v>4.2162318939200416E-2</v>
      </c>
      <c r="Y50" s="343">
        <f t="shared" si="48"/>
        <v>4.175953775467911E-2</v>
      </c>
      <c r="Z50" s="8"/>
      <c r="AA50" s="8" t="s">
        <v>582</v>
      </c>
      <c r="AB50" s="410" t="s">
        <v>732</v>
      </c>
      <c r="AC50" s="989">
        <f t="shared" ref="AC50:AL50" si="49">AC51-AC48-AC49</f>
        <v>-156</v>
      </c>
      <c r="AD50" s="989">
        <f t="shared" si="49"/>
        <v>-25</v>
      </c>
      <c r="AE50" s="989">
        <f t="shared" si="49"/>
        <v>-46</v>
      </c>
      <c r="AF50" s="989">
        <f t="shared" si="49"/>
        <v>-53</v>
      </c>
      <c r="AG50" s="989">
        <f t="shared" si="49"/>
        <v>-86</v>
      </c>
      <c r="AH50" s="989">
        <f t="shared" si="49"/>
        <v>51</v>
      </c>
      <c r="AI50" s="989">
        <f t="shared" si="49"/>
        <v>-13</v>
      </c>
      <c r="AJ50" s="989">
        <f t="shared" si="49"/>
        <v>-599</v>
      </c>
      <c r="AK50" s="989">
        <f t="shared" si="49"/>
        <v>-62</v>
      </c>
      <c r="AL50" s="989">
        <f t="shared" si="49"/>
        <v>-1522</v>
      </c>
      <c r="AM50" s="989">
        <f t="shared" ref="AM50:AR50" si="50">AM51-AM48-AM49</f>
        <v>-16</v>
      </c>
      <c r="AN50" s="989">
        <f t="shared" si="50"/>
        <v>-1</v>
      </c>
      <c r="AO50" s="989">
        <f t="shared" si="50"/>
        <v>-337</v>
      </c>
      <c r="AP50" s="989">
        <f t="shared" si="50"/>
        <v>-1466</v>
      </c>
      <c r="AQ50" s="989">
        <f t="shared" si="50"/>
        <v>197</v>
      </c>
      <c r="AR50" s="989">
        <f t="shared" si="50"/>
        <v>-565</v>
      </c>
      <c r="AS50" s="989">
        <f>AS51-AS48-AS49</f>
        <v>-1556</v>
      </c>
      <c r="AT50" s="989">
        <f>AT51-AT48-AT49</f>
        <v>-2485</v>
      </c>
      <c r="AU50" s="989">
        <f>AU51-AU48-AU49</f>
        <v>-2882.5831868337386</v>
      </c>
      <c r="AV50" s="989">
        <f>AV51-AV48-AV49</f>
        <v>-2165.9495605012157</v>
      </c>
      <c r="AW50" s="989">
        <f>AW51-AW48-AW49</f>
        <v>-1949.3159341686928</v>
      </c>
    </row>
    <row r="51" spans="1:49">
      <c r="A51" s="8"/>
      <c r="B51" s="10" t="s">
        <v>251</v>
      </c>
      <c r="C51" s="410" t="s">
        <v>193</v>
      </c>
      <c r="D51" s="720">
        <f>'P&amp;L'!K102</f>
        <v>26.286868686868669</v>
      </c>
      <c r="E51" s="720">
        <f>'P&amp;L'!L102</f>
        <v>29.858471492114841</v>
      </c>
      <c r="F51" s="720">
        <f>'P&amp;L'!M102</f>
        <v>32.931759379042688</v>
      </c>
      <c r="G51" s="720">
        <f>'P&amp;L'!N102</f>
        <v>31.382849753495513</v>
      </c>
      <c r="H51" s="720">
        <f>'P&amp;L'!O102</f>
        <v>26.09433047972864</v>
      </c>
      <c r="I51" s="720">
        <f>'P&amp;L'!P102</f>
        <v>28.164359476528467</v>
      </c>
      <c r="J51" s="720">
        <f>'P&amp;L'!Q102</f>
        <v>31.590403555810166</v>
      </c>
      <c r="K51" s="720">
        <f>'P&amp;L'!R102</f>
        <v>40.586245772266068</v>
      </c>
      <c r="L51" s="720">
        <f>'P&amp;L'!S102</f>
        <v>32.844096542726682</v>
      </c>
      <c r="M51" s="720">
        <f>'P&amp;L'!T102</f>
        <v>31.444825438452717</v>
      </c>
      <c r="N51" s="720">
        <f>'P&amp;L'!U102</f>
        <v>28.656726270053479</v>
      </c>
      <c r="O51" s="720">
        <f>'P&amp;L'!V102</f>
        <v>33.063973063973066</v>
      </c>
      <c r="P51" s="720">
        <f>'P&amp;L'!W102</f>
        <v>17.760942760942761</v>
      </c>
      <c r="Q51" s="720">
        <f>'P&amp;L'!X102</f>
        <v>15.311447811447811</v>
      </c>
      <c r="R51" s="720">
        <f>'P&amp;L'!Y102</f>
        <v>15.637894736842107</v>
      </c>
      <c r="S51" s="720">
        <f>'P&amp;L'!Z102</f>
        <v>14.359846873670779</v>
      </c>
      <c r="T51" s="720">
        <f>'P&amp;L'!AA102</f>
        <v>16.702763579658665</v>
      </c>
      <c r="U51" s="720">
        <f>'P&amp;L'!AB102</f>
        <v>13.965173698345318</v>
      </c>
      <c r="V51" s="720">
        <f>'P&amp;L'!AC102</f>
        <v>17.726246308841411</v>
      </c>
      <c r="W51" s="720">
        <f>'P&amp;L'!AD102</f>
        <v>21.485729923657786</v>
      </c>
      <c r="X51" s="720">
        <f>'P&amp;L'!AE102</f>
        <v>22.493585434236284</v>
      </c>
      <c r="Y51" s="720">
        <f>'P&amp;L'!AF102</f>
        <v>23.432907164415376</v>
      </c>
      <c r="Z51" s="8"/>
      <c r="AA51" s="9" t="s">
        <v>781</v>
      </c>
      <c r="AB51" s="338" t="s">
        <v>732</v>
      </c>
      <c r="AC51" s="894">
        <f>'Cash Flow Statement'!L53</f>
        <v>-2553</v>
      </c>
      <c r="AD51" s="894">
        <f>'Cash Flow Statement'!M53</f>
        <v>-2712</v>
      </c>
      <c r="AE51" s="894">
        <f>'Cash Flow Statement'!N53</f>
        <v>-4439</v>
      </c>
      <c r="AF51" s="894">
        <f>'Cash Flow Statement'!O53</f>
        <v>-3738</v>
      </c>
      <c r="AG51" s="894">
        <f>'Cash Flow Statement'!P53</f>
        <v>-2752</v>
      </c>
      <c r="AH51" s="894">
        <f>'Cash Flow Statement'!Q53</f>
        <v>-5425</v>
      </c>
      <c r="AI51" s="894">
        <f>'Cash Flow Statement'!R53</f>
        <v>-3483</v>
      </c>
      <c r="AJ51" s="894">
        <f>'Cash Flow Statement'!S53</f>
        <v>-5966</v>
      </c>
      <c r="AK51" s="894">
        <f>'Cash Flow Statement'!T53</f>
        <v>-2917</v>
      </c>
      <c r="AL51" s="894">
        <f>'Cash Flow Statement'!U53</f>
        <v>-5250</v>
      </c>
      <c r="AM51" s="894">
        <f>'Cash Flow Statement'!V53</f>
        <v>-4239</v>
      </c>
      <c r="AN51" s="894">
        <f>'Cash Flow Statement'!W53</f>
        <v>-2307</v>
      </c>
      <c r="AO51" s="894">
        <f>'Cash Flow Statement'!X53</f>
        <v>-3326</v>
      </c>
      <c r="AP51" s="894">
        <f>'Cash Flow Statement'!Y53</f>
        <v>-4320</v>
      </c>
      <c r="AQ51" s="894">
        <f>'Cash Flow Statement'!Z53</f>
        <v>-3971</v>
      </c>
      <c r="AR51" s="894">
        <f>'Cash Flow Statement'!AA53</f>
        <v>-969</v>
      </c>
      <c r="AS51" s="894">
        <f>'Cash Flow Statement'!AB53</f>
        <v>-1942</v>
      </c>
      <c r="AT51" s="894">
        <f>'Cash Flow Statement'!AC53</f>
        <v>-3997</v>
      </c>
      <c r="AU51" s="894">
        <f>'Cash Flow Statement'!AD53</f>
        <v>-4646.1121868337386</v>
      </c>
      <c r="AV51" s="894">
        <f>'Cash Flow Statement'!AE53</f>
        <v>-4030.8030707052972</v>
      </c>
      <c r="AW51" s="894">
        <f>'Cash Flow Statement'!AF53</f>
        <v>-3926.2082402911419</v>
      </c>
    </row>
    <row r="52" spans="1:49">
      <c r="A52" s="8"/>
      <c r="B52" s="10" t="s">
        <v>235</v>
      </c>
      <c r="C52" s="410" t="s">
        <v>193</v>
      </c>
      <c r="D52" s="720">
        <f>'P&amp;L'!K103</f>
        <v>26.219069879906488</v>
      </c>
      <c r="E52" s="720">
        <f>'P&amp;L'!L103</f>
        <v>29.776594886684411</v>
      </c>
      <c r="F52" s="720">
        <f>'P&amp;L'!M103</f>
        <v>32.85737334624072</v>
      </c>
      <c r="G52" s="720">
        <f>'P&amp;L'!N103</f>
        <v>31.322094055013309</v>
      </c>
      <c r="H52" s="720">
        <f>'P&amp;L'!O103</f>
        <v>26.062757118657743</v>
      </c>
      <c r="I52" s="720">
        <f>'P&amp;L'!P103</f>
        <v>28.146197709979038</v>
      </c>
      <c r="J52" s="720">
        <f>'P&amp;L'!Q103</f>
        <v>31.493936556845135</v>
      </c>
      <c r="K52" s="720">
        <f>'P&amp;L'!R103</f>
        <v>40.498192044997992</v>
      </c>
      <c r="L52" s="720">
        <f>'P&amp;L'!S103</f>
        <v>32.801302931596091</v>
      </c>
      <c r="M52" s="720">
        <f>'P&amp;L'!T103</f>
        <v>31.408788474132287</v>
      </c>
      <c r="N52" s="720">
        <f>'P&amp;L'!U103</f>
        <v>28.630411553552054</v>
      </c>
      <c r="O52" s="720">
        <f>'P&amp;L'!V103</f>
        <v>33.052844160215415</v>
      </c>
      <c r="P52" s="720">
        <f>'P&amp;L'!W103</f>
        <v>17.731092436974791</v>
      </c>
      <c r="Q52" s="720">
        <f>'P&amp;L'!X103</f>
        <v>15.292139554434636</v>
      </c>
      <c r="R52" s="720">
        <f>'P&amp;L'!Y103</f>
        <v>15.615539858728559</v>
      </c>
      <c r="S52" s="720">
        <f>'P&amp;L'!Z103</f>
        <v>14.348860931655899</v>
      </c>
      <c r="T52" s="720">
        <f>'P&amp;L'!AA103</f>
        <v>16.686861692920203</v>
      </c>
      <c r="U52" s="720">
        <f>'P&amp;L'!AB103</f>
        <v>13.953085778585649</v>
      </c>
      <c r="V52" s="720">
        <f>'P&amp;L'!AC103</f>
        <v>17.710864283234987</v>
      </c>
      <c r="W52" s="720">
        <f>'P&amp;L'!AD103</f>
        <v>21.485729923657786</v>
      </c>
      <c r="X52" s="720">
        <f>'P&amp;L'!AE103</f>
        <v>22.391618121340567</v>
      </c>
      <c r="Y52" s="720">
        <f>'P&amp;L'!AF103</f>
        <v>23.326681743667045</v>
      </c>
      <c r="Z52" s="8"/>
      <c r="AA52" s="9" t="s">
        <v>36</v>
      </c>
      <c r="AB52" s="338" t="s">
        <v>732</v>
      </c>
      <c r="AC52" s="418">
        <f t="shared" ref="AC52:AO52" si="51">AC42+AC47+AC51</f>
        <v>89</v>
      </c>
      <c r="AD52" s="418">
        <f t="shared" si="51"/>
        <v>432</v>
      </c>
      <c r="AE52" s="418">
        <f t="shared" si="51"/>
        <v>744</v>
      </c>
      <c r="AF52" s="418">
        <f t="shared" si="51"/>
        <v>604</v>
      </c>
      <c r="AG52" s="418">
        <f t="shared" si="51"/>
        <v>1291</v>
      </c>
      <c r="AH52" s="418">
        <f t="shared" si="51"/>
        <v>-1502</v>
      </c>
      <c r="AI52" s="418">
        <f t="shared" si="51"/>
        <v>3053</v>
      </c>
      <c r="AJ52" s="418">
        <f t="shared" si="51"/>
        <v>-4263</v>
      </c>
      <c r="AK52" s="418">
        <f t="shared" si="51"/>
        <v>2082.2914036749999</v>
      </c>
      <c r="AL52" s="418">
        <f t="shared" si="51"/>
        <v>-2676.7098542147505</v>
      </c>
      <c r="AM52" s="418">
        <f t="shared" si="51"/>
        <v>-320</v>
      </c>
      <c r="AN52" s="418">
        <f t="shared" si="51"/>
        <v>-20</v>
      </c>
      <c r="AO52" s="418">
        <f t="shared" si="51"/>
        <v>-104</v>
      </c>
      <c r="AP52" s="418">
        <f t="shared" ref="AP52:AU52" si="52">AP42+AP47+AP51</f>
        <v>-46</v>
      </c>
      <c r="AQ52" s="418">
        <f t="shared" si="52"/>
        <v>-117</v>
      </c>
      <c r="AR52" s="418">
        <f t="shared" si="52"/>
        <v>-118</v>
      </c>
      <c r="AS52" s="418">
        <f t="shared" si="52"/>
        <v>117</v>
      </c>
      <c r="AT52" s="418">
        <f t="shared" si="52"/>
        <v>-41</v>
      </c>
      <c r="AU52" s="418">
        <f t="shared" si="52"/>
        <v>-379.03441303757154</v>
      </c>
      <c r="AV52" s="418">
        <f t="shared" ref="AV52:AW52" si="53">AV42+AV47+AV51</f>
        <v>250.82531077483645</v>
      </c>
      <c r="AW52" s="418">
        <f t="shared" si="53"/>
        <v>511.79707842293283</v>
      </c>
    </row>
    <row r="53" spans="1:49">
      <c r="A53" s="8"/>
      <c r="B53" s="689" t="s">
        <v>1478</v>
      </c>
      <c r="C53" s="717" t="s">
        <v>193</v>
      </c>
      <c r="D53" s="690">
        <f>'P&amp;L'!K104</f>
        <v>28.193761586201322</v>
      </c>
      <c r="E53" s="690">
        <f>'P&amp;L'!L104</f>
        <v>31.029921767884506</v>
      </c>
      <c r="F53" s="690">
        <f>'P&amp;L'!M104</f>
        <v>34.094062600838981</v>
      </c>
      <c r="G53" s="690">
        <f>'P&amp;L'!N104</f>
        <v>32.044849560377507</v>
      </c>
      <c r="H53" s="690">
        <f>'P&amp;L'!O104</f>
        <v>27.745422279583771</v>
      </c>
      <c r="I53" s="690">
        <f>'P&amp;L'!P104</f>
        <v>28.879713750604541</v>
      </c>
      <c r="J53" s="690">
        <f>'P&amp;L'!Q104</f>
        <v>31.493936556845135</v>
      </c>
      <c r="K53" s="690">
        <f>'P&amp;L'!R104</f>
        <v>36.255524306950583</v>
      </c>
      <c r="L53" s="690">
        <f>'P&amp;L'!S104</f>
        <v>32.646579804560261</v>
      </c>
      <c r="M53" s="690">
        <f>'P&amp;L'!T104</f>
        <v>31.318742632612967</v>
      </c>
      <c r="N53" s="690">
        <f>'P&amp;L'!U104</f>
        <v>28.630411553552054</v>
      </c>
      <c r="O53" s="690">
        <f>'P&amp;L'!V104</f>
        <v>33.052844160215415</v>
      </c>
      <c r="P53" s="690">
        <f>'P&amp;L'!W104</f>
        <v>17.731092436974791</v>
      </c>
      <c r="Q53" s="690">
        <f>'P&amp;L'!X104</f>
        <v>15.292139554434636</v>
      </c>
      <c r="R53" s="690">
        <f>'P&amp;L'!Y104</f>
        <v>15.615539858728559</v>
      </c>
      <c r="S53" s="690">
        <f>'P&amp;L'!Z104</f>
        <v>14.348860931655899</v>
      </c>
      <c r="T53" s="690">
        <f>'P&amp;L'!AA104</f>
        <v>17.50908776181409</v>
      </c>
      <c r="U53" s="690">
        <f>'P&amp;L'!AB104</f>
        <v>18.523327274301046</v>
      </c>
      <c r="V53" s="690">
        <f>'P&amp;L'!AC104</f>
        <v>18.856299895869491</v>
      </c>
      <c r="W53" s="690">
        <f>'P&amp;L'!AD104</f>
        <v>21.485729923657786</v>
      </c>
      <c r="X53" s="690">
        <f>'P&amp;L'!AE104</f>
        <v>22.391618121340567</v>
      </c>
      <c r="Y53" s="690">
        <f>'P&amp;L'!AF104</f>
        <v>23.326681743667045</v>
      </c>
      <c r="Z53" s="8"/>
      <c r="AA53" s="8"/>
      <c r="AB53" s="410"/>
      <c r="AC53" s="991"/>
      <c r="AD53" s="991"/>
      <c r="AE53" s="991"/>
      <c r="AF53" s="991"/>
      <c r="AG53" s="991"/>
      <c r="AH53" s="991"/>
      <c r="AI53" s="991"/>
      <c r="AJ53" s="991"/>
      <c r="AK53" s="991"/>
      <c r="AL53" s="991"/>
      <c r="AM53" s="991"/>
      <c r="AN53" s="991"/>
      <c r="AO53" s="991"/>
      <c r="AP53" s="991"/>
      <c r="AQ53" s="991"/>
      <c r="AR53" s="991"/>
      <c r="AS53" s="991"/>
      <c r="AT53" s="991"/>
      <c r="AU53" s="991"/>
      <c r="AV53" s="991"/>
      <c r="AW53" s="991"/>
    </row>
    <row r="54" spans="1:49" ht="15.6">
      <c r="A54" s="8"/>
      <c r="B54" s="985" t="s">
        <v>1099</v>
      </c>
      <c r="C54" s="410" t="s">
        <v>733</v>
      </c>
      <c r="D54" s="343"/>
      <c r="E54" s="343">
        <f t="shared" ref="E54:Y54" si="54">E52/D52-1</f>
        <v>0.1356846380543919</v>
      </c>
      <c r="F54" s="343">
        <f t="shared" si="54"/>
        <v>0.10346308808244498</v>
      </c>
      <c r="G54" s="343">
        <f t="shared" si="54"/>
        <v>-4.6725563697655237E-2</v>
      </c>
      <c r="H54" s="343">
        <f t="shared" si="54"/>
        <v>-0.16791140870460974</v>
      </c>
      <c r="I54" s="343">
        <f t="shared" si="54"/>
        <v>7.9939377934416855E-2</v>
      </c>
      <c r="J54" s="343">
        <f t="shared" si="54"/>
        <v>0.11894106910501723</v>
      </c>
      <c r="K54" s="343">
        <f t="shared" si="54"/>
        <v>0.28590441439102365</v>
      </c>
      <c r="L54" s="343">
        <f t="shared" si="54"/>
        <v>-0.19005512900056876</v>
      </c>
      <c r="M54" s="343">
        <f t="shared" si="54"/>
        <v>-4.2453022685341346E-2</v>
      </c>
      <c r="N54" s="343">
        <f t="shared" si="54"/>
        <v>-8.8458582949433207E-2</v>
      </c>
      <c r="O54" s="343">
        <f t="shared" si="54"/>
        <v>0.15446626040954303</v>
      </c>
      <c r="P54" s="343">
        <f t="shared" si="54"/>
        <v>-0.46355320132126165</v>
      </c>
      <c r="Q54" s="343">
        <f t="shared" si="54"/>
        <v>-0.13755231896790443</v>
      </c>
      <c r="R54" s="343">
        <f t="shared" si="54"/>
        <v>2.1148139744783911E-2</v>
      </c>
      <c r="S54" s="343">
        <f t="shared" si="54"/>
        <v>-8.111656327812633E-2</v>
      </c>
      <c r="T54" s="343">
        <f t="shared" si="54"/>
        <v>0.16293981608716401</v>
      </c>
      <c r="U54" s="343">
        <f t="shared" si="54"/>
        <v>-0.16382804416089958</v>
      </c>
      <c r="V54" s="343">
        <f t="shared" si="54"/>
        <v>0.26931522992688461</v>
      </c>
      <c r="W54" s="343">
        <f t="shared" si="54"/>
        <v>0.21313842057928634</v>
      </c>
      <c r="X54" s="343">
        <f t="shared" si="54"/>
        <v>4.2162318939200416E-2</v>
      </c>
      <c r="Y54" s="343">
        <f t="shared" si="54"/>
        <v>4.175953775467911E-2</v>
      </c>
      <c r="Z54" s="8"/>
      <c r="AA54" s="992" t="s">
        <v>581</v>
      </c>
      <c r="AB54" s="410"/>
      <c r="AC54" s="8"/>
      <c r="AD54" s="8"/>
      <c r="AE54" s="8"/>
      <c r="AF54" s="8"/>
      <c r="AG54" s="8"/>
      <c r="AH54" s="8"/>
      <c r="AI54" s="8"/>
      <c r="AJ54" s="8"/>
      <c r="AK54" s="8"/>
      <c r="AL54" s="8"/>
      <c r="AM54" s="8"/>
      <c r="AN54" s="8"/>
      <c r="AO54" s="8"/>
      <c r="AP54" s="8"/>
      <c r="AQ54" s="8"/>
      <c r="AR54" s="8"/>
      <c r="AS54" s="8"/>
      <c r="AT54" s="8"/>
      <c r="AU54" s="8"/>
      <c r="AV54" s="8"/>
      <c r="AW54" s="8"/>
    </row>
    <row r="55" spans="1:49">
      <c r="A55" s="8"/>
      <c r="B55" s="648" t="s">
        <v>650</v>
      </c>
      <c r="C55" s="717" t="s">
        <v>193</v>
      </c>
      <c r="D55" s="690">
        <f>'P&amp;L'!K107</f>
        <v>28</v>
      </c>
      <c r="E55" s="690">
        <f>'P&amp;L'!L107</f>
        <v>28</v>
      </c>
      <c r="F55" s="690">
        <f>'P&amp;L'!M107</f>
        <v>28</v>
      </c>
      <c r="G55" s="690">
        <f>'P&amp;L'!N107</f>
        <v>28</v>
      </c>
      <c r="H55" s="690">
        <f>'P&amp;L'!O107</f>
        <v>28</v>
      </c>
      <c r="I55" s="690">
        <f>'P&amp;L'!P107</f>
        <v>28</v>
      </c>
      <c r="J55" s="690">
        <f>'P&amp;L'!Q107</f>
        <v>28</v>
      </c>
      <c r="K55" s="690">
        <f>'P&amp;L'!R107</f>
        <v>29.5</v>
      </c>
      <c r="L55" s="690">
        <f>'P&amp;L'!S107</f>
        <v>30.5</v>
      </c>
      <c r="M55" s="690">
        <f>'P&amp;L'!T107</f>
        <v>31</v>
      </c>
      <c r="N55" s="690">
        <f>'P&amp;L'!U107</f>
        <v>31</v>
      </c>
      <c r="O55" s="690">
        <f>'P&amp;L'!V107</f>
        <v>22</v>
      </c>
      <c r="P55" s="690">
        <f>'P&amp;L'!W107</f>
        <v>16</v>
      </c>
      <c r="Q55" s="690">
        <f>'P&amp;L'!X107</f>
        <v>16</v>
      </c>
      <c r="R55" s="690">
        <f>'P&amp;L'!Y107</f>
        <v>16</v>
      </c>
      <c r="S55" s="690">
        <f>'P&amp;L'!Z107</f>
        <v>16.5</v>
      </c>
      <c r="T55" s="690">
        <f>'P&amp;L'!AA107</f>
        <v>17</v>
      </c>
      <c r="U55" s="690">
        <f>'P&amp;L'!AB107</f>
        <v>18</v>
      </c>
      <c r="V55" s="690">
        <f>'P&amp;L'!AC107</f>
        <v>19</v>
      </c>
      <c r="W55" s="690">
        <f>'P&amp;L'!AD107</f>
        <v>21</v>
      </c>
      <c r="X55" s="690">
        <f>'P&amp;L'!AE107</f>
        <v>22</v>
      </c>
      <c r="Y55" s="690">
        <f>'P&amp;L'!AF107</f>
        <v>23</v>
      </c>
      <c r="Z55" s="8"/>
      <c r="AA55" s="388" t="str">
        <f>'Balance Sheet'!$B$5</f>
        <v>Fiscal year ended 30 June</v>
      </c>
      <c r="AB55" s="712"/>
      <c r="AC55" s="497" t="str">
        <f t="shared" ref="AC55:AW55" si="55">E8</f>
        <v>FY08</v>
      </c>
      <c r="AD55" s="496" t="str">
        <f t="shared" si="55"/>
        <v>FY09</v>
      </c>
      <c r="AE55" s="385" t="str">
        <f t="shared" si="55"/>
        <v>FY10</v>
      </c>
      <c r="AF55" s="385" t="str">
        <f t="shared" si="55"/>
        <v>FY11</v>
      </c>
      <c r="AG55" s="385" t="str">
        <f t="shared" si="55"/>
        <v>FY12</v>
      </c>
      <c r="AH55" s="385" t="str">
        <f t="shared" si="55"/>
        <v>FY13</v>
      </c>
      <c r="AI55" s="385" t="str">
        <f t="shared" si="55"/>
        <v>FY14</v>
      </c>
      <c r="AJ55" s="385" t="str">
        <f t="shared" si="55"/>
        <v>FY15</v>
      </c>
      <c r="AK55" s="498" t="str">
        <f t="shared" si="55"/>
        <v>FY16</v>
      </c>
      <c r="AL55" s="385" t="str">
        <f t="shared" si="55"/>
        <v>FY17</v>
      </c>
      <c r="AM55" s="498" t="str">
        <f t="shared" si="55"/>
        <v>FY18</v>
      </c>
      <c r="AN55" s="386">
        <f t="shared" si="55"/>
        <v>19</v>
      </c>
      <c r="AO55" s="386">
        <f t="shared" si="55"/>
        <v>20</v>
      </c>
      <c r="AP55" s="387">
        <f t="shared" si="55"/>
        <v>21</v>
      </c>
      <c r="AQ55" s="386">
        <f t="shared" si="55"/>
        <v>22</v>
      </c>
      <c r="AR55" s="387">
        <f t="shared" si="55"/>
        <v>23</v>
      </c>
      <c r="AS55" s="386">
        <f t="shared" si="55"/>
        <v>24</v>
      </c>
      <c r="AT55" s="386">
        <f t="shared" si="55"/>
        <v>25</v>
      </c>
      <c r="AU55" s="387">
        <f t="shared" si="55"/>
        <v>26</v>
      </c>
      <c r="AV55" s="387">
        <f t="shared" si="55"/>
        <v>27</v>
      </c>
      <c r="AW55" s="387">
        <f t="shared" si="55"/>
        <v>28</v>
      </c>
    </row>
    <row r="56" spans="1:49">
      <c r="A56" s="8"/>
      <c r="B56" s="8"/>
      <c r="C56" s="718"/>
      <c r="D56" s="8"/>
      <c r="E56" s="8"/>
      <c r="F56" s="8"/>
      <c r="G56" s="8"/>
      <c r="H56" s="8"/>
      <c r="I56" s="8"/>
      <c r="J56" s="8"/>
      <c r="K56" s="8"/>
      <c r="L56" s="8"/>
      <c r="M56" s="8"/>
      <c r="N56" s="8"/>
      <c r="O56" s="8"/>
      <c r="P56" s="8"/>
      <c r="Q56" s="8"/>
      <c r="R56" s="8"/>
      <c r="S56" s="8"/>
      <c r="T56" s="8"/>
      <c r="U56" s="8"/>
      <c r="V56" s="8"/>
      <c r="W56" s="8"/>
      <c r="X56" s="8"/>
      <c r="Y56" s="8"/>
      <c r="Z56" s="8"/>
      <c r="AA56" s="8" t="s">
        <v>26</v>
      </c>
      <c r="AB56" s="410" t="s">
        <v>732</v>
      </c>
      <c r="AC56" s="984">
        <f>'Balance Sheet'!L70</f>
        <v>15406</v>
      </c>
      <c r="AD56" s="984">
        <f>'Balance Sheet'!M70</f>
        <v>15671</v>
      </c>
      <c r="AE56" s="984">
        <f>'Balance Sheet'!N70</f>
        <v>14111</v>
      </c>
      <c r="AF56" s="984">
        <f>'Balance Sheet'!O70</f>
        <v>13603</v>
      </c>
      <c r="AG56" s="984">
        <f>'Balance Sheet'!P70</f>
        <v>13277</v>
      </c>
      <c r="AH56" s="984">
        <f>'Balance Sheet'!Q70</f>
        <v>13149</v>
      </c>
      <c r="AI56" s="984">
        <f>'Balance Sheet'!R70</f>
        <v>10521</v>
      </c>
      <c r="AJ56" s="984">
        <f>'Balance Sheet'!S70</f>
        <v>13566</v>
      </c>
      <c r="AK56" s="984">
        <f>'Balance Sheet'!T70</f>
        <v>12459.008596325</v>
      </c>
      <c r="AL56" s="984">
        <f>'Balance Sheet'!U70</f>
        <v>15280</v>
      </c>
      <c r="AM56" s="984">
        <f>'Balance Sheet'!V70</f>
        <v>14739</v>
      </c>
      <c r="AN56" s="984">
        <f>'Balance Sheet'!W70</f>
        <v>14727</v>
      </c>
      <c r="AO56" s="984">
        <f>'Balance Sheet'!X70</f>
        <v>13546</v>
      </c>
      <c r="AP56" s="984">
        <f>'Balance Sheet'!Y70</f>
        <v>11958</v>
      </c>
      <c r="AQ56" s="984">
        <f>'Balance Sheet'!Z70</f>
        <v>9433</v>
      </c>
      <c r="AR56" s="984">
        <f>'Balance Sheet'!AA70</f>
        <v>11602</v>
      </c>
      <c r="AS56" s="984">
        <f>'Balance Sheet'!AB70</f>
        <v>13077</v>
      </c>
      <c r="AT56" s="984">
        <f>'Balance Sheet'!AC70</f>
        <v>13766</v>
      </c>
      <c r="AU56" s="984">
        <f>'Balance Sheet'!AD70</f>
        <v>14745.034413037571</v>
      </c>
      <c r="AV56" s="984">
        <f>'Balance Sheet'!AE70</f>
        <v>15094.209102262736</v>
      </c>
      <c r="AW56" s="984">
        <f>'Balance Sheet'!AF70</f>
        <v>15182.412023839803</v>
      </c>
    </row>
    <row r="57" spans="1:49">
      <c r="A57" s="8"/>
      <c r="B57" s="8" t="s">
        <v>1372</v>
      </c>
      <c r="C57" s="410" t="s">
        <v>733</v>
      </c>
      <c r="D57" s="343"/>
      <c r="E57" s="343"/>
      <c r="F57" s="343"/>
      <c r="G57" s="343"/>
      <c r="H57" s="343"/>
      <c r="I57" s="343"/>
      <c r="J57" s="343"/>
      <c r="K57" s="343"/>
      <c r="L57" s="343"/>
      <c r="M57" s="343"/>
      <c r="N57" s="343"/>
      <c r="O57" s="343"/>
      <c r="P57" s="343">
        <f>'Cost + BS Assumptions'!W48</f>
        <v>0.35280308010141798</v>
      </c>
      <c r="Q57" s="343">
        <f>'Cost + BS Assumptions'!X48</f>
        <v>0.34323790720631786</v>
      </c>
      <c r="R57" s="343">
        <f>'Cost + BS Assumptions'!Y48</f>
        <v>0.39172932330827065</v>
      </c>
      <c r="S57" s="343">
        <f>'Cost + BS Assumptions'!Z48</f>
        <v>0.42038014783526928</v>
      </c>
      <c r="T57" s="343">
        <f>'Cost + BS Assumptions'!AA48</f>
        <v>0.44862546305322676</v>
      </c>
      <c r="U57" s="343">
        <f>'Cost + BS Assumptions'!AB48</f>
        <v>0.46875582913635516</v>
      </c>
      <c r="V57" s="343">
        <f>'Cost + BS Assumptions'!AC48</f>
        <v>0.47762142532909668</v>
      </c>
      <c r="W57" s="343">
        <f>'Cost + BS Assumptions'!AD48</f>
        <v>0.47799999999999998</v>
      </c>
      <c r="X57" s="343">
        <f>'Cost + BS Assumptions'!AE48</f>
        <v>0.47799999999999998</v>
      </c>
      <c r="Y57" s="343">
        <f>'Cost + BS Assumptions'!AF48</f>
        <v>0.47799999999999998</v>
      </c>
      <c r="Z57" s="8"/>
      <c r="AA57" s="691" t="s">
        <v>1048</v>
      </c>
      <c r="AB57" s="713" t="s">
        <v>521</v>
      </c>
      <c r="AC57" s="691"/>
      <c r="AD57" s="691"/>
      <c r="AE57" s="691"/>
      <c r="AF57" s="691"/>
      <c r="AG57" s="691"/>
      <c r="AH57" s="691"/>
      <c r="AI57" s="691"/>
      <c r="AJ57" s="691"/>
      <c r="AK57" s="691"/>
      <c r="AL57" s="692">
        <f t="shared" ref="AL57:AW57" si="56">AL56/N30</f>
        <v>1.6309736410963516</v>
      </c>
      <c r="AM57" s="692">
        <f t="shared" si="56"/>
        <v>1.6879294548786075</v>
      </c>
      <c r="AN57" s="692">
        <f t="shared" si="56"/>
        <v>1.7953187858100694</v>
      </c>
      <c r="AO57" s="692">
        <f t="shared" si="56"/>
        <v>1.8283169118639493</v>
      </c>
      <c r="AP57" s="692">
        <f t="shared" si="56"/>
        <v>1.7877111675885782</v>
      </c>
      <c r="AQ57" s="692">
        <f t="shared" si="56"/>
        <v>1.3009240104813129</v>
      </c>
      <c r="AR57" s="692">
        <f t="shared" si="56"/>
        <v>1.45937106918239</v>
      </c>
      <c r="AS57" s="692">
        <f t="shared" si="56"/>
        <v>1.5864369768288245</v>
      </c>
      <c r="AT57" s="692">
        <f t="shared" si="56"/>
        <v>1.596798515253451</v>
      </c>
      <c r="AU57" s="692">
        <f t="shared" si="56"/>
        <v>1.645219205730712</v>
      </c>
      <c r="AV57" s="692">
        <f t="shared" si="56"/>
        <v>1.6318754848898702</v>
      </c>
      <c r="AW57" s="692">
        <f t="shared" si="56"/>
        <v>1.5883294808511397</v>
      </c>
    </row>
    <row r="58" spans="1:49">
      <c r="A58" s="8"/>
      <c r="B58" s="9" t="s">
        <v>1373</v>
      </c>
      <c r="C58" s="338" t="s">
        <v>733</v>
      </c>
      <c r="D58" s="993"/>
      <c r="E58" s="993"/>
      <c r="F58" s="993"/>
      <c r="G58" s="993"/>
      <c r="H58" s="993"/>
      <c r="I58" s="993"/>
      <c r="J58" s="993"/>
      <c r="K58" s="993"/>
      <c r="L58" s="993"/>
      <c r="M58" s="993"/>
      <c r="N58" s="993"/>
      <c r="O58" s="343"/>
      <c r="P58" s="993">
        <f t="shared" ref="P58:U58" si="57">P30/P24</f>
        <v>0.29499766245909304</v>
      </c>
      <c r="Q58" s="993">
        <f t="shared" si="57"/>
        <v>0.28565369934842116</v>
      </c>
      <c r="R58" s="993">
        <f t="shared" si="57"/>
        <v>0.28916652256614211</v>
      </c>
      <c r="S58" s="993">
        <f t="shared" si="57"/>
        <v>0.32891812202313447</v>
      </c>
      <c r="T58" s="993">
        <f t="shared" si="57"/>
        <v>0.34200889383674565</v>
      </c>
      <c r="U58" s="993">
        <f t="shared" si="57"/>
        <v>0.35103483519291373</v>
      </c>
      <c r="V58" s="993">
        <f>V30/V24</f>
        <v>0.365141889030072</v>
      </c>
      <c r="W58" s="993">
        <f>W30/W24</f>
        <v>0.36565093372950952</v>
      </c>
      <c r="X58" s="993">
        <f>X30/X24</f>
        <v>0.36738056389999668</v>
      </c>
      <c r="Y58" s="993">
        <f>Y30/Y24</f>
        <v>0.36839264346057682</v>
      </c>
      <c r="Z58" s="8"/>
      <c r="AA58" s="8" t="s">
        <v>252</v>
      </c>
      <c r="AB58" s="410" t="s">
        <v>733</v>
      </c>
      <c r="AC58" s="990">
        <f t="shared" ref="AC58:AO58" si="58">AC56/AC33</f>
        <v>1.2581461821151489</v>
      </c>
      <c r="AD58" s="990">
        <f t="shared" si="58"/>
        <v>1.2357858213074679</v>
      </c>
      <c r="AE58" s="990">
        <f t="shared" si="58"/>
        <v>1.0847939729397293</v>
      </c>
      <c r="AF58" s="990">
        <f t="shared" si="58"/>
        <v>1.1066547347868532</v>
      </c>
      <c r="AG58" s="990">
        <f t="shared" si="58"/>
        <v>1.1358542219180425</v>
      </c>
      <c r="AH58" s="990">
        <f t="shared" si="58"/>
        <v>1.0212815533980582</v>
      </c>
      <c r="AI58" s="990">
        <f t="shared" si="58"/>
        <v>0.75365329512893986</v>
      </c>
      <c r="AJ58" s="990">
        <f t="shared" si="58"/>
        <v>0.93494141971054445</v>
      </c>
      <c r="AK58" s="990">
        <f t="shared" si="58"/>
        <v>0.78324104666622196</v>
      </c>
      <c r="AL58" s="990">
        <f t="shared" si="58"/>
        <v>1.0494505494505495</v>
      </c>
      <c r="AM58" s="990">
        <f t="shared" si="58"/>
        <v>1.0143142247608561</v>
      </c>
      <c r="AN58" s="990">
        <f t="shared" si="58"/>
        <v>1.0135581555402615</v>
      </c>
      <c r="AO58" s="990">
        <f t="shared" si="58"/>
        <v>0.89430250214563944</v>
      </c>
      <c r="AP58" s="990">
        <f t="shared" ref="AP58:AU58" si="59">AP56/AP33</f>
        <v>0.78284779050736497</v>
      </c>
      <c r="AQ58" s="990">
        <f t="shared" si="59"/>
        <v>0.56025420205499787</v>
      </c>
      <c r="AR58" s="990">
        <f t="shared" si="59"/>
        <v>0.65121239335428827</v>
      </c>
      <c r="AS58" s="990">
        <f t="shared" si="59"/>
        <v>0.75363070539419086</v>
      </c>
      <c r="AT58" s="990">
        <f t="shared" si="59"/>
        <v>0.84371169404265756</v>
      </c>
      <c r="AU58" s="990">
        <f t="shared" si="59"/>
        <v>0.95929689020934183</v>
      </c>
      <c r="AV58" s="990">
        <f t="shared" ref="AV58:AW58" si="60">AV56/AV33</f>
        <v>0.99461253301697783</v>
      </c>
      <c r="AW58" s="990">
        <f t="shared" si="60"/>
        <v>0.99723737481273023</v>
      </c>
    </row>
    <row r="59" spans="1:49">
      <c r="A59" s="8"/>
      <c r="B59" s="1204" t="s">
        <v>1487</v>
      </c>
      <c r="C59" s="717" t="s">
        <v>733</v>
      </c>
      <c r="D59" s="646"/>
      <c r="E59" s="646"/>
      <c r="F59" s="646"/>
      <c r="G59" s="646"/>
      <c r="H59" s="646"/>
      <c r="I59" s="646"/>
      <c r="J59" s="646"/>
      <c r="K59" s="646"/>
      <c r="L59" s="646"/>
      <c r="M59" s="646"/>
      <c r="N59" s="646"/>
      <c r="O59" s="646"/>
      <c r="P59" s="646"/>
      <c r="Q59" s="646"/>
      <c r="R59" s="646"/>
      <c r="S59" s="646"/>
      <c r="T59" s="646"/>
      <c r="U59" s="1205">
        <f>'P&amp;L'!AB140</f>
        <v>3.711340206185567E-2</v>
      </c>
      <c r="V59" s="1205">
        <f>'P&amp;L'!AC140</f>
        <v>3.9175257731958769E-2</v>
      </c>
      <c r="W59" s="1205">
        <f>'P&amp;L'!AD140</f>
        <v>4.3298969072164947E-2</v>
      </c>
      <c r="X59" s="1205">
        <f>'P&amp;L'!AE140</f>
        <v>4.5360824742268047E-2</v>
      </c>
      <c r="Y59" s="1205">
        <f>'P&amp;L'!AF140</f>
        <v>4.7422680412371139E-2</v>
      </c>
      <c r="Z59" s="8"/>
      <c r="AA59" s="8" t="s">
        <v>545</v>
      </c>
      <c r="AB59" s="410" t="s">
        <v>732</v>
      </c>
      <c r="AC59" s="984">
        <f>'Balance Sheet'!L72</f>
        <v>30676</v>
      </c>
      <c r="AD59" s="984">
        <f>'Balance Sheet'!M72</f>
        <v>31546</v>
      </c>
      <c r="AE59" s="984">
        <f>'Balance Sheet'!N72</f>
        <v>31254</v>
      </c>
      <c r="AF59" s="984">
        <f>'Balance Sheet'!O72</f>
        <v>30286</v>
      </c>
      <c r="AG59" s="984">
        <f>'Balance Sheet'!P72</f>
        <v>32104</v>
      </c>
      <c r="AH59" s="984">
        <f>'Balance Sheet'!Q72</f>
        <v>30325</v>
      </c>
      <c r="AI59" s="984">
        <f>'Balance Sheet'!R72</f>
        <v>32978</v>
      </c>
      <c r="AJ59" s="984">
        <f>'Balance Sheet'!S72</f>
        <v>31113</v>
      </c>
      <c r="AK59" s="984">
        <f>'Balance Sheet'!T72</f>
        <v>34056.991403674998</v>
      </c>
      <c r="AL59" s="984">
        <f>'Balance Sheet'!U72</f>
        <v>32575</v>
      </c>
      <c r="AM59" s="984">
        <f>'Balance Sheet'!V72</f>
        <v>34713</v>
      </c>
      <c r="AN59" s="984">
        <f>'Balance Sheet'!W72</f>
        <v>35379</v>
      </c>
      <c r="AO59" s="984">
        <f>'Balance Sheet'!X72</f>
        <v>36991</v>
      </c>
      <c r="AP59" s="984">
        <f>'Balance Sheet'!Y72</f>
        <v>35394</v>
      </c>
      <c r="AQ59" s="984">
        <f>'Balance Sheet'!Z72</f>
        <v>33473</v>
      </c>
      <c r="AR59" s="984">
        <f>'Balance Sheet'!AA72</f>
        <v>34040</v>
      </c>
      <c r="AS59" s="984">
        <f>'Balance Sheet'!AB72</f>
        <v>33129</v>
      </c>
      <c r="AT59" s="984">
        <f>'Balance Sheet'!AC72</f>
        <v>33193</v>
      </c>
      <c r="AU59" s="984">
        <f>'Balance Sheet'!AD72</f>
        <v>33344.848608664426</v>
      </c>
      <c r="AV59" s="984">
        <f>'Balance Sheet'!AE72</f>
        <v>33851.887176383214</v>
      </c>
      <c r="AW59" s="984">
        <f>'Balance Sheet'!AF72</f>
        <v>34627.610207119542</v>
      </c>
    </row>
    <row r="60" spans="1:49">
      <c r="A60" s="8"/>
      <c r="Z60" s="8"/>
      <c r="AA60" s="8" t="s">
        <v>546</v>
      </c>
      <c r="AB60" s="410" t="s">
        <v>35</v>
      </c>
      <c r="AC60" s="994">
        <f>AC59/'P&amp;L'!L100</f>
        <v>2.480873433077234</v>
      </c>
      <c r="AD60" s="994">
        <f>AD59/'P&amp;L'!M100</f>
        <v>2.5506144890038809</v>
      </c>
      <c r="AE60" s="994">
        <f>AE59/'P&amp;L'!N100</f>
        <v>2.5259839974137233</v>
      </c>
      <c r="AF60" s="994">
        <f>AF59/'P&amp;L'!O100</f>
        <v>2.4459699563883057</v>
      </c>
      <c r="AG60" s="994">
        <f>AG59/'P&amp;L'!P100</f>
        <v>2.5894499112760121</v>
      </c>
      <c r="AH60" s="994">
        <f>AH59/'P&amp;L'!Q100</f>
        <v>2.4443817507657584</v>
      </c>
      <c r="AI60" s="994">
        <f>AI59/'P&amp;L'!R100</f>
        <v>2.6556611370591079</v>
      </c>
      <c r="AJ60" s="994">
        <f>AJ59/'P&amp;L'!S100</f>
        <v>2.5369373776908022</v>
      </c>
      <c r="AK60" s="994">
        <f>AK59/'P&amp;L'!T100</f>
        <v>2.7910991152003768</v>
      </c>
      <c r="AL60" s="994">
        <f>AL59/'P&amp;L'!U100</f>
        <v>2.7218415775401068</v>
      </c>
      <c r="AM60" s="994">
        <f>AM59/'P&amp;L'!V100</f>
        <v>2.9219696969696969</v>
      </c>
      <c r="AN60" s="994">
        <f>AN59/'P&amp;L'!W100</f>
        <v>2.978030303030303</v>
      </c>
      <c r="AO60" s="994">
        <f>AO59/'P&amp;L'!X100</f>
        <v>3.1137205387205387</v>
      </c>
      <c r="AP60" s="994">
        <f>AP59/'P&amp;L'!Y100</f>
        <v>2.9805473684210528</v>
      </c>
      <c r="AQ60" s="994">
        <f>AQ59/'P&amp;L'!Z100</f>
        <v>2.8475542322415994</v>
      </c>
      <c r="AR60" s="994">
        <f>AR59/'P&amp;L'!AA100</f>
        <v>2.9489734037945077</v>
      </c>
      <c r="AS60" s="994">
        <f>AS59/'P&amp;L'!AB100</f>
        <v>2.8700511132287967</v>
      </c>
      <c r="AT60" s="994">
        <f>AT59/'P&amp;L'!AC100</f>
        <v>2.882838283828383</v>
      </c>
      <c r="AU60" s="994">
        <f>AU59/'P&amp;L'!AD100</f>
        <v>2.9626961242360594</v>
      </c>
      <c r="AV60" s="994">
        <f>AV59/'P&amp;L'!AE100</f>
        <v>3.0214433222799055</v>
      </c>
      <c r="AW60" s="994">
        <f>AW59/'P&amp;L'!AF100</f>
        <v>3.0906803240146909</v>
      </c>
    </row>
    <row r="61" spans="1:49" ht="13.5" customHeight="1"/>
    <row r="63" spans="1:49" ht="14.4" outlineLevel="1" thickBot="1"/>
    <row r="64" spans="1:49" ht="14.4" outlineLevel="1" thickBot="1">
      <c r="B64" s="1149" t="s">
        <v>1469</v>
      </c>
      <c r="C64" s="1150"/>
      <c r="D64" s="1150"/>
      <c r="E64" s="1150"/>
      <c r="F64" s="1150"/>
      <c r="G64" s="1150"/>
      <c r="H64" s="1150"/>
      <c r="I64" s="1150"/>
      <c r="J64" s="1150"/>
      <c r="K64" s="1150"/>
      <c r="L64" s="1150"/>
      <c r="M64" s="1150"/>
      <c r="N64" s="1150"/>
      <c r="O64" s="1150"/>
      <c r="P64" s="1150"/>
      <c r="Q64" s="1150"/>
      <c r="R64" s="1150"/>
      <c r="S64" s="1150"/>
      <c r="T64" s="1183"/>
      <c r="U64" s="1183"/>
      <c r="V64" s="1193"/>
      <c r="W64" s="1183">
        <f>W8</f>
        <v>26</v>
      </c>
      <c r="X64" s="1183">
        <f>X8</f>
        <v>27</v>
      </c>
      <c r="Y64" s="1183">
        <f>Y8</f>
        <v>28</v>
      </c>
      <c r="AB64"/>
      <c r="AH64" s="996"/>
    </row>
    <row r="65" spans="2:34" outlineLevel="1">
      <c r="B65" s="1151"/>
      <c r="C65" s="1163"/>
      <c r="D65" s="1163"/>
      <c r="E65" s="1163"/>
      <c r="F65" s="1163"/>
      <c r="G65" s="1163"/>
      <c r="H65" s="1163"/>
      <c r="I65" s="1163"/>
      <c r="J65" s="1163"/>
      <c r="K65" s="1163"/>
      <c r="L65" s="1163"/>
      <c r="M65" s="1163"/>
      <c r="N65" s="1163"/>
      <c r="O65" s="1163"/>
      <c r="P65" s="1163"/>
      <c r="Q65" s="1163"/>
      <c r="R65" s="1163"/>
      <c r="S65" s="1163"/>
      <c r="T65" s="1163"/>
      <c r="U65" s="1163"/>
      <c r="V65" s="1163"/>
      <c r="W65" s="1163"/>
      <c r="X65" s="1163"/>
      <c r="Y65" s="1152"/>
      <c r="AB65"/>
      <c r="AH65" s="996"/>
    </row>
    <row r="66" spans="2:34" outlineLevel="1">
      <c r="B66" s="1153" t="s">
        <v>1443</v>
      </c>
      <c r="C66" s="1167"/>
      <c r="D66" s="1167"/>
      <c r="E66" s="1167"/>
      <c r="F66" s="1167"/>
      <c r="G66" s="1167"/>
      <c r="H66" s="1167"/>
      <c r="I66" s="1167"/>
      <c r="J66" s="1167"/>
      <c r="K66" s="1167"/>
      <c r="L66" s="1167"/>
      <c r="M66" s="1167"/>
      <c r="N66" s="1167"/>
      <c r="O66" s="1167"/>
      <c r="P66" s="1167"/>
      <c r="Q66" s="1167"/>
      <c r="R66" s="1167"/>
      <c r="S66" s="1167"/>
      <c r="T66" s="1185"/>
      <c r="U66" s="1185"/>
      <c r="V66" s="1185"/>
      <c r="W66" s="1185">
        <v>24540.70391300898</v>
      </c>
      <c r="X66" s="1185">
        <v>25332.755591980462</v>
      </c>
      <c r="Y66" s="1186">
        <v>26175.233467738617</v>
      </c>
      <c r="AB66"/>
      <c r="AH66" s="996"/>
    </row>
    <row r="67" spans="2:34" outlineLevel="1">
      <c r="B67" s="1153" t="s">
        <v>1444</v>
      </c>
      <c r="C67" s="1167"/>
      <c r="D67" s="1167"/>
      <c r="E67" s="1167"/>
      <c r="F67" s="1167"/>
      <c r="G67" s="1167"/>
      <c r="H67" s="1167"/>
      <c r="I67" s="1167"/>
      <c r="J67" s="1167"/>
      <c r="K67" s="1167"/>
      <c r="L67" s="1167"/>
      <c r="M67" s="1167"/>
      <c r="N67" s="1167"/>
      <c r="O67" s="1167"/>
      <c r="P67" s="1167"/>
      <c r="Q67" s="1167"/>
      <c r="R67" s="1167"/>
      <c r="S67" s="1167"/>
      <c r="T67" s="1185"/>
      <c r="U67" s="1185"/>
      <c r="V67" s="1185"/>
      <c r="W67" s="1185">
        <f>W24</f>
        <v>24510.678474448981</v>
      </c>
      <c r="X67" s="1185">
        <f>X24</f>
        <v>25177.184787169535</v>
      </c>
      <c r="Y67" s="1186">
        <f>Y24</f>
        <v>25947.12399963582</v>
      </c>
      <c r="AB67"/>
      <c r="AH67" s="996"/>
    </row>
    <row r="68" spans="2:34" outlineLevel="1">
      <c r="B68" s="1154" t="s">
        <v>1445</v>
      </c>
      <c r="C68" s="1155"/>
      <c r="D68" s="1155"/>
      <c r="E68" s="1155"/>
      <c r="F68" s="1155"/>
      <c r="G68" s="1155"/>
      <c r="H68" s="1155"/>
      <c r="I68" s="1155"/>
      <c r="J68" s="1155"/>
      <c r="K68" s="1155"/>
      <c r="L68" s="1155"/>
      <c r="M68" s="1155"/>
      <c r="N68" s="1155"/>
      <c r="O68" s="1155"/>
      <c r="P68" s="1155"/>
      <c r="Q68" s="1155"/>
      <c r="R68" s="1155"/>
      <c r="S68" s="1155"/>
      <c r="T68" s="1174"/>
      <c r="U68" s="1174"/>
      <c r="V68" s="1174"/>
      <c r="W68" s="1174">
        <f>W67/W66-1</f>
        <v>-1.2234954085437177E-3</v>
      </c>
      <c r="X68" s="1174">
        <f>X67/X66-1</f>
        <v>-6.1410928726669534E-3</v>
      </c>
      <c r="Y68" s="1175">
        <f>Y67/Y66-1</f>
        <v>-8.7147061509096346E-3</v>
      </c>
      <c r="AB68"/>
      <c r="AH68" s="996"/>
    </row>
    <row r="69" spans="2:34" outlineLevel="1">
      <c r="B69" s="1151"/>
      <c r="C69" s="1163"/>
      <c r="D69" s="1163"/>
      <c r="E69" s="1163"/>
      <c r="F69" s="1163"/>
      <c r="G69" s="1163"/>
      <c r="H69" s="1163"/>
      <c r="I69" s="1163"/>
      <c r="J69" s="1163"/>
      <c r="K69" s="1163"/>
      <c r="L69" s="1163"/>
      <c r="M69" s="1163"/>
      <c r="N69" s="1163"/>
      <c r="O69" s="1163"/>
      <c r="P69" s="1163"/>
      <c r="Q69" s="1163"/>
      <c r="R69" s="1163"/>
      <c r="S69" s="1163"/>
      <c r="T69" s="1176"/>
      <c r="U69" s="1176"/>
      <c r="V69" s="1176"/>
      <c r="W69" s="1176"/>
      <c r="X69" s="1176"/>
      <c r="Y69" s="1177"/>
      <c r="AB69"/>
      <c r="AH69" s="996"/>
    </row>
    <row r="70" spans="2:34" outlineLevel="1">
      <c r="B70" s="1153" t="s">
        <v>1444</v>
      </c>
      <c r="C70" s="1167"/>
      <c r="D70" s="1167"/>
      <c r="E70" s="1167"/>
      <c r="F70" s="1167"/>
      <c r="G70" s="1167"/>
      <c r="H70" s="1167"/>
      <c r="I70" s="1167"/>
      <c r="J70" s="1167"/>
      <c r="K70" s="1167"/>
      <c r="L70" s="1167"/>
      <c r="M70" s="1167"/>
      <c r="N70" s="1167"/>
      <c r="O70" s="1167"/>
      <c r="P70" s="1167"/>
      <c r="Q70" s="1167"/>
      <c r="R70" s="1167"/>
      <c r="S70" s="1167"/>
      <c r="T70" s="1185"/>
      <c r="U70" s="1185"/>
      <c r="V70" s="1185"/>
      <c r="W70" s="1185">
        <f>W67</f>
        <v>24510.678474448981</v>
      </c>
      <c r="X70" s="1185">
        <f>X67</f>
        <v>25177.184787169535</v>
      </c>
      <c r="Y70" s="1186">
        <f>Y67</f>
        <v>25947.12399963582</v>
      </c>
      <c r="AB70"/>
      <c r="AH70" s="996"/>
    </row>
    <row r="71" spans="2:34" outlineLevel="1">
      <c r="B71" s="1153" t="s">
        <v>1446</v>
      </c>
      <c r="C71" s="1167"/>
      <c r="D71" s="1167"/>
      <c r="E71" s="1167"/>
      <c r="F71" s="1167"/>
      <c r="G71" s="1167"/>
      <c r="H71" s="1167"/>
      <c r="I71" s="1167"/>
      <c r="J71" s="1167"/>
      <c r="K71" s="1167"/>
      <c r="L71" s="1167"/>
      <c r="M71" s="1167"/>
      <c r="N71" s="1167"/>
      <c r="O71" s="1167"/>
      <c r="P71" s="1167"/>
      <c r="Q71" s="1167"/>
      <c r="R71" s="1167"/>
      <c r="S71" s="1167"/>
      <c r="T71" s="1185"/>
      <c r="U71" s="1185"/>
      <c r="V71" s="1185"/>
      <c r="W71" s="1185">
        <f>_xll.VAData("TLS_AU","FY-2026","Total income","consensus.vaactuals","CD")</f>
        <v>23873.54103066825</v>
      </c>
      <c r="X71" s="1185">
        <f>_xll.VAData("TLS_AU","FY-2027","Total income","consensus.vaactuals","CD")</f>
        <v>24213.402996959085</v>
      </c>
      <c r="Y71" s="1186">
        <f>_xll.VAData("TLS_AU","FY-2028","Total income","consensus.vaactuals","CD")</f>
        <v>24671.758619365752</v>
      </c>
      <c r="AB71"/>
      <c r="AH71" s="996"/>
    </row>
    <row r="72" spans="2:34" outlineLevel="1">
      <c r="B72" s="1154" t="s">
        <v>1447</v>
      </c>
      <c r="C72" s="1155"/>
      <c r="D72" s="1155"/>
      <c r="E72" s="1155"/>
      <c r="F72" s="1155"/>
      <c r="G72" s="1155"/>
      <c r="H72" s="1155"/>
      <c r="I72" s="1155"/>
      <c r="J72" s="1155"/>
      <c r="K72" s="1155"/>
      <c r="L72" s="1155"/>
      <c r="M72" s="1155"/>
      <c r="N72" s="1155"/>
      <c r="O72" s="1155"/>
      <c r="P72" s="1155"/>
      <c r="Q72" s="1155"/>
      <c r="R72" s="1155"/>
      <c r="S72" s="1155"/>
      <c r="T72" s="1174"/>
      <c r="U72" s="1174"/>
      <c r="V72" s="1174"/>
      <c r="W72" s="1174">
        <f>W70/W71-1</f>
        <v>2.6688015948796995E-2</v>
      </c>
      <c r="X72" s="1174">
        <f>X70/X71-1</f>
        <v>3.9803648844050965E-2</v>
      </c>
      <c r="Y72" s="1175">
        <f>Y70/Y71-1</f>
        <v>5.1693330821945827E-2</v>
      </c>
      <c r="AA72" s="1165"/>
      <c r="AB72" s="1198"/>
      <c r="AH72" s="996"/>
    </row>
    <row r="73" spans="2:34" outlineLevel="1">
      <c r="B73" s="1151"/>
      <c r="C73" s="1163"/>
      <c r="D73" s="1163"/>
      <c r="E73" s="1163"/>
      <c r="F73" s="1163"/>
      <c r="G73" s="1163"/>
      <c r="H73" s="1163"/>
      <c r="I73" s="1163"/>
      <c r="J73" s="1163"/>
      <c r="K73" s="1163"/>
      <c r="L73" s="1163"/>
      <c r="M73" s="1163"/>
      <c r="N73" s="1163"/>
      <c r="O73" s="1163"/>
      <c r="P73" s="1163"/>
      <c r="Q73" s="1163"/>
      <c r="R73" s="1163"/>
      <c r="S73" s="1163"/>
      <c r="T73" s="1176"/>
      <c r="U73" s="1176"/>
      <c r="V73" s="1176"/>
      <c r="W73" s="1176"/>
      <c r="X73" s="1176"/>
      <c r="Y73" s="1177"/>
      <c r="AB73"/>
      <c r="AH73" s="996"/>
    </row>
    <row r="74" spans="2:34" outlineLevel="1">
      <c r="B74" s="1156" t="s">
        <v>1448</v>
      </c>
      <c r="C74" s="1168"/>
      <c r="D74" s="1168"/>
      <c r="E74" s="1168"/>
      <c r="F74" s="1168"/>
      <c r="G74" s="1168"/>
      <c r="H74" s="1168"/>
      <c r="I74" s="1168"/>
      <c r="J74" s="1168"/>
      <c r="K74" s="1168"/>
      <c r="L74" s="1168"/>
      <c r="M74" s="1168"/>
      <c r="N74" s="1168"/>
      <c r="O74" s="1168"/>
      <c r="P74" s="1168"/>
      <c r="Q74" s="1168"/>
      <c r="R74" s="1168"/>
      <c r="S74" s="1168"/>
      <c r="T74" s="1187"/>
      <c r="U74" s="1187"/>
      <c r="V74" s="1187"/>
      <c r="W74" s="1187">
        <v>8976.7046301577411</v>
      </c>
      <c r="X74" s="1187">
        <v>9323.9711892243849</v>
      </c>
      <c r="Y74" s="1188">
        <v>9667.7659261783519</v>
      </c>
      <c r="AB74"/>
      <c r="AH74" s="996"/>
    </row>
    <row r="75" spans="2:34" outlineLevel="1">
      <c r="B75" s="1156" t="s">
        <v>1449</v>
      </c>
      <c r="C75" s="1168"/>
      <c r="D75" s="1168"/>
      <c r="E75" s="1168"/>
      <c r="F75" s="1168"/>
      <c r="G75" s="1168"/>
      <c r="H75" s="1168"/>
      <c r="I75" s="1168"/>
      <c r="J75" s="1168"/>
      <c r="K75" s="1168"/>
      <c r="L75" s="1168"/>
      <c r="M75" s="1168"/>
      <c r="N75" s="1168"/>
      <c r="O75" s="1168"/>
      <c r="P75" s="1168"/>
      <c r="Q75" s="1168"/>
      <c r="R75" s="1168"/>
      <c r="S75" s="1168"/>
      <c r="T75" s="1187"/>
      <c r="U75" s="1187"/>
      <c r="V75" s="1187"/>
      <c r="W75" s="1187">
        <f>W30</f>
        <v>8962.3524705260606</v>
      </c>
      <c r="X75" s="1187">
        <f>X30</f>
        <v>9249.6083445247623</v>
      </c>
      <c r="Y75" s="1188">
        <f>Y30</f>
        <v>9558.7296004252148</v>
      </c>
      <c r="AB75"/>
      <c r="AH75" s="996"/>
    </row>
    <row r="76" spans="2:34" outlineLevel="1">
      <c r="B76" s="1154" t="s">
        <v>1445</v>
      </c>
      <c r="C76" s="1155"/>
      <c r="D76" s="1155"/>
      <c r="E76" s="1155"/>
      <c r="F76" s="1155"/>
      <c r="G76" s="1155"/>
      <c r="H76" s="1155"/>
      <c r="I76" s="1155"/>
      <c r="J76" s="1155"/>
      <c r="K76" s="1155"/>
      <c r="L76" s="1155"/>
      <c r="M76" s="1155"/>
      <c r="N76" s="1155"/>
      <c r="O76" s="1155"/>
      <c r="P76" s="1155"/>
      <c r="Q76" s="1155"/>
      <c r="R76" s="1155"/>
      <c r="S76" s="1155"/>
      <c r="T76" s="1174"/>
      <c r="U76" s="1174"/>
      <c r="V76" s="1174"/>
      <c r="W76" s="1174">
        <f>W75/W74-1</f>
        <v>-1.5988227554534218E-3</v>
      </c>
      <c r="X76" s="1174">
        <f>X75/X74-1</f>
        <v>-7.9754477132621959E-3</v>
      </c>
      <c r="Y76" s="1175">
        <f>Y75/Y74-1</f>
        <v>-1.1278337372431446E-2</v>
      </c>
      <c r="AB76"/>
      <c r="AH76" s="996"/>
    </row>
    <row r="77" spans="2:34" outlineLevel="1">
      <c r="B77" s="1151"/>
      <c r="C77" s="1163"/>
      <c r="D77" s="1163"/>
      <c r="E77" s="1163"/>
      <c r="F77" s="1163"/>
      <c r="G77" s="1163"/>
      <c r="H77" s="1163"/>
      <c r="I77" s="1163"/>
      <c r="J77" s="1163"/>
      <c r="K77" s="1163"/>
      <c r="L77" s="1163"/>
      <c r="M77" s="1163"/>
      <c r="N77" s="1163"/>
      <c r="O77" s="1163"/>
      <c r="P77" s="1163"/>
      <c r="Q77" s="1163"/>
      <c r="R77" s="1163"/>
      <c r="S77" s="1163"/>
      <c r="T77" s="1176"/>
      <c r="U77" s="1176"/>
      <c r="V77" s="1176"/>
      <c r="W77" s="1176"/>
      <c r="X77" s="1176"/>
      <c r="Y77" s="1177"/>
      <c r="AB77"/>
      <c r="AH77" s="996"/>
    </row>
    <row r="78" spans="2:34" outlineLevel="1">
      <c r="B78" s="1156" t="s">
        <v>1449</v>
      </c>
      <c r="C78" s="1168"/>
      <c r="D78" s="1168"/>
      <c r="E78" s="1168"/>
      <c r="F78" s="1168"/>
      <c r="G78" s="1168"/>
      <c r="H78" s="1168"/>
      <c r="I78" s="1168"/>
      <c r="J78" s="1168"/>
      <c r="K78" s="1168"/>
      <c r="L78" s="1168"/>
      <c r="M78" s="1168"/>
      <c r="N78" s="1168"/>
      <c r="O78" s="1168"/>
      <c r="P78" s="1168"/>
      <c r="Q78" s="1168"/>
      <c r="R78" s="1168"/>
      <c r="S78" s="1168"/>
      <c r="T78" s="1187"/>
      <c r="U78" s="1187"/>
      <c r="V78" s="1187"/>
      <c r="W78" s="1187">
        <f>W75</f>
        <v>8962.3524705260606</v>
      </c>
      <c r="X78" s="1187">
        <f>X75</f>
        <v>9249.6083445247623</v>
      </c>
      <c r="Y78" s="1188">
        <f>Y75</f>
        <v>9558.7296004252148</v>
      </c>
      <c r="AB78"/>
      <c r="AH78" s="996"/>
    </row>
    <row r="79" spans="2:34" outlineLevel="1">
      <c r="B79" s="1156" t="s">
        <v>1450</v>
      </c>
      <c r="C79" s="1168"/>
      <c r="D79" s="1168"/>
      <c r="E79" s="1168"/>
      <c r="F79" s="1168"/>
      <c r="G79" s="1168"/>
      <c r="H79" s="1168"/>
      <c r="I79" s="1168"/>
      <c r="J79" s="1168"/>
      <c r="K79" s="1168"/>
      <c r="L79" s="1168"/>
      <c r="M79" s="1168"/>
      <c r="N79" s="1168"/>
      <c r="O79" s="1168"/>
      <c r="P79" s="1168"/>
      <c r="Q79" s="1168"/>
      <c r="R79" s="1168"/>
      <c r="S79" s="1168"/>
      <c r="T79" s="1187"/>
      <c r="U79" s="1187"/>
      <c r="V79" s="1187"/>
      <c r="W79" s="1187">
        <f>_xll.VAData("TLS_AU","FY-2026","Underlying - EBITDA","consensus.vaactuals","CD")</f>
        <v>8940.6075750350119</v>
      </c>
      <c r="X79" s="1187">
        <f>_xll.VAData("TLS_AU","FY-2027","Underlying - EBITDA","consensus.vaactuals","CD")</f>
        <v>9246.5282141837197</v>
      </c>
      <c r="Y79" s="1188">
        <f>_xll.VAData("TLS_AU","FY-2028","Underlying - EBITDA","consensus.vaactuals","CD")</f>
        <v>9535.3230888736107</v>
      </c>
      <c r="AB79"/>
      <c r="AH79" s="996"/>
    </row>
    <row r="80" spans="2:34" outlineLevel="1">
      <c r="B80" s="1154" t="s">
        <v>1447</v>
      </c>
      <c r="C80" s="1155"/>
      <c r="D80" s="1155"/>
      <c r="E80" s="1155"/>
      <c r="F80" s="1155"/>
      <c r="G80" s="1155"/>
      <c r="H80" s="1155"/>
      <c r="I80" s="1155"/>
      <c r="J80" s="1155"/>
      <c r="K80" s="1155"/>
      <c r="L80" s="1155"/>
      <c r="M80" s="1155"/>
      <c r="N80" s="1155"/>
      <c r="O80" s="1155"/>
      <c r="P80" s="1155"/>
      <c r="Q80" s="1155"/>
      <c r="R80" s="1155"/>
      <c r="S80" s="1155"/>
      <c r="T80" s="1174"/>
      <c r="U80" s="1174"/>
      <c r="V80" s="1174"/>
      <c r="W80" s="1174">
        <f>W78/W79-1</f>
        <v>2.4321496395578457E-3</v>
      </c>
      <c r="X80" s="1174">
        <f>X78/X79-1</f>
        <v>3.3311209025654875E-4</v>
      </c>
      <c r="Y80" s="1175">
        <f>Y78/Y79-1</f>
        <v>2.4547161468411183E-3</v>
      </c>
      <c r="AB80"/>
      <c r="AH80" s="996"/>
    </row>
    <row r="81" spans="2:34" outlineLevel="1">
      <c r="B81" s="1151"/>
      <c r="C81" s="1163"/>
      <c r="D81" s="1163"/>
      <c r="E81" s="1163"/>
      <c r="F81" s="1163"/>
      <c r="G81" s="1163"/>
      <c r="H81" s="1163"/>
      <c r="I81" s="1163"/>
      <c r="J81" s="1163"/>
      <c r="K81" s="1163"/>
      <c r="L81" s="1163"/>
      <c r="M81" s="1163"/>
      <c r="N81" s="1163"/>
      <c r="O81" s="1163"/>
      <c r="P81" s="1163"/>
      <c r="Q81" s="1163"/>
      <c r="R81" s="1163"/>
      <c r="S81" s="1163"/>
      <c r="T81" s="1176"/>
      <c r="U81" s="1176"/>
      <c r="V81" s="1176"/>
      <c r="W81" s="1176"/>
      <c r="X81" s="1176"/>
      <c r="Y81" s="1177"/>
      <c r="AB81"/>
      <c r="AH81" s="996"/>
    </row>
    <row r="82" spans="2:34" outlineLevel="1">
      <c r="B82" s="1157" t="s">
        <v>1451</v>
      </c>
      <c r="C82" s="1169"/>
      <c r="D82" s="1169"/>
      <c r="E82" s="1169"/>
      <c r="F82" s="1169"/>
      <c r="G82" s="1169"/>
      <c r="H82" s="1169"/>
      <c r="I82" s="1169"/>
      <c r="J82" s="1169"/>
      <c r="K82" s="1169"/>
      <c r="L82" s="1169"/>
      <c r="M82" s="1169"/>
      <c r="N82" s="1169"/>
      <c r="O82" s="1169"/>
      <c r="P82" s="1169"/>
      <c r="Q82" s="1169"/>
      <c r="R82" s="1169"/>
      <c r="S82" s="1169"/>
      <c r="T82" s="1189"/>
      <c r="U82" s="1189"/>
      <c r="V82" s="1189"/>
      <c r="W82" s="1189">
        <v>2463.8166887874959</v>
      </c>
      <c r="X82" s="1189">
        <v>2650.9805201259137</v>
      </c>
      <c r="Y82" s="1190">
        <v>2867.1431426265872</v>
      </c>
      <c r="AB82"/>
      <c r="AH82" s="996"/>
    </row>
    <row r="83" spans="2:34" outlineLevel="1">
      <c r="B83" s="1157" t="s">
        <v>1452</v>
      </c>
      <c r="C83" s="1169"/>
      <c r="D83" s="1169"/>
      <c r="E83" s="1169"/>
      <c r="F83" s="1169"/>
      <c r="G83" s="1169"/>
      <c r="H83" s="1169"/>
      <c r="I83" s="1169"/>
      <c r="J83" s="1169"/>
      <c r="K83" s="1169"/>
      <c r="L83" s="1169"/>
      <c r="M83" s="1169"/>
      <c r="N83" s="1169"/>
      <c r="O83" s="1169"/>
      <c r="P83" s="1169"/>
      <c r="Q83" s="1169"/>
      <c r="R83" s="1169"/>
      <c r="S83" s="1169"/>
      <c r="T83" s="1189"/>
      <c r="U83" s="1189"/>
      <c r="V83" s="1189"/>
      <c r="W83" s="1189">
        <f>W49</f>
        <v>2418.1974171777601</v>
      </c>
      <c r="X83" s="1189">
        <f>X49</f>
        <v>2520.1542279387595</v>
      </c>
      <c r="Y83" s="1190">
        <f>Y49</f>
        <v>2625.3947035679821</v>
      </c>
      <c r="AA83" s="1164"/>
      <c r="AB83"/>
      <c r="AH83" s="996"/>
    </row>
    <row r="84" spans="2:34" outlineLevel="1">
      <c r="B84" s="1154" t="s">
        <v>1445</v>
      </c>
      <c r="C84" s="1155"/>
      <c r="D84" s="1155"/>
      <c r="E84" s="1155"/>
      <c r="F84" s="1155"/>
      <c r="G84" s="1155"/>
      <c r="H84" s="1155"/>
      <c r="I84" s="1155"/>
      <c r="J84" s="1155"/>
      <c r="K84" s="1155"/>
      <c r="L84" s="1155"/>
      <c r="M84" s="1155"/>
      <c r="N84" s="1155"/>
      <c r="O84" s="1155"/>
      <c r="P84" s="1155"/>
      <c r="Q84" s="1155"/>
      <c r="R84" s="1155"/>
      <c r="S84" s="1155"/>
      <c r="T84" s="1174"/>
      <c r="U84" s="1174"/>
      <c r="V84" s="1174"/>
      <c r="W84" s="1174">
        <f>W83/W82-1</f>
        <v>-1.8515692266126371E-2</v>
      </c>
      <c r="X84" s="1174">
        <f>X83/X82-1</f>
        <v>-4.9350152214977516E-2</v>
      </c>
      <c r="Y84" s="1175">
        <f>Y83/Y82-1</f>
        <v>-8.4316836318517274E-2</v>
      </c>
      <c r="AB84"/>
      <c r="AH84" s="996"/>
    </row>
    <row r="85" spans="2:34" outlineLevel="1">
      <c r="B85" s="1151"/>
      <c r="C85" s="1163"/>
      <c r="D85" s="1163"/>
      <c r="E85" s="1163"/>
      <c r="F85" s="1163"/>
      <c r="G85" s="1163"/>
      <c r="H85" s="1163"/>
      <c r="I85" s="1163"/>
      <c r="J85" s="1163"/>
      <c r="K85" s="1163"/>
      <c r="L85" s="1163"/>
      <c r="M85" s="1163"/>
      <c r="N85" s="1163"/>
      <c r="O85" s="1163"/>
      <c r="P85" s="1163"/>
      <c r="Q85" s="1163"/>
      <c r="R85" s="1163"/>
      <c r="S85" s="1163"/>
      <c r="T85" s="1176"/>
      <c r="U85" s="1176"/>
      <c r="V85" s="1176"/>
      <c r="W85" s="1176"/>
      <c r="X85" s="1176"/>
      <c r="Y85" s="1177"/>
      <c r="AB85"/>
      <c r="AH85" s="996"/>
    </row>
    <row r="86" spans="2:34" outlineLevel="1">
      <c r="B86" s="1157" t="s">
        <v>1452</v>
      </c>
      <c r="C86" s="1169"/>
      <c r="D86" s="1169"/>
      <c r="E86" s="1169"/>
      <c r="F86" s="1169"/>
      <c r="G86" s="1169"/>
      <c r="H86" s="1169"/>
      <c r="I86" s="1169"/>
      <c r="J86" s="1169"/>
      <c r="K86" s="1169"/>
      <c r="L86" s="1169"/>
      <c r="M86" s="1169"/>
      <c r="N86" s="1169"/>
      <c r="O86" s="1169"/>
      <c r="P86" s="1169"/>
      <c r="Q86" s="1169"/>
      <c r="R86" s="1169"/>
      <c r="S86" s="1169"/>
      <c r="T86" s="1191"/>
      <c r="U86" s="1191"/>
      <c r="V86" s="1191"/>
      <c r="W86" s="1191">
        <f>W83</f>
        <v>2418.1974171777601</v>
      </c>
      <c r="X86" s="1191">
        <f>X83</f>
        <v>2520.1542279387595</v>
      </c>
      <c r="Y86" s="1192">
        <f>Y83</f>
        <v>2625.3947035679821</v>
      </c>
      <c r="AB86"/>
      <c r="AH86" s="996"/>
    </row>
    <row r="87" spans="2:34" outlineLevel="1">
      <c r="B87" s="1157" t="s">
        <v>1453</v>
      </c>
      <c r="C87" s="1169"/>
      <c r="D87" s="1169"/>
      <c r="E87" s="1169"/>
      <c r="F87" s="1169"/>
      <c r="G87" s="1169"/>
      <c r="H87" s="1169"/>
      <c r="I87" s="1169"/>
      <c r="J87" s="1169"/>
      <c r="K87" s="1169"/>
      <c r="L87" s="1169"/>
      <c r="M87" s="1169"/>
      <c r="N87" s="1169"/>
      <c r="O87" s="1169"/>
      <c r="P87" s="1169"/>
      <c r="Q87" s="1169"/>
      <c r="R87" s="1169"/>
      <c r="S87" s="1169"/>
      <c r="T87" s="1191"/>
      <c r="U87" s="1191"/>
      <c r="V87" s="1191"/>
      <c r="W87" s="1191">
        <f>_xll.VAData("TLS_AU","FY-2026","Profit attributable to equity holders","consensus.vaactuals","CD")</f>
        <v>2312.7599198886664</v>
      </c>
      <c r="X87" s="1191">
        <f>_xll.VAData("TLS_AU","FY-2027","Profit attributable to equity holders","consensus.vaactuals","CD")</f>
        <v>2426.9831084263983</v>
      </c>
      <c r="Y87" s="1192">
        <f>_xll.VAData("TLS_AU","FY-2028","Profit attributable to equity holders","consensus.vaactuals","CD")</f>
        <v>2556.067448172681</v>
      </c>
      <c r="AB87"/>
      <c r="AH87" s="996"/>
    </row>
    <row r="88" spans="2:34" outlineLevel="1">
      <c r="B88" s="1154" t="s">
        <v>1447</v>
      </c>
      <c r="C88" s="1155"/>
      <c r="D88" s="1155"/>
      <c r="E88" s="1155"/>
      <c r="F88" s="1155"/>
      <c r="G88" s="1155"/>
      <c r="H88" s="1155"/>
      <c r="I88" s="1155"/>
      <c r="J88" s="1155"/>
      <c r="K88" s="1155"/>
      <c r="L88" s="1155"/>
      <c r="M88" s="1155"/>
      <c r="N88" s="1155"/>
      <c r="O88" s="1155"/>
      <c r="P88" s="1155"/>
      <c r="Q88" s="1155"/>
      <c r="R88" s="1155"/>
      <c r="S88" s="1155"/>
      <c r="T88" s="1174"/>
      <c r="U88" s="1174"/>
      <c r="V88" s="1174"/>
      <c r="W88" s="1174">
        <f>W86/W87-1</f>
        <v>4.5589469266731797E-2</v>
      </c>
      <c r="X88" s="1174">
        <f>X86/X87-1</f>
        <v>3.8389686021659708E-2</v>
      </c>
      <c r="Y88" s="1175">
        <f>Y86/Y87-1</f>
        <v>2.7122623640022825E-2</v>
      </c>
      <c r="AB88"/>
      <c r="AH88" s="996"/>
    </row>
    <row r="89" spans="2:34" outlineLevel="1">
      <c r="B89" s="1151"/>
      <c r="C89" s="1163"/>
      <c r="D89" s="1163"/>
      <c r="E89" s="1163"/>
      <c r="F89" s="1163"/>
      <c r="G89" s="1163"/>
      <c r="H89" s="1163"/>
      <c r="I89" s="1163"/>
      <c r="J89" s="1163"/>
      <c r="K89" s="1163"/>
      <c r="L89" s="1163"/>
      <c r="M89" s="1163"/>
      <c r="N89" s="1163"/>
      <c r="O89" s="1163"/>
      <c r="P89" s="1163"/>
      <c r="Q89" s="1163"/>
      <c r="R89" s="1163"/>
      <c r="S89" s="1163"/>
      <c r="T89" s="1181"/>
      <c r="U89" s="1181"/>
      <c r="V89" s="1181"/>
      <c r="W89" s="1181"/>
      <c r="X89" s="1181"/>
      <c r="Y89" s="1182"/>
      <c r="AB89"/>
      <c r="AH89" s="996"/>
    </row>
    <row r="90" spans="2:34" outlineLevel="1">
      <c r="B90" s="1157" t="s">
        <v>1481</v>
      </c>
      <c r="C90" s="1169"/>
      <c r="D90" s="1169"/>
      <c r="E90" s="1169"/>
      <c r="F90" s="1169"/>
      <c r="G90" s="1169"/>
      <c r="H90" s="1169"/>
      <c r="I90" s="1169"/>
      <c r="J90" s="1169"/>
      <c r="K90" s="1169"/>
      <c r="L90" s="1169"/>
      <c r="M90" s="1169"/>
      <c r="N90" s="1169"/>
      <c r="O90" s="1169"/>
      <c r="P90" s="1169"/>
      <c r="Q90" s="1169"/>
      <c r="R90" s="1169"/>
      <c r="S90" s="1169"/>
      <c r="T90" s="1172"/>
      <c r="U90" s="1172"/>
      <c r="V90" s="1172"/>
      <c r="W90" s="1172">
        <v>21.519929153528654</v>
      </c>
      <c r="X90" s="1172">
        <v>23.154690541758352</v>
      </c>
      <c r="Y90" s="1173">
        <v>25.042738602730257</v>
      </c>
      <c r="AB90"/>
      <c r="AH90" s="996"/>
    </row>
    <row r="91" spans="2:34" outlineLevel="1">
      <c r="B91" s="1157" t="s">
        <v>1482</v>
      </c>
      <c r="C91" s="1169"/>
      <c r="D91" s="1169"/>
      <c r="E91" s="1169"/>
      <c r="F91" s="1169"/>
      <c r="G91" s="1169"/>
      <c r="H91" s="1169"/>
      <c r="I91" s="1169"/>
      <c r="J91" s="1169"/>
      <c r="K91" s="1169"/>
      <c r="L91" s="1169"/>
      <c r="M91" s="1169"/>
      <c r="N91" s="1169"/>
      <c r="O91" s="1169"/>
      <c r="P91" s="1169"/>
      <c r="Q91" s="1169"/>
      <c r="R91" s="1169"/>
      <c r="S91" s="1169"/>
      <c r="T91" s="1172"/>
      <c r="U91" s="1172"/>
      <c r="V91" s="1172"/>
      <c r="W91" s="1172">
        <f>W53</f>
        <v>21.485729923657786</v>
      </c>
      <c r="X91" s="1172">
        <f>X53</f>
        <v>22.391618121340567</v>
      </c>
      <c r="Y91" s="1173">
        <f>Y53</f>
        <v>23.326681743667045</v>
      </c>
      <c r="AB91"/>
      <c r="AH91" s="996"/>
    </row>
    <row r="92" spans="2:34" outlineLevel="1">
      <c r="B92" s="1154" t="s">
        <v>1445</v>
      </c>
      <c r="C92" s="1155"/>
      <c r="D92" s="1155"/>
      <c r="E92" s="1155"/>
      <c r="F92" s="1155"/>
      <c r="G92" s="1155"/>
      <c r="H92" s="1155"/>
      <c r="I92" s="1155"/>
      <c r="J92" s="1155"/>
      <c r="K92" s="1155"/>
      <c r="L92" s="1155"/>
      <c r="M92" s="1155"/>
      <c r="N92" s="1155"/>
      <c r="O92" s="1155"/>
      <c r="P92" s="1155"/>
      <c r="Q92" s="1155"/>
      <c r="R92" s="1155"/>
      <c r="S92" s="1155"/>
      <c r="T92" s="1174"/>
      <c r="U92" s="1174"/>
      <c r="V92" s="1174"/>
      <c r="W92" s="1174">
        <f>W91/W90-1</f>
        <v>-1.5891887759891254E-3</v>
      </c>
      <c r="X92" s="1174">
        <f>X91/X90-1</f>
        <v>-3.2955414327028976E-2</v>
      </c>
      <c r="Y92" s="1175">
        <f>Y91/Y90-1</f>
        <v>-6.8525127634248451E-2</v>
      </c>
      <c r="AB92"/>
      <c r="AH92" s="996"/>
    </row>
    <row r="93" spans="2:34" outlineLevel="1">
      <c r="B93" s="1151"/>
      <c r="C93" s="1163"/>
      <c r="D93" s="1163"/>
      <c r="E93" s="1163"/>
      <c r="F93" s="1163"/>
      <c r="G93" s="1163"/>
      <c r="H93" s="1163"/>
      <c r="I93" s="1163"/>
      <c r="J93" s="1163"/>
      <c r="K93" s="1163"/>
      <c r="L93" s="1163"/>
      <c r="M93" s="1163"/>
      <c r="N93" s="1163"/>
      <c r="O93" s="1163"/>
      <c r="P93" s="1163"/>
      <c r="Q93" s="1163"/>
      <c r="R93" s="1163"/>
      <c r="S93" s="1163"/>
      <c r="T93" s="1176"/>
      <c r="U93" s="1176"/>
      <c r="V93" s="1176"/>
      <c r="W93" s="1176"/>
      <c r="X93" s="1176"/>
      <c r="Y93" s="1177"/>
      <c r="AB93"/>
      <c r="AH93" s="996"/>
    </row>
    <row r="94" spans="2:34" outlineLevel="1">
      <c r="B94" s="1157" t="s">
        <v>1482</v>
      </c>
      <c r="C94" s="1169"/>
      <c r="D94" s="1169"/>
      <c r="E94" s="1169"/>
      <c r="F94" s="1169"/>
      <c r="G94" s="1169"/>
      <c r="H94" s="1169"/>
      <c r="I94" s="1169"/>
      <c r="J94" s="1169"/>
      <c r="K94" s="1169"/>
      <c r="L94" s="1169"/>
      <c r="M94" s="1169"/>
      <c r="N94" s="1169"/>
      <c r="O94" s="1169"/>
      <c r="P94" s="1169"/>
      <c r="Q94" s="1169"/>
      <c r="R94" s="1169"/>
      <c r="S94" s="1169"/>
      <c r="T94" s="1178"/>
      <c r="U94" s="1178"/>
      <c r="V94" s="1178"/>
      <c r="W94" s="1178">
        <f>W91</f>
        <v>21.485729923657786</v>
      </c>
      <c r="X94" s="1178">
        <f>X91</f>
        <v>22.391618121340567</v>
      </c>
      <c r="Y94" s="1179">
        <f>Y91</f>
        <v>23.326681743667045</v>
      </c>
      <c r="AB94"/>
      <c r="AH94" s="996"/>
    </row>
    <row r="95" spans="2:34" outlineLevel="1">
      <c r="B95" s="1157" t="s">
        <v>1464</v>
      </c>
      <c r="C95" s="1169"/>
      <c r="D95" s="1169"/>
      <c r="E95" s="1169"/>
      <c r="F95" s="1169"/>
      <c r="G95" s="1169"/>
      <c r="H95" s="1169"/>
      <c r="I95" s="1169"/>
      <c r="J95" s="1169"/>
      <c r="K95" s="1169"/>
      <c r="L95" s="1169"/>
      <c r="M95" s="1169"/>
      <c r="N95" s="1169"/>
      <c r="O95" s="1169"/>
      <c r="P95" s="1169"/>
      <c r="Q95" s="1169"/>
      <c r="R95" s="1169"/>
      <c r="S95" s="1169"/>
      <c r="T95" s="1180"/>
      <c r="U95" s="1194"/>
      <c r="V95" s="1180"/>
      <c r="W95" s="1194">
        <f>_xll.VAData("TLS_AU","FY-2026","EPS - Diluted","consensus.vaactuals","CD")</f>
        <v>20.551097375621701</v>
      </c>
      <c r="X95" s="1194">
        <f>_xll.VAData("TLS_AU","FY-2027","EPS - Diluted","consensus.vaactuals","CD")</f>
        <v>21.818613105714899</v>
      </c>
      <c r="Y95" s="1184">
        <f>_xll.VAData("TLS_AU","FY-2028","EPS - Diluted","consensus.vaactuals","CD")</f>
        <v>23.253656614805301</v>
      </c>
      <c r="AB95"/>
      <c r="AH95" s="996"/>
    </row>
    <row r="96" spans="2:34" outlineLevel="1">
      <c r="B96" s="1154" t="s">
        <v>1447</v>
      </c>
      <c r="C96" s="1155"/>
      <c r="D96" s="1155"/>
      <c r="E96" s="1155"/>
      <c r="F96" s="1155"/>
      <c r="G96" s="1155"/>
      <c r="H96" s="1155"/>
      <c r="I96" s="1155"/>
      <c r="J96" s="1155"/>
      <c r="K96" s="1155"/>
      <c r="L96" s="1155"/>
      <c r="M96" s="1155"/>
      <c r="N96" s="1155"/>
      <c r="O96" s="1155"/>
      <c r="P96" s="1155"/>
      <c r="Q96" s="1155"/>
      <c r="R96" s="1155"/>
      <c r="S96" s="1155"/>
      <c r="T96" s="1174"/>
      <c r="U96" s="1174"/>
      <c r="V96" s="1174"/>
      <c r="W96" s="1174">
        <f>W94/W95-1</f>
        <v>4.5478474017877524E-2</v>
      </c>
      <c r="X96" s="1174">
        <f>X94/X95-1</f>
        <v>2.6262210748655868E-2</v>
      </c>
      <c r="Y96" s="1175">
        <f>Y94/Y95-1</f>
        <v>3.1403718594196217E-3</v>
      </c>
      <c r="AB96"/>
      <c r="AH96" s="996"/>
    </row>
    <row r="97" spans="2:34" ht="14.4" outlineLevel="1" thickBot="1">
      <c r="B97" s="1158"/>
      <c r="C97" s="1159"/>
      <c r="D97" s="1159"/>
      <c r="E97" s="1159"/>
      <c r="F97" s="1159"/>
      <c r="G97" s="1159"/>
      <c r="H97" s="1159"/>
      <c r="I97" s="1159"/>
      <c r="J97" s="1159"/>
      <c r="K97" s="1159"/>
      <c r="L97" s="1159"/>
      <c r="M97" s="1159"/>
      <c r="N97" s="1159"/>
      <c r="O97" s="1159"/>
      <c r="P97" s="1159"/>
      <c r="Q97" s="1159"/>
      <c r="R97" s="1159"/>
      <c r="S97" s="1159"/>
      <c r="T97" s="1170"/>
      <c r="U97" s="1170"/>
      <c r="V97" s="1170"/>
      <c r="W97" s="1170"/>
      <c r="X97" s="1170"/>
      <c r="Y97" s="1171"/>
      <c r="AB97"/>
      <c r="AH97" s="996"/>
    </row>
    <row r="98" spans="2:34" outlineLevel="1"/>
  </sheetData>
  <phoneticPr fontId="10" type="noConversion"/>
  <pageMargins left="0" right="0" top="0" bottom="0" header="0" footer="0"/>
  <pageSetup paperSize="5" orientation="landscape" horizontalDpi="300" verticalDpi="300" r:id="rId1"/>
  <headerFooter alignWithMargins="0"/>
  <ignoredErrors>
    <ignoredError sqref="Q12:T23 U12:U23 V12:V23 W12:W23 X12:X23 V24:Y49" formula="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outlinePr summaryBelow="0"/>
    <pageSetUpPr autoPageBreaks="0"/>
  </sheetPr>
  <dimension ref="A1:AU2038"/>
  <sheetViews>
    <sheetView showGridLines="0" zoomScale="85" zoomScaleNormal="85" workbookViewId="0">
      <pane xSplit="3" ySplit="6" topLeftCell="Z72" activePane="bottomRight" state="frozen"/>
      <selection pane="topRight" activeCell="D1" sqref="D1"/>
      <selection pane="bottomLeft" activeCell="A7" sqref="A7"/>
      <selection pane="bottomRight" activeCell="AM133" sqref="AM133"/>
    </sheetView>
  </sheetViews>
  <sheetFormatPr defaultColWidth="9.6640625" defaultRowHeight="13.8" outlineLevelRow="1" outlineLevelCol="1"/>
  <cols>
    <col min="1" max="1" width="2.6640625" customWidth="1"/>
    <col min="2" max="2" width="50.6640625" customWidth="1"/>
    <col min="3" max="3" width="9.6640625" customWidth="1"/>
    <col min="4" max="25" width="9.6640625" hidden="1" customWidth="1" outlineLevel="1"/>
    <col min="26" max="26" width="9.6640625" customWidth="1" collapsed="1"/>
    <col min="27" max="47" width="9.6640625" customWidth="1"/>
  </cols>
  <sheetData>
    <row r="1" spans="1:47">
      <c r="A1" s="473"/>
      <c r="B1" s="472"/>
      <c r="C1" s="474"/>
      <c r="D1" s="474"/>
      <c r="E1" s="474"/>
      <c r="F1" s="474"/>
      <c r="G1" s="474"/>
      <c r="H1" s="474"/>
      <c r="I1" s="474"/>
      <c r="J1" s="474"/>
      <c r="K1" s="469"/>
      <c r="L1" s="469"/>
      <c r="M1" s="469"/>
      <c r="N1" s="469"/>
      <c r="O1" s="469"/>
      <c r="P1" s="469"/>
      <c r="Q1" s="469"/>
      <c r="R1" s="469"/>
      <c r="S1" s="469"/>
      <c r="T1" s="472"/>
      <c r="U1" s="472"/>
      <c r="V1" s="472"/>
      <c r="W1" s="472"/>
      <c r="X1" s="472"/>
      <c r="Y1" s="472"/>
      <c r="Z1" s="472"/>
      <c r="AA1" s="472"/>
      <c r="AB1" s="472"/>
      <c r="AC1" s="472"/>
      <c r="AD1" s="472"/>
      <c r="AE1" s="472"/>
      <c r="AF1" s="472"/>
      <c r="AG1" s="472"/>
      <c r="AH1" s="472"/>
      <c r="AI1" s="472"/>
      <c r="AJ1" s="472"/>
      <c r="AK1" s="472"/>
      <c r="AL1" s="472"/>
      <c r="AM1" s="472"/>
      <c r="AN1" s="472"/>
      <c r="AO1" s="472"/>
      <c r="AP1" s="472"/>
      <c r="AQ1" s="472"/>
      <c r="AR1" s="472"/>
      <c r="AS1" s="472"/>
      <c r="AT1" s="472"/>
      <c r="AU1" s="472"/>
    </row>
    <row r="2" spans="1:47" ht="23.4">
      <c r="A2" s="473"/>
      <c r="B2" s="475" t="s">
        <v>1368</v>
      </c>
      <c r="C2" s="476"/>
      <c r="D2" s="476"/>
      <c r="E2" s="476"/>
      <c r="F2" s="476"/>
      <c r="G2" s="476"/>
      <c r="H2" s="476"/>
      <c r="I2" s="476"/>
      <c r="J2" s="476"/>
      <c r="K2" s="472"/>
      <c r="L2" s="477"/>
      <c r="M2" s="478"/>
      <c r="N2" s="469"/>
      <c r="O2" s="469"/>
      <c r="P2" s="469"/>
      <c r="Q2" s="469"/>
      <c r="R2" s="469"/>
      <c r="S2" s="469"/>
      <c r="T2" s="472"/>
      <c r="U2" s="472"/>
      <c r="V2" s="472"/>
      <c r="W2" s="472"/>
      <c r="X2" s="472"/>
      <c r="Y2" s="472"/>
      <c r="Z2" s="479"/>
      <c r="AA2" s="479"/>
      <c r="AB2" s="479"/>
      <c r="AC2" s="479"/>
      <c r="AD2" s="479"/>
      <c r="AE2" s="479"/>
      <c r="AF2" s="479"/>
      <c r="AG2" s="479"/>
      <c r="AH2" s="479"/>
      <c r="AI2" s="479"/>
      <c r="AJ2" s="479"/>
      <c r="AK2" s="479"/>
      <c r="AL2" s="479"/>
      <c r="AM2" s="479"/>
      <c r="AN2" s="479"/>
      <c r="AO2" s="479"/>
      <c r="AP2" s="479"/>
      <c r="AQ2" s="479"/>
      <c r="AR2" s="479"/>
      <c r="AS2" s="479"/>
      <c r="AT2" s="479"/>
      <c r="AU2" s="479"/>
    </row>
    <row r="3" spans="1:47" ht="18">
      <c r="A3" s="473"/>
      <c r="B3" s="480" t="str">
        <f ca="1">MID(CELL("filename",A1),FIND("]",CELL("filename",A1))+1,255)</f>
        <v>Revenue Assumptions</v>
      </c>
      <c r="C3" s="476"/>
      <c r="D3" s="476"/>
      <c r="E3" s="476"/>
      <c r="F3" s="476"/>
      <c r="G3" s="476"/>
      <c r="H3" s="476"/>
      <c r="I3" s="476"/>
      <c r="J3" s="476"/>
      <c r="K3" s="481"/>
      <c r="L3" s="469"/>
      <c r="M3" s="469"/>
      <c r="N3" s="469"/>
      <c r="O3" s="469"/>
      <c r="P3" s="482"/>
      <c r="Q3" s="482"/>
      <c r="R3" s="482"/>
      <c r="S3" s="482"/>
      <c r="T3" s="482"/>
      <c r="U3" s="482"/>
      <c r="V3" s="482"/>
      <c r="W3" s="482"/>
      <c r="X3" s="482"/>
      <c r="Y3" s="482"/>
      <c r="Z3" s="472"/>
      <c r="AA3" s="472"/>
      <c r="AB3" s="483"/>
      <c r="AC3" s="483"/>
      <c r="AD3" s="483"/>
      <c r="AE3" s="483"/>
      <c r="AF3" s="483"/>
      <c r="AG3" s="483"/>
      <c r="AH3" s="483"/>
      <c r="AI3" s="483"/>
      <c r="AJ3" s="483"/>
      <c r="AK3" s="483"/>
      <c r="AL3" s="483"/>
      <c r="AM3" s="483"/>
      <c r="AN3" s="472"/>
      <c r="AO3" s="472"/>
      <c r="AP3" s="472"/>
      <c r="AQ3" s="472"/>
      <c r="AR3" s="472"/>
      <c r="AS3" s="472"/>
      <c r="AT3" s="472"/>
      <c r="AU3" s="472"/>
    </row>
    <row r="4" spans="1:47" ht="14.4">
      <c r="A4" s="472"/>
      <c r="B4" s="489">
        <f>MENU!$H$33</f>
        <v>4.8499999999999996</v>
      </c>
      <c r="C4" s="485"/>
      <c r="D4" s="488">
        <v>34150</v>
      </c>
      <c r="E4" s="488">
        <f>+EOMONTH(D4, 12)</f>
        <v>34515</v>
      </c>
      <c r="F4" s="488">
        <f t="shared" ref="F4:AP4" si="0">+EOMONTH(E4, 12)</f>
        <v>34880</v>
      </c>
      <c r="G4" s="488">
        <f t="shared" si="0"/>
        <v>35246</v>
      </c>
      <c r="H4" s="488">
        <f t="shared" si="0"/>
        <v>35611</v>
      </c>
      <c r="I4" s="488">
        <f t="shared" si="0"/>
        <v>35976</v>
      </c>
      <c r="J4" s="488">
        <f t="shared" si="0"/>
        <v>36341</v>
      </c>
      <c r="K4" s="488">
        <f t="shared" si="0"/>
        <v>36707</v>
      </c>
      <c r="L4" s="488">
        <f t="shared" si="0"/>
        <v>37072</v>
      </c>
      <c r="M4" s="488">
        <f t="shared" si="0"/>
        <v>37437</v>
      </c>
      <c r="N4" s="488">
        <f t="shared" si="0"/>
        <v>37802</v>
      </c>
      <c r="O4" s="488">
        <f t="shared" si="0"/>
        <v>38168</v>
      </c>
      <c r="P4" s="488">
        <f t="shared" si="0"/>
        <v>38533</v>
      </c>
      <c r="Q4" s="488">
        <f t="shared" si="0"/>
        <v>38898</v>
      </c>
      <c r="R4" s="488">
        <f t="shared" si="0"/>
        <v>39263</v>
      </c>
      <c r="S4" s="488">
        <f t="shared" si="0"/>
        <v>39629</v>
      </c>
      <c r="T4" s="488">
        <f t="shared" si="0"/>
        <v>39994</v>
      </c>
      <c r="U4" s="488">
        <f t="shared" si="0"/>
        <v>40359</v>
      </c>
      <c r="V4" s="488">
        <f t="shared" si="0"/>
        <v>40724</v>
      </c>
      <c r="W4" s="488">
        <f t="shared" si="0"/>
        <v>41090</v>
      </c>
      <c r="X4" s="488">
        <f t="shared" si="0"/>
        <v>41455</v>
      </c>
      <c r="Y4" s="488">
        <f t="shared" si="0"/>
        <v>41820</v>
      </c>
      <c r="Z4" s="488">
        <f t="shared" si="0"/>
        <v>42185</v>
      </c>
      <c r="AA4" s="488">
        <f t="shared" si="0"/>
        <v>42551</v>
      </c>
      <c r="AB4" s="488">
        <v>42916</v>
      </c>
      <c r="AC4" s="488">
        <v>43281</v>
      </c>
      <c r="AD4" s="488">
        <f t="shared" si="0"/>
        <v>43646</v>
      </c>
      <c r="AE4" s="488">
        <f t="shared" si="0"/>
        <v>44012</v>
      </c>
      <c r="AF4" s="488">
        <f t="shared" si="0"/>
        <v>44377</v>
      </c>
      <c r="AG4" s="488">
        <f t="shared" si="0"/>
        <v>44742</v>
      </c>
      <c r="AH4" s="488">
        <f t="shared" si="0"/>
        <v>45107</v>
      </c>
      <c r="AI4" s="488">
        <f t="shared" si="0"/>
        <v>45473</v>
      </c>
      <c r="AJ4" s="488">
        <f t="shared" si="0"/>
        <v>45838</v>
      </c>
      <c r="AK4" s="488">
        <f t="shared" si="0"/>
        <v>46203</v>
      </c>
      <c r="AL4" s="488">
        <f t="shared" si="0"/>
        <v>46568</v>
      </c>
      <c r="AM4" s="488">
        <f t="shared" si="0"/>
        <v>46934</v>
      </c>
      <c r="AN4" s="488">
        <f t="shared" si="0"/>
        <v>47299</v>
      </c>
      <c r="AO4" s="488">
        <f t="shared" si="0"/>
        <v>47664</v>
      </c>
      <c r="AP4" s="488">
        <f t="shared" si="0"/>
        <v>48029</v>
      </c>
      <c r="AQ4" s="488">
        <f t="shared" ref="AQ4" si="1">+EOMONTH(AP4, 12)</f>
        <v>48395</v>
      </c>
      <c r="AR4" s="488">
        <f t="shared" ref="AR4:AS4" si="2">+EOMONTH(AQ4, 12)</f>
        <v>48760</v>
      </c>
      <c r="AS4" s="488">
        <f t="shared" si="2"/>
        <v>49125</v>
      </c>
      <c r="AT4" s="488"/>
      <c r="AU4" s="488"/>
    </row>
    <row r="5" spans="1:47">
      <c r="A5" s="473"/>
      <c r="B5" s="469" t="s">
        <v>1367</v>
      </c>
      <c r="C5" s="485" t="s">
        <v>184</v>
      </c>
      <c r="D5" s="470">
        <v>93</v>
      </c>
      <c r="E5" s="470">
        <f>+D5+1</f>
        <v>94</v>
      </c>
      <c r="F5" s="470">
        <f t="shared" ref="F5:AM5" si="3">+E5+1</f>
        <v>95</v>
      </c>
      <c r="G5" s="470">
        <f t="shared" si="3"/>
        <v>96</v>
      </c>
      <c r="H5" s="470">
        <f t="shared" si="3"/>
        <v>97</v>
      </c>
      <c r="I5" s="470">
        <f t="shared" si="3"/>
        <v>98</v>
      </c>
      <c r="J5" s="470">
        <f t="shared" si="3"/>
        <v>99</v>
      </c>
      <c r="K5" s="486">
        <v>0</v>
      </c>
      <c r="L5" s="487">
        <f t="shared" si="3"/>
        <v>1</v>
      </c>
      <c r="M5" s="487">
        <f t="shared" si="3"/>
        <v>2</v>
      </c>
      <c r="N5" s="487">
        <f t="shared" si="3"/>
        <v>3</v>
      </c>
      <c r="O5" s="487">
        <f t="shared" si="3"/>
        <v>4</v>
      </c>
      <c r="P5" s="487">
        <f t="shared" si="3"/>
        <v>5</v>
      </c>
      <c r="Q5" s="487">
        <f t="shared" si="3"/>
        <v>6</v>
      </c>
      <c r="R5" s="487">
        <f t="shared" si="3"/>
        <v>7</v>
      </c>
      <c r="S5" s="487">
        <f t="shared" si="3"/>
        <v>8</v>
      </c>
      <c r="T5" s="487">
        <f t="shared" si="3"/>
        <v>9</v>
      </c>
      <c r="U5" s="470">
        <f t="shared" si="3"/>
        <v>10</v>
      </c>
      <c r="V5" s="470">
        <f t="shared" si="3"/>
        <v>11</v>
      </c>
      <c r="W5" s="470">
        <f t="shared" si="3"/>
        <v>12</v>
      </c>
      <c r="X5" s="470">
        <f t="shared" si="3"/>
        <v>13</v>
      </c>
      <c r="Y5" s="470">
        <f t="shared" si="3"/>
        <v>14</v>
      </c>
      <c r="Z5" s="470">
        <f t="shared" si="3"/>
        <v>15</v>
      </c>
      <c r="AA5" s="470">
        <f t="shared" si="3"/>
        <v>16</v>
      </c>
      <c r="AB5" s="470">
        <v>17</v>
      </c>
      <c r="AC5" s="470">
        <v>18</v>
      </c>
      <c r="AD5" s="470">
        <f t="shared" si="3"/>
        <v>19</v>
      </c>
      <c r="AE5" s="470">
        <f t="shared" si="3"/>
        <v>20</v>
      </c>
      <c r="AF5" s="470">
        <f>+AE5+1</f>
        <v>21</v>
      </c>
      <c r="AG5" s="470">
        <f>+AF5+1</f>
        <v>22</v>
      </c>
      <c r="AH5" s="470">
        <f t="shared" si="3"/>
        <v>23</v>
      </c>
      <c r="AI5" s="470">
        <f>+AH5+1</f>
        <v>24</v>
      </c>
      <c r="AJ5" s="470">
        <f t="shared" si="3"/>
        <v>25</v>
      </c>
      <c r="AK5" s="471">
        <f t="shared" si="3"/>
        <v>26</v>
      </c>
      <c r="AL5" s="471">
        <f t="shared" si="3"/>
        <v>27</v>
      </c>
      <c r="AM5" s="471">
        <f t="shared" si="3"/>
        <v>28</v>
      </c>
      <c r="AN5" s="471">
        <f>+AM5+1</f>
        <v>29</v>
      </c>
      <c r="AO5" s="471">
        <f>+AN5+1</f>
        <v>30</v>
      </c>
      <c r="AP5" s="471">
        <f>+AO5+1</f>
        <v>31</v>
      </c>
      <c r="AQ5" s="471">
        <f t="shared" ref="AQ5:AS5" si="4">+AP5+1</f>
        <v>32</v>
      </c>
      <c r="AR5" s="471">
        <f t="shared" si="4"/>
        <v>33</v>
      </c>
      <c r="AS5" s="471">
        <f t="shared" si="4"/>
        <v>34</v>
      </c>
      <c r="AT5" s="471"/>
      <c r="AU5" s="471" t="s">
        <v>1078</v>
      </c>
    </row>
    <row r="6" spans="1:47">
      <c r="A6" s="473"/>
      <c r="B6" s="469"/>
      <c r="C6" s="485"/>
      <c r="D6" s="470"/>
      <c r="E6" s="470"/>
      <c r="F6" s="470"/>
      <c r="G6" s="470"/>
      <c r="H6" s="470"/>
      <c r="I6" s="470"/>
      <c r="J6" s="470"/>
      <c r="K6" s="486"/>
      <c r="L6" s="487"/>
      <c r="M6" s="487"/>
      <c r="N6" s="487"/>
      <c r="O6" s="487"/>
      <c r="P6" s="487"/>
      <c r="Q6" s="487"/>
      <c r="R6" s="487"/>
      <c r="S6" s="487"/>
      <c r="T6" s="487"/>
      <c r="U6" s="470"/>
      <c r="V6" s="470"/>
      <c r="W6" s="470"/>
      <c r="X6" s="470"/>
      <c r="Y6" s="470"/>
      <c r="Z6" s="470"/>
      <c r="AA6" s="470"/>
      <c r="AB6" s="470"/>
      <c r="AC6" s="470"/>
      <c r="AD6" s="470"/>
      <c r="AE6" s="470"/>
      <c r="AF6" s="471"/>
      <c r="AG6" s="471"/>
      <c r="AH6" s="471"/>
      <c r="AI6" s="471"/>
      <c r="AJ6" s="471"/>
      <c r="AK6" s="471"/>
      <c r="AL6" s="471"/>
      <c r="AM6" s="471"/>
      <c r="AN6" s="471"/>
      <c r="AO6" s="471"/>
      <c r="AP6" s="471"/>
      <c r="AQ6" s="471"/>
      <c r="AR6" s="471"/>
      <c r="AS6" s="471"/>
      <c r="AT6" s="471"/>
      <c r="AU6" s="471"/>
    </row>
    <row r="7" spans="1:47">
      <c r="A7" s="298"/>
      <c r="B7" s="2"/>
      <c r="C7" s="506"/>
      <c r="D7" s="507"/>
      <c r="E7" s="507"/>
      <c r="F7" s="507"/>
      <c r="G7" s="507"/>
      <c r="H7" s="507"/>
      <c r="I7" s="21"/>
      <c r="J7" s="21"/>
      <c r="K7" s="4"/>
      <c r="L7" s="6"/>
      <c r="M7" s="6"/>
      <c r="N7" s="6"/>
      <c r="O7" s="6"/>
      <c r="P7" s="3"/>
      <c r="Q7" s="3"/>
      <c r="R7" s="3"/>
      <c r="S7" s="3"/>
      <c r="T7" s="3"/>
      <c r="U7" s="3"/>
      <c r="V7" s="3"/>
      <c r="W7" s="3"/>
      <c r="X7" s="3"/>
      <c r="Y7" s="3"/>
      <c r="Z7" s="2"/>
      <c r="AA7" s="2"/>
      <c r="AB7" s="448"/>
      <c r="AC7" s="307"/>
      <c r="AD7" s="307"/>
      <c r="AE7" s="307"/>
      <c r="AF7" s="307"/>
      <c r="AG7" s="1"/>
      <c r="AH7" s="1"/>
      <c r="AI7" s="1"/>
      <c r="AJ7" s="1"/>
      <c r="AK7" s="1"/>
      <c r="AL7" s="1"/>
      <c r="AM7" s="1"/>
      <c r="AN7" s="2"/>
      <c r="AO7" s="2"/>
      <c r="AP7" s="2"/>
      <c r="AQ7" s="2"/>
      <c r="AR7" s="2"/>
      <c r="AS7" s="2"/>
      <c r="AT7" s="2"/>
      <c r="AU7" s="2"/>
    </row>
    <row r="8" spans="1:47">
      <c r="A8" s="299" t="s">
        <v>1163</v>
      </c>
      <c r="B8" s="1073" t="s">
        <v>610</v>
      </c>
      <c r="C8" s="1074"/>
      <c r="D8" s="1073"/>
      <c r="E8" s="1073"/>
      <c r="F8" s="1073"/>
      <c r="G8" s="1073"/>
      <c r="H8" s="1073"/>
      <c r="I8" s="1073"/>
      <c r="J8" s="1073"/>
      <c r="K8" s="1073"/>
      <c r="L8" s="1073"/>
      <c r="M8" s="1073"/>
      <c r="N8" s="1073"/>
      <c r="O8" s="1073"/>
      <c r="P8" s="1073"/>
      <c r="Q8" s="1073"/>
      <c r="R8" s="1073"/>
      <c r="S8" s="1073"/>
      <c r="T8" s="1073"/>
      <c r="U8" s="1073"/>
      <c r="V8" s="1073"/>
      <c r="W8" s="1073"/>
      <c r="X8" s="1073"/>
      <c r="Y8" s="1073"/>
      <c r="Z8" s="1073"/>
      <c r="AA8" s="1073"/>
      <c r="AB8" s="1073"/>
      <c r="AC8" s="1073"/>
      <c r="AD8" s="1073"/>
      <c r="AE8" s="1073"/>
      <c r="AF8" s="1073"/>
      <c r="AG8" s="1073"/>
      <c r="AH8" s="1073"/>
      <c r="AI8" s="1073"/>
      <c r="AJ8" s="1073"/>
      <c r="AK8" s="1073"/>
      <c r="AL8" s="1073"/>
      <c r="AM8" s="1073"/>
      <c r="AN8" s="1073"/>
      <c r="AO8" s="1073"/>
      <c r="AP8" s="1073"/>
      <c r="AQ8" s="1073"/>
      <c r="AR8" s="1073"/>
      <c r="AS8" s="1073"/>
      <c r="AT8" s="2"/>
      <c r="AU8" s="2"/>
    </row>
    <row r="9" spans="1:47" outlineLevel="1">
      <c r="A9" s="298"/>
      <c r="B9" s="167"/>
      <c r="C9" s="21"/>
      <c r="D9" s="21"/>
      <c r="E9" s="21"/>
      <c r="F9" s="21"/>
      <c r="G9" s="21"/>
      <c r="H9" s="21"/>
      <c r="I9" s="21"/>
      <c r="J9" s="21"/>
      <c r="K9" s="34"/>
      <c r="L9" s="34"/>
      <c r="M9" s="34"/>
      <c r="N9" s="34"/>
      <c r="O9" s="34"/>
      <c r="P9" s="34"/>
      <c r="Q9" s="34"/>
      <c r="R9" s="34"/>
      <c r="S9" s="34"/>
      <c r="T9" s="34"/>
      <c r="U9" s="34"/>
      <c r="V9" s="52"/>
      <c r="W9" s="34"/>
      <c r="X9" s="34"/>
      <c r="Y9" s="34"/>
      <c r="Z9" s="34"/>
      <c r="AA9" s="34"/>
      <c r="AB9" s="34"/>
      <c r="AC9" s="34"/>
      <c r="AD9" s="34"/>
      <c r="AE9" s="34"/>
      <c r="AF9" s="34"/>
      <c r="AG9" s="34"/>
      <c r="AH9" s="34"/>
      <c r="AI9" s="34"/>
      <c r="AJ9" s="34"/>
      <c r="AK9" s="34"/>
      <c r="AL9" s="34"/>
      <c r="AM9" s="34"/>
      <c r="AN9" s="34"/>
      <c r="AO9" s="34"/>
      <c r="AP9" s="34"/>
      <c r="AQ9" s="34"/>
      <c r="AR9" s="34"/>
      <c r="AS9" s="34"/>
      <c r="AT9" s="2"/>
      <c r="AU9" s="2"/>
    </row>
    <row r="10" spans="1:47" ht="15.6" outlineLevel="1">
      <c r="A10" s="298"/>
      <c r="B10" s="237" t="s">
        <v>1358</v>
      </c>
      <c r="C10" s="238"/>
      <c r="D10" s="239"/>
      <c r="E10" s="239"/>
      <c r="F10" s="239"/>
      <c r="G10" s="239"/>
      <c r="H10" s="239"/>
      <c r="I10" s="239"/>
      <c r="J10" s="239"/>
      <c r="K10" s="239"/>
      <c r="L10" s="239"/>
      <c r="M10" s="239"/>
      <c r="N10" s="239"/>
      <c r="O10" s="239"/>
      <c r="P10" s="239"/>
      <c r="Q10" s="239"/>
      <c r="R10" s="239"/>
      <c r="S10" s="239"/>
      <c r="T10" s="239"/>
      <c r="U10" s="239"/>
      <c r="V10" s="239"/>
      <c r="W10" s="239"/>
      <c r="X10" s="239"/>
      <c r="Y10" s="239"/>
      <c r="Z10" s="239"/>
      <c r="AA10" s="239"/>
      <c r="AB10" s="239"/>
      <c r="AC10" s="239"/>
      <c r="AD10" s="239"/>
      <c r="AE10" s="239"/>
      <c r="AF10" s="239"/>
      <c r="AG10" s="239"/>
      <c r="AH10" s="239"/>
      <c r="AI10" s="239"/>
      <c r="AJ10" s="239"/>
      <c r="AK10" s="239"/>
      <c r="AL10" s="239"/>
      <c r="AM10" s="239"/>
      <c r="AN10" s="239"/>
      <c r="AO10" s="270"/>
      <c r="AP10" s="270"/>
      <c r="AQ10" s="270"/>
      <c r="AR10" s="270"/>
      <c r="AS10" s="240"/>
      <c r="AT10" s="2"/>
      <c r="AU10" s="2"/>
    </row>
    <row r="11" spans="1:47" outlineLevel="1">
      <c r="A11" s="298"/>
      <c r="B11" s="167"/>
      <c r="C11" s="21"/>
      <c r="D11" s="21"/>
      <c r="E11" s="21"/>
      <c r="F11" s="21"/>
      <c r="G11" s="21"/>
      <c r="H11" s="21"/>
      <c r="I11" s="21"/>
      <c r="J11" s="21"/>
      <c r="K11" s="34"/>
      <c r="L11" s="34"/>
      <c r="M11" s="34"/>
      <c r="N11" s="34"/>
      <c r="O11" s="34"/>
      <c r="P11" s="34"/>
      <c r="Q11" s="34"/>
      <c r="R11" s="34"/>
      <c r="S11" s="34"/>
      <c r="T11" s="34"/>
      <c r="U11" s="34"/>
      <c r="V11" s="52"/>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2"/>
      <c r="AU11" s="2"/>
    </row>
    <row r="12" spans="1:47" ht="15.6" outlineLevel="1">
      <c r="A12" s="298"/>
      <c r="B12" s="737" t="s">
        <v>266</v>
      </c>
      <c r="C12" s="283"/>
      <c r="D12" s="284"/>
      <c r="E12" s="284"/>
      <c r="F12" s="284"/>
      <c r="G12" s="285"/>
      <c r="H12" s="285"/>
      <c r="I12" s="285"/>
      <c r="J12" s="285"/>
      <c r="K12" s="285"/>
      <c r="L12" s="285"/>
      <c r="M12" s="285"/>
      <c r="N12" s="284"/>
      <c r="O12" s="286"/>
      <c r="P12" s="286"/>
      <c r="Q12" s="286"/>
      <c r="R12" s="286"/>
      <c r="S12" s="286"/>
      <c r="T12" s="286"/>
      <c r="U12" s="286"/>
      <c r="V12" s="285"/>
      <c r="W12" s="285"/>
      <c r="X12" s="285"/>
      <c r="Y12" s="285"/>
      <c r="Z12" s="285"/>
      <c r="AA12" s="285"/>
      <c r="AB12" s="285"/>
      <c r="AC12" s="285"/>
      <c r="AD12" s="285"/>
      <c r="AE12" s="285"/>
      <c r="AF12" s="285"/>
      <c r="AG12" s="285"/>
      <c r="AH12" s="285"/>
      <c r="AI12" s="285"/>
      <c r="AJ12" s="285"/>
      <c r="AK12" s="285"/>
      <c r="AL12" s="285"/>
      <c r="AM12" s="285"/>
      <c r="AN12" s="285"/>
      <c r="AO12" s="285"/>
      <c r="AP12" s="285"/>
      <c r="AQ12" s="285"/>
      <c r="AR12" s="285"/>
      <c r="AS12" s="285"/>
      <c r="AT12" s="2"/>
      <c r="AU12" s="2"/>
    </row>
    <row r="13" spans="1:47" outlineLevel="1">
      <c r="A13" s="298"/>
      <c r="B13" s="407" t="s">
        <v>1234</v>
      </c>
      <c r="C13" s="18" t="s">
        <v>732</v>
      </c>
      <c r="D13" s="18"/>
      <c r="E13" s="18"/>
      <c r="F13" s="18"/>
      <c r="G13" s="18"/>
      <c r="H13" s="18"/>
      <c r="I13" s="18"/>
      <c r="J13" s="18"/>
      <c r="K13" s="254">
        <f t="shared" ref="K13:AO13" si="5">K140</f>
        <v>2484</v>
      </c>
      <c r="L13" s="254">
        <f t="shared" si="5"/>
        <v>2603.0420999999997</v>
      </c>
      <c r="M13" s="254">
        <f t="shared" si="5"/>
        <v>2886.9522000000002</v>
      </c>
      <c r="N13" s="254">
        <f t="shared" si="5"/>
        <v>2657.0786399999997</v>
      </c>
      <c r="O13" s="254">
        <f t="shared" si="5"/>
        <v>2725.0135799999998</v>
      </c>
      <c r="P13" s="254">
        <f t="shared" si="5"/>
        <v>3245.5832399999999</v>
      </c>
      <c r="Q13" s="254">
        <f t="shared" si="5"/>
        <v>3400.8347400000002</v>
      </c>
      <c r="R13" s="254">
        <f t="shared" si="5"/>
        <v>3780.9782399999995</v>
      </c>
      <c r="S13" s="254">
        <f t="shared" si="5"/>
        <v>4363.8335200000001</v>
      </c>
      <c r="T13" s="254">
        <f t="shared" si="5"/>
        <v>4185</v>
      </c>
      <c r="U13" s="254">
        <f t="shared" si="5"/>
        <v>4254</v>
      </c>
      <c r="V13" s="254">
        <f t="shared" si="5"/>
        <v>4409</v>
      </c>
      <c r="W13" s="254">
        <f t="shared" si="5"/>
        <v>4672</v>
      </c>
      <c r="X13" s="254">
        <f t="shared" si="5"/>
        <v>4804</v>
      </c>
      <c r="Y13" s="254">
        <f t="shared" si="5"/>
        <v>5006</v>
      </c>
      <c r="Z13" s="254">
        <f t="shared" si="5"/>
        <v>5389</v>
      </c>
      <c r="AA13" s="254">
        <f t="shared" si="5"/>
        <v>5447</v>
      </c>
      <c r="AB13" s="254">
        <v>5448</v>
      </c>
      <c r="AC13" s="254">
        <v>5144</v>
      </c>
      <c r="AD13" s="254">
        <f t="shared" si="5"/>
        <v>5182</v>
      </c>
      <c r="AE13" s="254">
        <f t="shared" si="5"/>
        <v>4913</v>
      </c>
      <c r="AF13" s="254">
        <f t="shared" si="5"/>
        <v>4830</v>
      </c>
      <c r="AG13" s="254">
        <f t="shared" si="5"/>
        <v>5045</v>
      </c>
      <c r="AH13" s="254">
        <f t="shared" si="5"/>
        <v>5391</v>
      </c>
      <c r="AI13" s="254">
        <f t="shared" si="5"/>
        <v>5634</v>
      </c>
      <c r="AJ13" s="254">
        <f t="shared" si="5"/>
        <v>5793</v>
      </c>
      <c r="AK13" s="254">
        <f t="shared" si="5"/>
        <v>6035.1131505600015</v>
      </c>
      <c r="AL13" s="254">
        <f t="shared" si="5"/>
        <v>6278.3282105275703</v>
      </c>
      <c r="AM13" s="254">
        <f t="shared" si="5"/>
        <v>6531.3448374118307</v>
      </c>
      <c r="AN13" s="254">
        <f t="shared" si="5"/>
        <v>6794.5580343595275</v>
      </c>
      <c r="AO13" s="254">
        <f t="shared" si="5"/>
        <v>7068.3787231442184</v>
      </c>
      <c r="AP13" s="254">
        <f>AP140</f>
        <v>7353.2343856869293</v>
      </c>
      <c r="AQ13" s="254">
        <f t="shared" ref="AQ13:AR13" si="6">AQ140</f>
        <v>7649.5697314301124</v>
      </c>
      <c r="AR13" s="254">
        <f t="shared" si="6"/>
        <v>7957.8473916067469</v>
      </c>
      <c r="AS13" s="254">
        <f t="shared" ref="AS13" si="7">AS140</f>
        <v>8278.5486414884981</v>
      </c>
      <c r="AT13" s="2"/>
      <c r="AU13" s="2"/>
    </row>
    <row r="14" spans="1:47" outlineLevel="1">
      <c r="A14" s="298"/>
      <c r="B14" s="407" t="s">
        <v>1235</v>
      </c>
      <c r="C14" s="18" t="s">
        <v>732</v>
      </c>
      <c r="D14" s="18"/>
      <c r="E14" s="18"/>
      <c r="F14" s="18"/>
      <c r="G14" s="18"/>
      <c r="H14" s="18"/>
      <c r="I14" s="18"/>
      <c r="J14" s="18"/>
      <c r="K14" s="254">
        <f t="shared" ref="K14:AO14" si="8">K154</f>
        <v>175.64519999999999</v>
      </c>
      <c r="L14" s="254">
        <f t="shared" si="8"/>
        <v>129.3819</v>
      </c>
      <c r="M14" s="254">
        <f t="shared" si="8"/>
        <v>186.44759999999999</v>
      </c>
      <c r="N14" s="254">
        <f t="shared" si="8"/>
        <v>346.11071999999996</v>
      </c>
      <c r="O14" s="254">
        <f t="shared" si="8"/>
        <v>447.5856</v>
      </c>
      <c r="P14" s="254">
        <f t="shared" si="8"/>
        <v>489.99167999999997</v>
      </c>
      <c r="Q14" s="254">
        <f t="shared" si="8"/>
        <v>466.57169999999996</v>
      </c>
      <c r="R14" s="254">
        <f t="shared" si="8"/>
        <v>513.78935999999999</v>
      </c>
      <c r="S14" s="254">
        <f t="shared" si="8"/>
        <v>508.64715999999999</v>
      </c>
      <c r="T14" s="254">
        <f t="shared" si="8"/>
        <v>587</v>
      </c>
      <c r="U14" s="254">
        <f t="shared" si="8"/>
        <v>600</v>
      </c>
      <c r="V14" s="254">
        <f t="shared" si="8"/>
        <v>637</v>
      </c>
      <c r="W14" s="254">
        <f t="shared" si="8"/>
        <v>654</v>
      </c>
      <c r="X14" s="254">
        <f t="shared" si="8"/>
        <v>727</v>
      </c>
      <c r="Y14" s="254">
        <f t="shared" si="8"/>
        <v>879</v>
      </c>
      <c r="Z14" s="254">
        <f t="shared" si="8"/>
        <v>994</v>
      </c>
      <c r="AA14" s="254">
        <f t="shared" si="8"/>
        <v>959</v>
      </c>
      <c r="AB14" s="254">
        <v>1013</v>
      </c>
      <c r="AC14" s="254">
        <v>958</v>
      </c>
      <c r="AD14" s="254">
        <f t="shared" si="8"/>
        <v>829</v>
      </c>
      <c r="AE14" s="254">
        <f t="shared" si="8"/>
        <v>773</v>
      </c>
      <c r="AF14" s="254">
        <f t="shared" si="8"/>
        <v>809</v>
      </c>
      <c r="AG14" s="254">
        <f t="shared" si="8"/>
        <v>924</v>
      </c>
      <c r="AH14" s="254">
        <f t="shared" si="8"/>
        <v>1076</v>
      </c>
      <c r="AI14" s="254">
        <f t="shared" si="8"/>
        <v>1193</v>
      </c>
      <c r="AJ14" s="254">
        <f t="shared" si="8"/>
        <v>1285</v>
      </c>
      <c r="AK14" s="254">
        <f t="shared" si="8"/>
        <v>1410.3475207953331</v>
      </c>
      <c r="AL14" s="254">
        <f t="shared" si="8"/>
        <v>1531.8743459672255</v>
      </c>
      <c r="AM14" s="254">
        <f t="shared" si="8"/>
        <v>1663.8728946105296</v>
      </c>
      <c r="AN14" s="254">
        <f t="shared" si="8"/>
        <v>1807.2454941933295</v>
      </c>
      <c r="AO14" s="254">
        <f t="shared" si="8"/>
        <v>1962.9722239369805</v>
      </c>
      <c r="AP14" s="254">
        <f>AP154</f>
        <v>2132.1176145291829</v>
      </c>
      <c r="AQ14" s="254">
        <f t="shared" ref="AQ14:AR14" si="9">AQ154</f>
        <v>2315.8379251379338</v>
      </c>
      <c r="AR14" s="254">
        <f t="shared" si="9"/>
        <v>2515.3890474712198</v>
      </c>
      <c r="AS14" s="254">
        <f t="shared" ref="AS14" si="10">AS154</f>
        <v>2732.1350909137195</v>
      </c>
      <c r="AT14" s="2"/>
      <c r="AU14" s="2"/>
    </row>
    <row r="15" spans="1:47" outlineLevel="1">
      <c r="A15" s="298"/>
      <c r="B15" s="407" t="s">
        <v>1236</v>
      </c>
      <c r="C15" s="18" t="s">
        <v>732</v>
      </c>
      <c r="D15" s="18"/>
      <c r="E15" s="18"/>
      <c r="F15" s="18"/>
      <c r="G15" s="18"/>
      <c r="H15" s="18"/>
      <c r="I15" s="18"/>
      <c r="J15" s="18"/>
      <c r="K15" s="254">
        <f t="shared" ref="K15:AO15" si="11">K168</f>
        <v>7</v>
      </c>
      <c r="L15" s="254">
        <f t="shared" si="11"/>
        <v>208</v>
      </c>
      <c r="M15" s="254">
        <f t="shared" si="11"/>
        <v>169</v>
      </c>
      <c r="N15" s="254">
        <f t="shared" si="11"/>
        <v>224</v>
      </c>
      <c r="O15" s="254">
        <f t="shared" si="11"/>
        <v>838</v>
      </c>
      <c r="P15" s="254">
        <f t="shared" si="11"/>
        <v>0</v>
      </c>
      <c r="Q15" s="254">
        <f t="shared" si="11"/>
        <v>0</v>
      </c>
      <c r="R15" s="254">
        <f t="shared" si="11"/>
        <v>0</v>
      </c>
      <c r="S15" s="254">
        <f t="shared" si="11"/>
        <v>0</v>
      </c>
      <c r="T15" s="254">
        <f t="shared" si="11"/>
        <v>607</v>
      </c>
      <c r="U15" s="254">
        <f t="shared" si="11"/>
        <v>795</v>
      </c>
      <c r="V15" s="254">
        <f t="shared" si="11"/>
        <v>919</v>
      </c>
      <c r="W15" s="254">
        <f t="shared" si="11"/>
        <v>1018</v>
      </c>
      <c r="X15" s="254">
        <f t="shared" si="11"/>
        <v>1196</v>
      </c>
      <c r="Y15" s="254">
        <f t="shared" si="11"/>
        <v>1287</v>
      </c>
      <c r="Z15" s="254">
        <f t="shared" si="11"/>
        <v>1290</v>
      </c>
      <c r="AA15" s="254">
        <f t="shared" si="11"/>
        <v>1150</v>
      </c>
      <c r="AB15" s="254">
        <v>992</v>
      </c>
      <c r="AC15" s="254">
        <v>783</v>
      </c>
      <c r="AD15" s="254">
        <f t="shared" si="11"/>
        <v>673</v>
      </c>
      <c r="AE15" s="254">
        <f t="shared" si="11"/>
        <v>640</v>
      </c>
      <c r="AF15" s="254">
        <f t="shared" si="11"/>
        <v>612</v>
      </c>
      <c r="AG15" s="254">
        <f t="shared" si="11"/>
        <v>655</v>
      </c>
      <c r="AH15" s="254">
        <f t="shared" si="11"/>
        <v>664</v>
      </c>
      <c r="AI15" s="254">
        <f t="shared" si="11"/>
        <v>648</v>
      </c>
      <c r="AJ15" s="254">
        <f t="shared" si="11"/>
        <v>595</v>
      </c>
      <c r="AK15" s="254">
        <f t="shared" si="11"/>
        <v>553.83801046039343</v>
      </c>
      <c r="AL15" s="254">
        <f t="shared" si="11"/>
        <v>529.59379284595775</v>
      </c>
      <c r="AM15" s="254">
        <f t="shared" si="11"/>
        <v>506.41086404997549</v>
      </c>
      <c r="AN15" s="254">
        <f t="shared" si="11"/>
        <v>484.24276623354729</v>
      </c>
      <c r="AO15" s="254">
        <f t="shared" si="11"/>
        <v>463.04507524620755</v>
      </c>
      <c r="AP15" s="254">
        <f>AP168</f>
        <v>442.77531160136539</v>
      </c>
      <c r="AQ15" s="254">
        <f t="shared" ref="AQ15:AR15" si="12">AQ168</f>
        <v>423.39285534878786</v>
      </c>
      <c r="AR15" s="254">
        <f t="shared" si="12"/>
        <v>404.85886467353532</v>
      </c>
      <c r="AS15" s="254">
        <f t="shared" ref="AS15" si="13">AS168</f>
        <v>387.13619805822088</v>
      </c>
      <c r="AT15" s="2"/>
      <c r="AU15" s="2"/>
    </row>
    <row r="16" spans="1:47" outlineLevel="1">
      <c r="A16" s="298"/>
      <c r="B16" s="407" t="s">
        <v>1219</v>
      </c>
      <c r="C16" s="18" t="s">
        <v>732</v>
      </c>
      <c r="D16" s="18"/>
      <c r="E16" s="18"/>
      <c r="F16" s="18"/>
      <c r="G16" s="18"/>
      <c r="H16" s="18"/>
      <c r="I16" s="18"/>
      <c r="J16" s="18"/>
      <c r="K16" s="254">
        <f t="shared" ref="K16:AO16" si="14">K180</f>
        <v>0</v>
      </c>
      <c r="L16" s="254">
        <f t="shared" si="14"/>
        <v>0</v>
      </c>
      <c r="M16" s="254">
        <f t="shared" si="14"/>
        <v>0</v>
      </c>
      <c r="N16" s="254">
        <f t="shared" si="14"/>
        <v>0</v>
      </c>
      <c r="O16" s="254">
        <f t="shared" si="14"/>
        <v>0</v>
      </c>
      <c r="P16" s="254">
        <f t="shared" si="14"/>
        <v>0</v>
      </c>
      <c r="Q16" s="254">
        <f t="shared" si="14"/>
        <v>0</v>
      </c>
      <c r="R16" s="254">
        <f t="shared" si="14"/>
        <v>0</v>
      </c>
      <c r="S16" s="254">
        <f t="shared" si="14"/>
        <v>0</v>
      </c>
      <c r="T16" s="254">
        <f t="shared" si="14"/>
        <v>0</v>
      </c>
      <c r="U16" s="254">
        <f t="shared" si="14"/>
        <v>62</v>
      </c>
      <c r="V16" s="254">
        <f t="shared" si="14"/>
        <v>69</v>
      </c>
      <c r="W16" s="254">
        <f t="shared" si="14"/>
        <v>80</v>
      </c>
      <c r="X16" s="254">
        <f t="shared" si="14"/>
        <v>90</v>
      </c>
      <c r="Y16" s="254">
        <f t="shared" si="14"/>
        <v>101</v>
      </c>
      <c r="Z16" s="254">
        <f t="shared" si="14"/>
        <v>113</v>
      </c>
      <c r="AA16" s="254">
        <f t="shared" si="14"/>
        <v>132</v>
      </c>
      <c r="AB16" s="254">
        <v>146</v>
      </c>
      <c r="AC16" s="254">
        <v>189</v>
      </c>
      <c r="AD16" s="254">
        <f t="shared" si="14"/>
        <v>224</v>
      </c>
      <c r="AE16" s="254">
        <f t="shared" si="14"/>
        <v>243</v>
      </c>
      <c r="AF16" s="254">
        <f t="shared" si="14"/>
        <v>246</v>
      </c>
      <c r="AG16" s="254">
        <f t="shared" si="14"/>
        <v>268</v>
      </c>
      <c r="AH16" s="254">
        <f t="shared" si="14"/>
        <v>283</v>
      </c>
      <c r="AI16" s="254">
        <f t="shared" si="14"/>
        <v>289</v>
      </c>
      <c r="AJ16" s="254">
        <f t="shared" si="14"/>
        <v>293</v>
      </c>
      <c r="AK16" s="254">
        <f t="shared" si="14"/>
        <v>317.49920286225398</v>
      </c>
      <c r="AL16" s="254">
        <f t="shared" si="14"/>
        <v>333.57584931949907</v>
      </c>
      <c r="AM16" s="254">
        <f t="shared" si="14"/>
        <v>350.25464178547406</v>
      </c>
      <c r="AN16" s="254">
        <f t="shared" si="14"/>
        <v>367.76737387474782</v>
      </c>
      <c r="AO16" s="254">
        <f t="shared" si="14"/>
        <v>386.15574256848521</v>
      </c>
      <c r="AP16" s="254">
        <f>AP180</f>
        <v>405.46352969690946</v>
      </c>
      <c r="AQ16" s="254">
        <f t="shared" ref="AQ16:AR16" si="15">AQ180</f>
        <v>425.73670618175493</v>
      </c>
      <c r="AR16" s="254">
        <f t="shared" si="15"/>
        <v>447.02354149084277</v>
      </c>
      <c r="AS16" s="254">
        <f t="shared" ref="AS16" si="16">AS180</f>
        <v>469.37471856538491</v>
      </c>
      <c r="AT16" s="2"/>
      <c r="AU16" s="2"/>
    </row>
    <row r="17" spans="1:47" outlineLevel="1">
      <c r="A17" s="298"/>
      <c r="B17" s="407" t="s">
        <v>1237</v>
      </c>
      <c r="C17" s="18" t="s">
        <v>732</v>
      </c>
      <c r="D17" s="18"/>
      <c r="E17" s="18"/>
      <c r="F17" s="18"/>
      <c r="G17" s="18"/>
      <c r="H17" s="18"/>
      <c r="I17" s="18"/>
      <c r="J17" s="18"/>
      <c r="K17" s="254">
        <f t="shared" ref="K17:AO17" si="17">K212</f>
        <v>0</v>
      </c>
      <c r="L17" s="254">
        <f t="shared" si="17"/>
        <v>0</v>
      </c>
      <c r="M17" s="254">
        <f t="shared" si="17"/>
        <v>0</v>
      </c>
      <c r="N17" s="254">
        <f t="shared" si="17"/>
        <v>0</v>
      </c>
      <c r="O17" s="254">
        <f t="shared" si="17"/>
        <v>0</v>
      </c>
      <c r="P17" s="254">
        <f t="shared" si="17"/>
        <v>24</v>
      </c>
      <c r="Q17" s="254">
        <f t="shared" si="17"/>
        <v>36</v>
      </c>
      <c r="R17" s="254">
        <f t="shared" si="17"/>
        <v>145</v>
      </c>
      <c r="S17" s="254">
        <f t="shared" si="17"/>
        <v>190</v>
      </c>
      <c r="T17" s="254">
        <f t="shared" si="17"/>
        <v>175</v>
      </c>
      <c r="U17" s="254">
        <f t="shared" si="17"/>
        <v>159</v>
      </c>
      <c r="V17" s="254">
        <f t="shared" si="17"/>
        <v>145</v>
      </c>
      <c r="W17" s="254">
        <f t="shared" si="17"/>
        <v>137</v>
      </c>
      <c r="X17" s="254">
        <f t="shared" si="17"/>
        <v>105</v>
      </c>
      <c r="Y17" s="254">
        <f t="shared" si="17"/>
        <v>104</v>
      </c>
      <c r="Z17" s="254">
        <f t="shared" si="17"/>
        <v>116</v>
      </c>
      <c r="AA17" s="254">
        <f t="shared" si="17"/>
        <v>120</v>
      </c>
      <c r="AB17" s="254">
        <v>144</v>
      </c>
      <c r="AC17" s="254">
        <v>189</v>
      </c>
      <c r="AD17" s="254">
        <f t="shared" si="17"/>
        <v>201</v>
      </c>
      <c r="AE17" s="254">
        <f t="shared" si="17"/>
        <v>221</v>
      </c>
      <c r="AF17" s="254">
        <f t="shared" si="17"/>
        <v>267</v>
      </c>
      <c r="AG17" s="254">
        <f t="shared" si="17"/>
        <v>308</v>
      </c>
      <c r="AH17" s="254">
        <f t="shared" si="17"/>
        <v>353</v>
      </c>
      <c r="AI17" s="254">
        <f t="shared" si="17"/>
        <v>440</v>
      </c>
      <c r="AJ17" s="254">
        <f t="shared" si="17"/>
        <v>522</v>
      </c>
      <c r="AK17" s="254">
        <f t="shared" si="17"/>
        <v>596.62164177317663</v>
      </c>
      <c r="AL17" s="254">
        <f t="shared" si="17"/>
        <v>681.91069623011651</v>
      </c>
      <c r="AM17" s="254">
        <f t="shared" si="17"/>
        <v>779.39210560824131</v>
      </c>
      <c r="AN17" s="254">
        <f t="shared" si="17"/>
        <v>890.80880772613409</v>
      </c>
      <c r="AO17" s="254">
        <f t="shared" si="17"/>
        <v>1018.1528991792571</v>
      </c>
      <c r="AP17" s="254">
        <f>AP212</f>
        <v>1163.7012534184826</v>
      </c>
      <c r="AQ17" s="254">
        <f t="shared" ref="AQ17:AR17" si="18">AQ212</f>
        <v>1330.0562305517981</v>
      </c>
      <c r="AR17" s="254">
        <f t="shared" si="18"/>
        <v>1520.1922067480011</v>
      </c>
      <c r="AS17" s="254">
        <f t="shared" ref="AS17" si="19">AS212</f>
        <v>1737.5087551739098</v>
      </c>
      <c r="AT17" s="2"/>
      <c r="AU17" s="2"/>
    </row>
    <row r="18" spans="1:47" outlineLevel="1">
      <c r="A18" s="298"/>
      <c r="B18" s="407" t="s">
        <v>28</v>
      </c>
      <c r="C18" s="18" t="s">
        <v>732</v>
      </c>
      <c r="D18" s="18"/>
      <c r="E18" s="18"/>
      <c r="F18" s="18"/>
      <c r="G18" s="18"/>
      <c r="H18" s="18"/>
      <c r="I18" s="18"/>
      <c r="J18" s="18"/>
      <c r="K18" s="254">
        <f t="shared" ref="K18:AO18" si="20">K217</f>
        <v>0</v>
      </c>
      <c r="L18" s="254">
        <f t="shared" si="20"/>
        <v>0</v>
      </c>
      <c r="M18" s="254">
        <f t="shared" si="20"/>
        <v>0</v>
      </c>
      <c r="N18" s="254">
        <f t="shared" si="20"/>
        <v>0</v>
      </c>
      <c r="O18" s="254">
        <f t="shared" si="20"/>
        <v>0</v>
      </c>
      <c r="P18" s="254">
        <f t="shared" si="20"/>
        <v>0</v>
      </c>
      <c r="Q18" s="254">
        <f t="shared" si="20"/>
        <v>0</v>
      </c>
      <c r="R18" s="254">
        <f t="shared" si="20"/>
        <v>0</v>
      </c>
      <c r="S18" s="254">
        <f t="shared" si="20"/>
        <v>0</v>
      </c>
      <c r="T18" s="254">
        <f t="shared" si="20"/>
        <v>0</v>
      </c>
      <c r="U18" s="254">
        <f t="shared" si="20"/>
        <v>0</v>
      </c>
      <c r="V18" s="254">
        <f t="shared" si="20"/>
        <v>0</v>
      </c>
      <c r="W18" s="254">
        <f t="shared" si="20"/>
        <v>0</v>
      </c>
      <c r="X18" s="254">
        <f t="shared" si="20"/>
        <v>0</v>
      </c>
      <c r="Y18" s="254">
        <f t="shared" si="20"/>
        <v>0</v>
      </c>
      <c r="Z18" s="254">
        <f t="shared" si="20"/>
        <v>0</v>
      </c>
      <c r="AA18" s="254">
        <f t="shared" si="20"/>
        <v>0</v>
      </c>
      <c r="AB18" s="254">
        <v>0</v>
      </c>
      <c r="AC18" s="254">
        <v>12</v>
      </c>
      <c r="AD18" s="254">
        <f t="shared" si="20"/>
        <v>15</v>
      </c>
      <c r="AE18" s="254">
        <f t="shared" si="20"/>
        <v>-8</v>
      </c>
      <c r="AF18" s="254">
        <f t="shared" si="20"/>
        <v>17</v>
      </c>
      <c r="AG18" s="254">
        <f t="shared" si="20"/>
        <v>18</v>
      </c>
      <c r="AH18" s="254">
        <f t="shared" si="20"/>
        <v>18</v>
      </c>
      <c r="AI18" s="254">
        <f t="shared" si="20"/>
        <v>20</v>
      </c>
      <c r="AJ18" s="254">
        <f t="shared" si="20"/>
        <v>20</v>
      </c>
      <c r="AK18" s="254">
        <f t="shared" si="20"/>
        <v>20</v>
      </c>
      <c r="AL18" s="254">
        <f t="shared" si="20"/>
        <v>20</v>
      </c>
      <c r="AM18" s="254">
        <f t="shared" si="20"/>
        <v>20</v>
      </c>
      <c r="AN18" s="254">
        <f t="shared" si="20"/>
        <v>20</v>
      </c>
      <c r="AO18" s="254">
        <f t="shared" si="20"/>
        <v>20</v>
      </c>
      <c r="AP18" s="254">
        <f>AP217</f>
        <v>20</v>
      </c>
      <c r="AQ18" s="254">
        <f t="shared" ref="AQ18:AR18" si="21">AQ217</f>
        <v>20</v>
      </c>
      <c r="AR18" s="254">
        <f t="shared" si="21"/>
        <v>20</v>
      </c>
      <c r="AS18" s="254">
        <f t="shared" ref="AS18" si="22">AS217</f>
        <v>20</v>
      </c>
      <c r="AT18" s="2"/>
      <c r="AU18" s="2"/>
    </row>
    <row r="19" spans="1:47" outlineLevel="1">
      <c r="A19" s="338"/>
      <c r="B19" s="406" t="s">
        <v>1238</v>
      </c>
      <c r="C19" s="48" t="s">
        <v>732</v>
      </c>
      <c r="D19" s="48"/>
      <c r="E19" s="48"/>
      <c r="F19" s="48"/>
      <c r="G19" s="48"/>
      <c r="H19" s="48"/>
      <c r="I19" s="48"/>
      <c r="J19" s="48"/>
      <c r="K19" s="404">
        <f>SUM(K13:K18)</f>
        <v>2666.6451999999999</v>
      </c>
      <c r="L19" s="404">
        <f t="shared" ref="L19:AO19" si="23">SUM(L13:L18)</f>
        <v>2940.4239999999995</v>
      </c>
      <c r="M19" s="404">
        <f t="shared" si="23"/>
        <v>3242.3998000000001</v>
      </c>
      <c r="N19" s="404">
        <f t="shared" si="23"/>
        <v>3227.1893599999999</v>
      </c>
      <c r="O19" s="404">
        <f t="shared" si="23"/>
        <v>4010.5991799999997</v>
      </c>
      <c r="P19" s="404">
        <f t="shared" si="23"/>
        <v>3759.57492</v>
      </c>
      <c r="Q19" s="404">
        <f t="shared" si="23"/>
        <v>3903.4064400000002</v>
      </c>
      <c r="R19" s="404">
        <f t="shared" si="23"/>
        <v>4439.7675999999992</v>
      </c>
      <c r="S19" s="404">
        <f t="shared" si="23"/>
        <v>5062.4806800000006</v>
      </c>
      <c r="T19" s="404">
        <f t="shared" si="23"/>
        <v>5554</v>
      </c>
      <c r="U19" s="404">
        <f t="shared" si="23"/>
        <v>5870</v>
      </c>
      <c r="V19" s="404">
        <f t="shared" si="23"/>
        <v>6179</v>
      </c>
      <c r="W19" s="404">
        <f t="shared" si="23"/>
        <v>6561</v>
      </c>
      <c r="X19" s="404">
        <f t="shared" si="23"/>
        <v>6922</v>
      </c>
      <c r="Y19" s="404">
        <f t="shared" si="23"/>
        <v>7377</v>
      </c>
      <c r="Z19" s="404">
        <f t="shared" si="23"/>
        <v>7902</v>
      </c>
      <c r="AA19" s="404">
        <f t="shared" si="23"/>
        <v>7808</v>
      </c>
      <c r="AB19" s="404">
        <v>7743</v>
      </c>
      <c r="AC19" s="404">
        <v>7275</v>
      </c>
      <c r="AD19" s="404">
        <f t="shared" si="23"/>
        <v>7124</v>
      </c>
      <c r="AE19" s="404">
        <f t="shared" si="23"/>
        <v>6782</v>
      </c>
      <c r="AF19" s="404">
        <f t="shared" si="23"/>
        <v>6781</v>
      </c>
      <c r="AG19" s="404">
        <f t="shared" si="23"/>
        <v>7218</v>
      </c>
      <c r="AH19" s="404">
        <f t="shared" si="23"/>
        <v>7785</v>
      </c>
      <c r="AI19" s="404">
        <f t="shared" si="23"/>
        <v>8224</v>
      </c>
      <c r="AJ19" s="404">
        <f t="shared" si="23"/>
        <v>8508</v>
      </c>
      <c r="AK19" s="404">
        <f t="shared" si="23"/>
        <v>8933.4195264511582</v>
      </c>
      <c r="AL19" s="404">
        <f t="shared" si="23"/>
        <v>9375.282894890368</v>
      </c>
      <c r="AM19" s="404">
        <f t="shared" si="23"/>
        <v>9851.2753434660517</v>
      </c>
      <c r="AN19" s="404">
        <f t="shared" si="23"/>
        <v>10364.622476387285</v>
      </c>
      <c r="AO19" s="404">
        <f t="shared" si="23"/>
        <v>10918.704664075149</v>
      </c>
      <c r="AP19" s="404">
        <f>SUM(AP13:AP18)</f>
        <v>11517.292094932871</v>
      </c>
      <c r="AQ19" s="404">
        <f t="shared" ref="AQ19:AR19" si="24">SUM(AQ13:AQ18)</f>
        <v>12164.593448650387</v>
      </c>
      <c r="AR19" s="404">
        <f t="shared" si="24"/>
        <v>12865.311051990344</v>
      </c>
      <c r="AS19" s="404">
        <f t="shared" ref="AS19" si="25">SUM(AS13:AS18)</f>
        <v>13624.703404199732</v>
      </c>
      <c r="AT19" s="9"/>
      <c r="AU19" s="9"/>
    </row>
    <row r="20" spans="1:47" outlineLevel="1">
      <c r="A20" s="298"/>
      <c r="B20" s="407" t="s">
        <v>1239</v>
      </c>
      <c r="C20" s="18" t="s">
        <v>732</v>
      </c>
      <c r="D20" s="18"/>
      <c r="E20" s="18"/>
      <c r="F20" s="18"/>
      <c r="G20" s="18"/>
      <c r="H20" s="18"/>
      <c r="I20" s="18"/>
      <c r="J20" s="18"/>
      <c r="K20" s="254">
        <f t="shared" ref="K20:AO20" si="26">K233</f>
        <v>326</v>
      </c>
      <c r="L20" s="254">
        <f t="shared" si="26"/>
        <v>215</v>
      </c>
      <c r="M20" s="254">
        <f t="shared" si="26"/>
        <v>226</v>
      </c>
      <c r="N20" s="254">
        <f t="shared" si="26"/>
        <v>386</v>
      </c>
      <c r="O20" s="254">
        <f t="shared" si="26"/>
        <v>352</v>
      </c>
      <c r="P20" s="254">
        <f t="shared" si="26"/>
        <v>381</v>
      </c>
      <c r="Q20" s="254">
        <f t="shared" si="26"/>
        <v>469</v>
      </c>
      <c r="R20" s="254">
        <f t="shared" si="26"/>
        <v>744</v>
      </c>
      <c r="S20" s="254">
        <f t="shared" si="26"/>
        <v>861</v>
      </c>
      <c r="T20" s="254">
        <f t="shared" si="26"/>
        <v>777</v>
      </c>
      <c r="U20" s="254">
        <f t="shared" si="26"/>
        <v>856</v>
      </c>
      <c r="V20" s="254">
        <f t="shared" si="26"/>
        <v>1160</v>
      </c>
      <c r="W20" s="254">
        <f t="shared" si="26"/>
        <v>1338</v>
      </c>
      <c r="X20" s="254">
        <f t="shared" si="26"/>
        <v>1497</v>
      </c>
      <c r="Y20" s="254">
        <f t="shared" si="26"/>
        <v>1493</v>
      </c>
      <c r="Z20" s="254">
        <f t="shared" si="26"/>
        <v>1886</v>
      </c>
      <c r="AA20" s="254">
        <f t="shared" si="26"/>
        <v>2076</v>
      </c>
      <c r="AB20" s="254">
        <v>2144</v>
      </c>
      <c r="AC20" s="254">
        <v>2846</v>
      </c>
      <c r="AD20" s="254">
        <f t="shared" si="26"/>
        <v>3152</v>
      </c>
      <c r="AE20" s="254">
        <f t="shared" si="26"/>
        <v>3054</v>
      </c>
      <c r="AF20" s="254">
        <f t="shared" si="26"/>
        <v>2306</v>
      </c>
      <c r="AG20" s="254">
        <f t="shared" si="26"/>
        <v>2100</v>
      </c>
      <c r="AH20" s="254">
        <f t="shared" si="26"/>
        <v>2355</v>
      </c>
      <c r="AI20" s="254">
        <f t="shared" si="26"/>
        <v>2359</v>
      </c>
      <c r="AJ20" s="254">
        <f t="shared" si="26"/>
        <v>2359</v>
      </c>
      <c r="AK20" s="254">
        <f t="shared" si="26"/>
        <v>2429.77</v>
      </c>
      <c r="AL20" s="254">
        <f t="shared" si="26"/>
        <v>2502.6631000000002</v>
      </c>
      <c r="AM20" s="254">
        <f t="shared" si="26"/>
        <v>2577.7429930000003</v>
      </c>
      <c r="AN20" s="254">
        <f t="shared" si="26"/>
        <v>2655.0752827900005</v>
      </c>
      <c r="AO20" s="254">
        <f t="shared" si="26"/>
        <v>2734.7275412737008</v>
      </c>
      <c r="AP20" s="254">
        <f>AP233</f>
        <v>2816.7693675119117</v>
      </c>
      <c r="AQ20" s="254">
        <f t="shared" ref="AQ20:AR20" si="27">AQ233</f>
        <v>2901.2724485372692</v>
      </c>
      <c r="AR20" s="254">
        <f t="shared" si="27"/>
        <v>2988.3106219933875</v>
      </c>
      <c r="AS20" s="254">
        <f t="shared" ref="AS20" si="28">AS233</f>
        <v>3077.9599406531893</v>
      </c>
      <c r="AT20" s="2"/>
      <c r="AU20" s="2"/>
    </row>
    <row r="21" spans="1:47" outlineLevel="1">
      <c r="A21" s="298"/>
      <c r="B21" s="407" t="s">
        <v>1240</v>
      </c>
      <c r="C21" s="18" t="s">
        <v>732</v>
      </c>
      <c r="D21" s="18"/>
      <c r="E21" s="18"/>
      <c r="F21" s="18"/>
      <c r="G21" s="18"/>
      <c r="H21" s="18"/>
      <c r="I21" s="18"/>
      <c r="J21" s="18"/>
      <c r="K21" s="254">
        <f t="shared" ref="K21:AO21" si="29">K238</f>
        <v>0</v>
      </c>
      <c r="L21" s="254">
        <f t="shared" si="29"/>
        <v>0</v>
      </c>
      <c r="M21" s="254">
        <f t="shared" si="29"/>
        <v>0</v>
      </c>
      <c r="N21" s="254">
        <f t="shared" si="29"/>
        <v>0</v>
      </c>
      <c r="O21" s="254">
        <f t="shared" si="29"/>
        <v>0</v>
      </c>
      <c r="P21" s="254">
        <f t="shared" si="29"/>
        <v>547</v>
      </c>
      <c r="Q21" s="254">
        <f t="shared" si="29"/>
        <v>614</v>
      </c>
      <c r="R21" s="254">
        <f t="shared" si="29"/>
        <v>499</v>
      </c>
      <c r="S21" s="254">
        <f t="shared" si="29"/>
        <v>442</v>
      </c>
      <c r="T21" s="254">
        <f t="shared" si="29"/>
        <v>491</v>
      </c>
      <c r="U21" s="254">
        <f t="shared" si="29"/>
        <v>533</v>
      </c>
      <c r="V21" s="254">
        <f t="shared" si="29"/>
        <v>650</v>
      </c>
      <c r="W21" s="254">
        <f t="shared" si="29"/>
        <v>769</v>
      </c>
      <c r="X21" s="254">
        <f t="shared" si="29"/>
        <v>768</v>
      </c>
      <c r="Y21" s="254">
        <f t="shared" si="29"/>
        <v>784</v>
      </c>
      <c r="Z21" s="254">
        <f t="shared" si="29"/>
        <v>847</v>
      </c>
      <c r="AA21" s="254">
        <f t="shared" si="29"/>
        <v>539</v>
      </c>
      <c r="AB21" s="254">
        <v>201</v>
      </c>
      <c r="AC21" s="254">
        <v>212</v>
      </c>
      <c r="AD21" s="254">
        <f t="shared" si="29"/>
        <v>224</v>
      </c>
      <c r="AE21" s="254">
        <f t="shared" si="29"/>
        <v>257</v>
      </c>
      <c r="AF21" s="254">
        <f t="shared" si="29"/>
        <v>264</v>
      </c>
      <c r="AG21" s="254">
        <f t="shared" si="29"/>
        <v>250</v>
      </c>
      <c r="AH21" s="254">
        <f t="shared" si="29"/>
        <v>223</v>
      </c>
      <c r="AI21" s="254">
        <f t="shared" si="29"/>
        <v>215</v>
      </c>
      <c r="AJ21" s="254">
        <f t="shared" si="29"/>
        <v>235</v>
      </c>
      <c r="AK21" s="254">
        <f t="shared" si="29"/>
        <v>256.86046511627904</v>
      </c>
      <c r="AL21" s="254">
        <f t="shared" si="29"/>
        <v>280.75446187128171</v>
      </c>
      <c r="AM21" s="254">
        <f t="shared" si="29"/>
        <v>306.87115599884277</v>
      </c>
      <c r="AN21" s="254">
        <f t="shared" si="29"/>
        <v>335.41731004524672</v>
      </c>
      <c r="AO21" s="254">
        <f t="shared" si="29"/>
        <v>366.61892028201385</v>
      </c>
      <c r="AP21" s="254">
        <f>AP238</f>
        <v>400.72300588964305</v>
      </c>
      <c r="AQ21" s="254">
        <f t="shared" ref="AQ21:AR21" si="30">AQ238</f>
        <v>437.99956457705167</v>
      </c>
      <c r="AR21" s="254">
        <f t="shared" si="30"/>
        <v>478.74371011910296</v>
      </c>
      <c r="AS21" s="254">
        <f t="shared" ref="AS21" si="31">AS238</f>
        <v>523.27800873483341</v>
      </c>
      <c r="AT21" s="2"/>
      <c r="AU21" s="2"/>
    </row>
    <row r="22" spans="1:47" outlineLevel="1">
      <c r="A22" s="298"/>
      <c r="B22" s="407" t="s">
        <v>1241</v>
      </c>
      <c r="C22" s="18" t="s">
        <v>732</v>
      </c>
      <c r="D22" s="18"/>
      <c r="E22" s="18"/>
      <c r="F22" s="18"/>
      <c r="G22" s="18"/>
      <c r="H22" s="18"/>
      <c r="I22" s="18"/>
      <c r="J22" s="18"/>
      <c r="K22" s="254">
        <f t="shared" ref="K22:AO22" si="32">K243</f>
        <v>0</v>
      </c>
      <c r="L22" s="254">
        <f t="shared" si="32"/>
        <v>0</v>
      </c>
      <c r="M22" s="254">
        <f t="shared" si="32"/>
        <v>0</v>
      </c>
      <c r="N22" s="254">
        <f t="shared" si="32"/>
        <v>0</v>
      </c>
      <c r="O22" s="254">
        <f t="shared" si="32"/>
        <v>0</v>
      </c>
      <c r="P22" s="254">
        <f t="shared" si="32"/>
        <v>0</v>
      </c>
      <c r="Q22" s="254">
        <f t="shared" si="32"/>
        <v>0</v>
      </c>
      <c r="R22" s="254">
        <f t="shared" si="32"/>
        <v>0</v>
      </c>
      <c r="S22" s="254">
        <f t="shared" si="32"/>
        <v>0</v>
      </c>
      <c r="T22" s="254">
        <f t="shared" si="32"/>
        <v>0</v>
      </c>
      <c r="U22" s="254">
        <f t="shared" si="32"/>
        <v>0</v>
      </c>
      <c r="V22" s="254">
        <f t="shared" si="32"/>
        <v>0</v>
      </c>
      <c r="W22" s="254">
        <f t="shared" si="32"/>
        <v>0</v>
      </c>
      <c r="X22" s="254">
        <f t="shared" si="32"/>
        <v>0</v>
      </c>
      <c r="Y22" s="254">
        <f t="shared" si="32"/>
        <v>0</v>
      </c>
      <c r="Z22" s="254">
        <f t="shared" si="32"/>
        <v>0</v>
      </c>
      <c r="AA22" s="254">
        <f t="shared" si="32"/>
        <v>0</v>
      </c>
      <c r="AB22" s="254">
        <v>0</v>
      </c>
      <c r="AC22" s="254">
        <v>175</v>
      </c>
      <c r="AD22" s="254">
        <f t="shared" si="32"/>
        <v>149</v>
      </c>
      <c r="AE22" s="254">
        <f t="shared" si="32"/>
        <v>37</v>
      </c>
      <c r="AF22" s="254">
        <f t="shared" si="32"/>
        <v>-41</v>
      </c>
      <c r="AG22" s="254">
        <f t="shared" si="32"/>
        <v>-98</v>
      </c>
      <c r="AH22" s="254">
        <f t="shared" si="32"/>
        <v>-105</v>
      </c>
      <c r="AI22" s="254">
        <f t="shared" si="32"/>
        <v>-76</v>
      </c>
      <c r="AJ22" s="254">
        <f t="shared" si="32"/>
        <v>-87</v>
      </c>
      <c r="AK22" s="254">
        <f t="shared" si="32"/>
        <v>-99.59210526315789</v>
      </c>
      <c r="AL22" s="254">
        <f t="shared" si="32"/>
        <v>-114.00675207756231</v>
      </c>
      <c r="AM22" s="254">
        <f t="shared" si="32"/>
        <v>-130.50772935194632</v>
      </c>
      <c r="AN22" s="254">
        <f t="shared" si="32"/>
        <v>-149.39700596867539</v>
      </c>
      <c r="AO22" s="254">
        <f t="shared" si="32"/>
        <v>-171.02025683256261</v>
      </c>
      <c r="AP22" s="254">
        <f>AP243</f>
        <v>-195.77318874253876</v>
      </c>
      <c r="AQ22" s="254">
        <f t="shared" ref="AQ22:AR22" si="33">AQ243</f>
        <v>-224.10878185001147</v>
      </c>
      <c r="AR22" s="254">
        <f t="shared" si="33"/>
        <v>-256.5455792230394</v>
      </c>
      <c r="AS22" s="254">
        <f t="shared" ref="AS22" si="34">AS243</f>
        <v>-293.67717621584768</v>
      </c>
      <c r="AT22" s="2"/>
      <c r="AU22" s="2"/>
    </row>
    <row r="23" spans="1:47" outlineLevel="1">
      <c r="A23" s="298"/>
      <c r="B23" s="208" t="s">
        <v>1110</v>
      </c>
      <c r="C23" s="209" t="s">
        <v>732</v>
      </c>
      <c r="D23" s="209"/>
      <c r="E23" s="209"/>
      <c r="F23" s="209"/>
      <c r="G23" s="209"/>
      <c r="H23" s="209"/>
      <c r="I23" s="209"/>
      <c r="J23" s="209"/>
      <c r="K23" s="262">
        <f>SUM(K19:K22)</f>
        <v>2992.6451999999999</v>
      </c>
      <c r="L23" s="262">
        <f t="shared" ref="L23:AO23" si="35">SUM(L19:L22)</f>
        <v>3155.4239999999995</v>
      </c>
      <c r="M23" s="262">
        <f t="shared" si="35"/>
        <v>3468.3998000000001</v>
      </c>
      <c r="N23" s="262">
        <f t="shared" si="35"/>
        <v>3613.1893599999999</v>
      </c>
      <c r="O23" s="262">
        <f t="shared" si="35"/>
        <v>4362.5991799999993</v>
      </c>
      <c r="P23" s="262">
        <f t="shared" si="35"/>
        <v>4687.57492</v>
      </c>
      <c r="Q23" s="262">
        <f t="shared" si="35"/>
        <v>4986.4064400000007</v>
      </c>
      <c r="R23" s="262">
        <f t="shared" si="35"/>
        <v>5682.7675999999992</v>
      </c>
      <c r="S23" s="262">
        <f t="shared" si="35"/>
        <v>6365.4806800000006</v>
      </c>
      <c r="T23" s="262">
        <f t="shared" si="35"/>
        <v>6822</v>
      </c>
      <c r="U23" s="262">
        <f t="shared" si="35"/>
        <v>7259</v>
      </c>
      <c r="V23" s="262">
        <f t="shared" si="35"/>
        <v>7989</v>
      </c>
      <c r="W23" s="262">
        <f t="shared" si="35"/>
        <v>8668</v>
      </c>
      <c r="X23" s="262">
        <f t="shared" si="35"/>
        <v>9187</v>
      </c>
      <c r="Y23" s="262">
        <f t="shared" si="35"/>
        <v>9654</v>
      </c>
      <c r="Z23" s="262">
        <f t="shared" si="35"/>
        <v>10635</v>
      </c>
      <c r="AA23" s="262">
        <f t="shared" si="35"/>
        <v>10423</v>
      </c>
      <c r="AB23" s="262">
        <v>10088</v>
      </c>
      <c r="AC23" s="262">
        <v>10508</v>
      </c>
      <c r="AD23" s="262">
        <f t="shared" si="35"/>
        <v>10649</v>
      </c>
      <c r="AE23" s="262">
        <f t="shared" si="35"/>
        <v>10130</v>
      </c>
      <c r="AF23" s="262">
        <f t="shared" si="35"/>
        <v>9310</v>
      </c>
      <c r="AG23" s="262">
        <f>SUM(AG19:AG22)</f>
        <v>9470</v>
      </c>
      <c r="AH23" s="262">
        <f t="shared" si="35"/>
        <v>10258</v>
      </c>
      <c r="AI23" s="262">
        <f t="shared" si="35"/>
        <v>10722</v>
      </c>
      <c r="AJ23" s="262">
        <f t="shared" si="35"/>
        <v>11015</v>
      </c>
      <c r="AK23" s="262">
        <f t="shared" si="35"/>
        <v>11520.457886304279</v>
      </c>
      <c r="AL23" s="262">
        <f t="shared" si="35"/>
        <v>12044.693704684087</v>
      </c>
      <c r="AM23" s="262">
        <f t="shared" si="35"/>
        <v>12605.381763112948</v>
      </c>
      <c r="AN23" s="262">
        <f t="shared" si="35"/>
        <v>13205.718063253855</v>
      </c>
      <c r="AO23" s="262">
        <f t="shared" si="35"/>
        <v>13849.030868798302</v>
      </c>
      <c r="AP23" s="262">
        <f>SUM(AP19:AP22)</f>
        <v>14539.011279591889</v>
      </c>
      <c r="AQ23" s="262">
        <f t="shared" ref="AQ23:AR23" si="36">SUM(AQ19:AQ22)</f>
        <v>15279.756679914697</v>
      </c>
      <c r="AR23" s="262">
        <f t="shared" si="36"/>
        <v>16075.819804879795</v>
      </c>
      <c r="AS23" s="262">
        <f t="shared" ref="AS23" si="37">SUM(AS19:AS22)</f>
        <v>16932.264177371908</v>
      </c>
      <c r="AT23" s="2"/>
      <c r="AU23" s="2"/>
    </row>
    <row r="24" spans="1:47" outlineLevel="1">
      <c r="A24" s="310"/>
      <c r="B24" s="322" t="s">
        <v>1099</v>
      </c>
      <c r="C24" s="310" t="s">
        <v>733</v>
      </c>
      <c r="D24" s="310"/>
      <c r="E24" s="310"/>
      <c r="F24" s="310"/>
      <c r="G24" s="310"/>
      <c r="H24" s="310"/>
      <c r="I24" s="310"/>
      <c r="J24" s="310"/>
      <c r="K24" s="313"/>
      <c r="L24" s="313"/>
      <c r="M24" s="313"/>
      <c r="N24" s="313">
        <f t="shared" ref="N24:AI24" si="38">N23/M23-1</f>
        <v>4.1745348964672413E-2</v>
      </c>
      <c r="O24" s="313">
        <f t="shared" si="38"/>
        <v>0.20740950593300744</v>
      </c>
      <c r="P24" s="313">
        <f t="shared" si="38"/>
        <v>7.4491312768275142E-2</v>
      </c>
      <c r="Q24" s="313">
        <f t="shared" si="38"/>
        <v>6.3749705359376074E-2</v>
      </c>
      <c r="R24" s="313">
        <f t="shared" si="38"/>
        <v>0.13965190531079097</v>
      </c>
      <c r="S24" s="313">
        <f t="shared" si="38"/>
        <v>0.12013742740421085</v>
      </c>
      <c r="T24" s="313">
        <f t="shared" si="38"/>
        <v>7.1717964903162512E-2</v>
      </c>
      <c r="U24" s="313">
        <f t="shared" si="38"/>
        <v>6.4057461155086592E-2</v>
      </c>
      <c r="V24" s="313">
        <f t="shared" si="38"/>
        <v>0.10056481609037049</v>
      </c>
      <c r="W24" s="313">
        <f t="shared" si="38"/>
        <v>8.4991863812742485E-2</v>
      </c>
      <c r="X24" s="313">
        <f t="shared" si="38"/>
        <v>5.9875403784033221E-2</v>
      </c>
      <c r="Y24" s="313">
        <f t="shared" si="38"/>
        <v>5.0832698378143082E-2</v>
      </c>
      <c r="Z24" s="313">
        <f t="shared" si="38"/>
        <v>0.10161591050341823</v>
      </c>
      <c r="AA24" s="313">
        <f>AA23/Z23-1</f>
        <v>-1.9934179595674673E-2</v>
      </c>
      <c r="AB24" s="313">
        <v>-3.2140458601170541E-2</v>
      </c>
      <c r="AC24" s="313">
        <v>4.1633624107850986E-2</v>
      </c>
      <c r="AD24" s="313">
        <f t="shared" si="38"/>
        <v>1.3418347925390206E-2</v>
      </c>
      <c r="AE24" s="313">
        <f t="shared" si="38"/>
        <v>-4.8736970607568764E-2</v>
      </c>
      <c r="AF24" s="313">
        <f t="shared" si="38"/>
        <v>-8.0947680157946733E-2</v>
      </c>
      <c r="AG24" s="313">
        <f t="shared" si="38"/>
        <v>1.7185821697099923E-2</v>
      </c>
      <c r="AH24" s="313">
        <f t="shared" si="38"/>
        <v>8.321013727560711E-2</v>
      </c>
      <c r="AI24" s="313">
        <f t="shared" si="38"/>
        <v>4.5232988886722447E-2</v>
      </c>
      <c r="AJ24" s="313">
        <f t="shared" ref="AJ24:AP24" si="39">AJ23/AI23-1</f>
        <v>2.7326991232978992E-2</v>
      </c>
      <c r="AK24" s="313">
        <f t="shared" si="39"/>
        <v>4.5888142197392456E-2</v>
      </c>
      <c r="AL24" s="313">
        <f t="shared" si="39"/>
        <v>4.550477277496312E-2</v>
      </c>
      <c r="AM24" s="313">
        <f t="shared" si="39"/>
        <v>4.6550628199936162E-2</v>
      </c>
      <c r="AN24" s="313">
        <f t="shared" si="39"/>
        <v>4.7625396154019617E-2</v>
      </c>
      <c r="AO24" s="313">
        <f t="shared" si="39"/>
        <v>4.871471603914701E-2</v>
      </c>
      <c r="AP24" s="313">
        <f t="shared" si="39"/>
        <v>4.9821566384699478E-2</v>
      </c>
      <c r="AQ24" s="313">
        <f t="shared" ref="AQ24" si="40">AQ23/AP23-1</f>
        <v>5.0948815299605599E-2</v>
      </c>
      <c r="AR24" s="313">
        <f t="shared" ref="AR24:AS24" si="41">AR23/AQ23-1</f>
        <v>5.209920168503257E-2</v>
      </c>
      <c r="AS24" s="313">
        <f t="shared" si="41"/>
        <v>5.3275315528987122E-2</v>
      </c>
      <c r="AT24" s="313"/>
      <c r="AU24" s="513"/>
    </row>
    <row r="25" spans="1:47" outlineLevel="1">
      <c r="A25" s="298"/>
      <c r="B25" s="167"/>
      <c r="C25" s="21"/>
      <c r="D25" s="21"/>
      <c r="E25" s="21"/>
      <c r="F25" s="21"/>
      <c r="G25" s="21"/>
      <c r="H25" s="21"/>
      <c r="I25" s="21"/>
      <c r="J25" s="21"/>
      <c r="K25" s="34"/>
      <c r="L25" s="34"/>
      <c r="M25" s="34"/>
      <c r="N25" s="34"/>
      <c r="O25" s="34"/>
      <c r="P25" s="34"/>
      <c r="Q25" s="34"/>
      <c r="R25" s="34"/>
      <c r="S25" s="34"/>
      <c r="T25" s="34"/>
      <c r="U25" s="34"/>
      <c r="V25" s="52"/>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2"/>
      <c r="AU25" s="2"/>
    </row>
    <row r="26" spans="1:47" ht="15.6" outlineLevel="1">
      <c r="A26" s="298"/>
      <c r="B26" s="737" t="s">
        <v>1250</v>
      </c>
      <c r="C26" s="283"/>
      <c r="D26" s="284"/>
      <c r="E26" s="284"/>
      <c r="F26" s="284"/>
      <c r="G26" s="285"/>
      <c r="H26" s="285"/>
      <c r="I26" s="285"/>
      <c r="J26" s="285"/>
      <c r="K26" s="285"/>
      <c r="L26" s="285"/>
      <c r="M26" s="285"/>
      <c r="N26" s="284"/>
      <c r="O26" s="286"/>
      <c r="P26" s="286"/>
      <c r="Q26" s="286"/>
      <c r="R26" s="286"/>
      <c r="S26" s="286"/>
      <c r="T26" s="286"/>
      <c r="U26" s="286"/>
      <c r="V26" s="285"/>
      <c r="W26" s="285"/>
      <c r="X26" s="285"/>
      <c r="Y26" s="285"/>
      <c r="Z26" s="285"/>
      <c r="AA26" s="285"/>
      <c r="AB26" s="285"/>
      <c r="AC26" s="285"/>
      <c r="AD26" s="285"/>
      <c r="AE26" s="285"/>
      <c r="AF26" s="285"/>
      <c r="AG26" s="285"/>
      <c r="AH26" s="285"/>
      <c r="AI26" s="285"/>
      <c r="AJ26" s="285"/>
      <c r="AK26" s="285"/>
      <c r="AL26" s="285"/>
      <c r="AM26" s="285"/>
      <c r="AN26" s="285"/>
      <c r="AO26" s="285"/>
      <c r="AP26" s="285"/>
      <c r="AQ26" s="285"/>
      <c r="AR26" s="285"/>
      <c r="AS26" s="285"/>
      <c r="AT26" s="2"/>
      <c r="AU26" s="2"/>
    </row>
    <row r="27" spans="1:47" outlineLevel="1">
      <c r="A27" s="298"/>
      <c r="B27" s="407" t="s">
        <v>1251</v>
      </c>
      <c r="C27" s="18" t="s">
        <v>732</v>
      </c>
      <c r="D27" s="18"/>
      <c r="E27" s="18"/>
      <c r="F27" s="18"/>
      <c r="G27" s="18"/>
      <c r="H27" s="18"/>
      <c r="I27" s="18"/>
      <c r="J27" s="18"/>
      <c r="K27" s="254"/>
      <c r="L27" s="254"/>
      <c r="M27" s="254"/>
      <c r="N27" s="254"/>
      <c r="O27" s="254"/>
      <c r="P27" s="254"/>
      <c r="Q27" s="254"/>
      <c r="R27" s="254"/>
      <c r="S27" s="254"/>
      <c r="T27" s="254"/>
      <c r="U27" s="254"/>
      <c r="V27" s="254"/>
      <c r="W27" s="254"/>
      <c r="X27" s="254"/>
      <c r="Y27" s="254"/>
      <c r="Z27" s="254"/>
      <c r="AA27" s="254"/>
      <c r="AB27" s="254"/>
      <c r="AC27" s="254">
        <v>3173</v>
      </c>
      <c r="AD27" s="254">
        <f t="shared" ref="AD27:AE28" si="42">+AD252</f>
        <v>2326</v>
      </c>
      <c r="AE27" s="254">
        <f t="shared" si="42"/>
        <v>1453</v>
      </c>
      <c r="AF27" s="254">
        <f>+AF252</f>
        <v>784</v>
      </c>
      <c r="AG27" s="254"/>
      <c r="AH27" s="254"/>
      <c r="AI27" s="254"/>
      <c r="AJ27" s="254"/>
      <c r="AK27" s="254"/>
      <c r="AL27" s="254"/>
      <c r="AM27" s="254"/>
      <c r="AN27" s="254"/>
      <c r="AO27" s="254"/>
      <c r="AP27" s="254"/>
      <c r="AQ27" s="254"/>
      <c r="AR27" s="254"/>
      <c r="AS27" s="254"/>
      <c r="AT27" s="2"/>
      <c r="AU27" s="2"/>
    </row>
    <row r="28" spans="1:47" outlineLevel="1">
      <c r="A28" s="298"/>
      <c r="B28" s="407" t="s">
        <v>1252</v>
      </c>
      <c r="C28" s="18" t="s">
        <v>732</v>
      </c>
      <c r="D28" s="18"/>
      <c r="E28" s="18"/>
      <c r="F28" s="18"/>
      <c r="G28" s="18"/>
      <c r="H28" s="18"/>
      <c r="I28" s="18"/>
      <c r="J28" s="18"/>
      <c r="K28" s="254"/>
      <c r="L28" s="254"/>
      <c r="M28" s="254"/>
      <c r="N28" s="254"/>
      <c r="O28" s="254"/>
      <c r="P28" s="254"/>
      <c r="Q28" s="254"/>
      <c r="R28" s="254"/>
      <c r="S28" s="254"/>
      <c r="T28" s="254"/>
      <c r="U28" s="254"/>
      <c r="V28" s="254"/>
      <c r="W28" s="254"/>
      <c r="X28" s="254"/>
      <c r="Y28" s="254"/>
      <c r="Z28" s="254"/>
      <c r="AA28" s="254"/>
      <c r="AB28" s="254"/>
      <c r="AC28" s="254">
        <v>1448</v>
      </c>
      <c r="AD28" s="254">
        <f t="shared" si="42"/>
        <v>2064</v>
      </c>
      <c r="AE28" s="254">
        <f t="shared" si="42"/>
        <v>2595</v>
      </c>
      <c r="AF28" s="254">
        <f>+AF253</f>
        <v>3001</v>
      </c>
      <c r="AG28" s="254"/>
      <c r="AH28" s="254"/>
      <c r="AI28" s="254"/>
      <c r="AJ28" s="254"/>
      <c r="AK28" s="254"/>
      <c r="AL28" s="254"/>
      <c r="AM28" s="254"/>
      <c r="AN28" s="254"/>
      <c r="AO28" s="254"/>
      <c r="AP28" s="254"/>
      <c r="AQ28" s="254"/>
      <c r="AR28" s="254"/>
      <c r="AS28" s="254"/>
      <c r="AT28" s="2"/>
      <c r="AU28" s="2"/>
    </row>
    <row r="29" spans="1:47" outlineLevel="1">
      <c r="A29" s="338"/>
      <c r="B29" s="406" t="s">
        <v>1307</v>
      </c>
      <c r="C29" s="48" t="s">
        <v>732</v>
      </c>
      <c r="D29" s="48"/>
      <c r="E29" s="48"/>
      <c r="F29" s="48"/>
      <c r="G29" s="48"/>
      <c r="H29" s="48"/>
      <c r="I29" s="48"/>
      <c r="J29" s="48"/>
      <c r="K29" s="404"/>
      <c r="L29" s="404"/>
      <c r="M29" s="404"/>
      <c r="N29" s="404"/>
      <c r="O29" s="404"/>
      <c r="P29" s="404"/>
      <c r="Q29" s="404"/>
      <c r="R29" s="404"/>
      <c r="S29" s="404"/>
      <c r="T29" s="404"/>
      <c r="U29" s="404"/>
      <c r="V29" s="404"/>
      <c r="W29" s="404"/>
      <c r="X29" s="404"/>
      <c r="Y29" s="404"/>
      <c r="Z29" s="404"/>
      <c r="AA29" s="404"/>
      <c r="AB29" s="404"/>
      <c r="AC29" s="404">
        <v>4621</v>
      </c>
      <c r="AD29" s="404">
        <f>+AD298</f>
        <v>4390</v>
      </c>
      <c r="AE29" s="404">
        <f>+AE298</f>
        <v>4048</v>
      </c>
      <c r="AF29" s="404">
        <f t="shared" ref="AF29:AO29" si="43">+AF298</f>
        <v>3785</v>
      </c>
      <c r="AG29" s="404">
        <f t="shared" si="43"/>
        <v>3619</v>
      </c>
      <c r="AH29" s="404">
        <f t="shared" si="43"/>
        <v>3626</v>
      </c>
      <c r="AI29" s="404">
        <f t="shared" si="43"/>
        <v>3454</v>
      </c>
      <c r="AJ29" s="404">
        <f t="shared" si="43"/>
        <v>3445</v>
      </c>
      <c r="AK29" s="404">
        <f t="shared" si="43"/>
        <v>3488.5720990997979</v>
      </c>
      <c r="AL29" s="404">
        <f t="shared" si="43"/>
        <v>3537.4017592286232</v>
      </c>
      <c r="AM29" s="404">
        <f t="shared" si="43"/>
        <v>3590.6914589245839</v>
      </c>
      <c r="AN29" s="404">
        <f t="shared" si="43"/>
        <v>3647.8097923014943</v>
      </c>
      <c r="AO29" s="404">
        <f t="shared" si="43"/>
        <v>3708.2580007717024</v>
      </c>
      <c r="AP29" s="404">
        <f>+AP298</f>
        <v>3771.6432684891492</v>
      </c>
      <c r="AQ29" s="404">
        <f t="shared" ref="AQ29:AR29" si="44">+AQ298</f>
        <v>3837.6574149992384</v>
      </c>
      <c r="AR29" s="404">
        <f t="shared" si="44"/>
        <v>3906.0598946740092</v>
      </c>
      <c r="AS29" s="404">
        <f t="shared" ref="AS29" si="45">+AS298</f>
        <v>3817.6642328212629</v>
      </c>
      <c r="AT29" s="9"/>
      <c r="AU29" s="9"/>
    </row>
    <row r="30" spans="1:47" outlineLevel="1">
      <c r="A30" s="298"/>
      <c r="B30" s="339" t="s">
        <v>1253</v>
      </c>
      <c r="C30" s="18" t="s">
        <v>732</v>
      </c>
      <c r="D30" s="18"/>
      <c r="E30" s="18"/>
      <c r="F30" s="18"/>
      <c r="G30" s="18"/>
      <c r="H30" s="18"/>
      <c r="I30" s="18"/>
      <c r="J30" s="18"/>
      <c r="K30" s="254"/>
      <c r="L30" s="254"/>
      <c r="M30" s="254"/>
      <c r="N30" s="254"/>
      <c r="O30" s="254"/>
      <c r="P30" s="254"/>
      <c r="Q30" s="254"/>
      <c r="R30" s="254"/>
      <c r="S30" s="254"/>
      <c r="T30" s="254"/>
      <c r="U30" s="254"/>
      <c r="V30" s="254"/>
      <c r="W30" s="254"/>
      <c r="X30" s="254"/>
      <c r="Y30" s="254"/>
      <c r="Z30" s="254"/>
      <c r="AA30" s="254"/>
      <c r="AB30" s="254"/>
      <c r="AC30" s="254">
        <v>821</v>
      </c>
      <c r="AD30" s="254">
        <f>+AD320</f>
        <v>765</v>
      </c>
      <c r="AE30" s="254">
        <f>+AE320</f>
        <v>727</v>
      </c>
      <c r="AF30" s="254">
        <f t="shared" ref="AF30:AO30" si="46">+AF320</f>
        <v>661</v>
      </c>
      <c r="AG30" s="254">
        <f t="shared" si="46"/>
        <v>600</v>
      </c>
      <c r="AH30" s="254">
        <f t="shared" si="46"/>
        <v>591</v>
      </c>
      <c r="AI30" s="254">
        <f t="shared" si="46"/>
        <v>539</v>
      </c>
      <c r="AJ30" s="254">
        <f t="shared" si="46"/>
        <v>444</v>
      </c>
      <c r="AK30" s="254">
        <f t="shared" si="46"/>
        <v>365.74397031539888</v>
      </c>
      <c r="AL30" s="254">
        <f t="shared" si="46"/>
        <v>301.2807473470076</v>
      </c>
      <c r="AM30" s="254">
        <f t="shared" si="46"/>
        <v>248.17931692406563</v>
      </c>
      <c r="AN30" s="254">
        <f t="shared" si="46"/>
        <v>204.43713676119694</v>
      </c>
      <c r="AO30" s="254">
        <f t="shared" si="46"/>
        <v>168.40461729493774</v>
      </c>
      <c r="AP30" s="254">
        <f>+AP320</f>
        <v>138.72291294796355</v>
      </c>
      <c r="AQ30" s="254">
        <f t="shared" ref="AQ30:AR30" si="47">+AQ320</f>
        <v>114.27267782726497</v>
      </c>
      <c r="AR30" s="254">
        <f t="shared" si="47"/>
        <v>94.131853349361137</v>
      </c>
      <c r="AS30" s="254">
        <f t="shared" ref="AS30" si="48">+AS320</f>
        <v>77.54089589446447</v>
      </c>
      <c r="AT30" s="2"/>
      <c r="AU30" s="2"/>
    </row>
    <row r="31" spans="1:47" outlineLevel="1">
      <c r="A31" s="298"/>
      <c r="B31" s="339" t="s">
        <v>1254</v>
      </c>
      <c r="C31" s="18" t="s">
        <v>732</v>
      </c>
      <c r="D31" s="18"/>
      <c r="E31" s="18"/>
      <c r="F31" s="18"/>
      <c r="G31" s="18"/>
      <c r="H31" s="18"/>
      <c r="I31" s="18"/>
      <c r="J31" s="18"/>
      <c r="K31" s="254"/>
      <c r="L31" s="254"/>
      <c r="M31" s="254"/>
      <c r="N31" s="254"/>
      <c r="O31" s="254"/>
      <c r="P31" s="254"/>
      <c r="Q31" s="254"/>
      <c r="R31" s="254"/>
      <c r="S31" s="254"/>
      <c r="T31" s="254"/>
      <c r="U31" s="254"/>
      <c r="V31" s="254"/>
      <c r="W31" s="254"/>
      <c r="X31" s="254"/>
      <c r="Y31" s="254"/>
      <c r="Z31" s="254"/>
      <c r="AA31" s="254"/>
      <c r="AB31" s="254"/>
      <c r="AC31" s="254">
        <v>197</v>
      </c>
      <c r="AD31" s="254">
        <f t="shared" ref="AD31:AE32" si="49">+AD326</f>
        <v>183</v>
      </c>
      <c r="AE31" s="254">
        <f t="shared" si="49"/>
        <v>193</v>
      </c>
      <c r="AF31" s="254">
        <f t="shared" ref="AF31:AO31" si="50">+AF326</f>
        <v>183</v>
      </c>
      <c r="AG31" s="254">
        <f t="shared" si="50"/>
        <v>168</v>
      </c>
      <c r="AH31" s="254">
        <f t="shared" si="50"/>
        <v>158</v>
      </c>
      <c r="AI31" s="254">
        <f t="shared" si="50"/>
        <v>153</v>
      </c>
      <c r="AJ31" s="254">
        <f t="shared" si="50"/>
        <v>149</v>
      </c>
      <c r="AK31" s="254">
        <f t="shared" si="50"/>
        <v>145.10457516339869</v>
      </c>
      <c r="AL31" s="254">
        <f t="shared" si="50"/>
        <v>141.31099149899612</v>
      </c>
      <c r="AM31" s="254">
        <f t="shared" si="50"/>
        <v>137.61658649248642</v>
      </c>
      <c r="AN31" s="254">
        <f t="shared" si="50"/>
        <v>134.01876723778088</v>
      </c>
      <c r="AO31" s="254">
        <f t="shared" si="50"/>
        <v>130.51500861718529</v>
      </c>
      <c r="AP31" s="254">
        <f>+AP326</f>
        <v>127.10285152915429</v>
      </c>
      <c r="AQ31" s="254">
        <f t="shared" ref="AQ31:AR31" si="51">+AQ326</f>
        <v>123.77990116237902</v>
      </c>
      <c r="AR31" s="254">
        <f t="shared" si="51"/>
        <v>120.54382531499655</v>
      </c>
      <c r="AS31" s="254">
        <f t="shared" ref="AS31" si="52">+AS326</f>
        <v>117.39235275774173</v>
      </c>
      <c r="AT31" s="2"/>
      <c r="AU31" s="2"/>
    </row>
    <row r="32" spans="1:47" outlineLevel="1">
      <c r="A32" s="298"/>
      <c r="B32" s="339" t="s">
        <v>1306</v>
      </c>
      <c r="C32" s="18" t="s">
        <v>732</v>
      </c>
      <c r="D32" s="18"/>
      <c r="E32" s="18"/>
      <c r="F32" s="18"/>
      <c r="G32" s="18"/>
      <c r="H32" s="18"/>
      <c r="I32" s="18"/>
      <c r="J32" s="18"/>
      <c r="K32" s="254"/>
      <c r="L32" s="254"/>
      <c r="M32" s="254"/>
      <c r="N32" s="254"/>
      <c r="O32" s="254"/>
      <c r="P32" s="254"/>
      <c r="Q32" s="254"/>
      <c r="R32" s="254"/>
      <c r="S32" s="254"/>
      <c r="T32" s="254"/>
      <c r="U32" s="254"/>
      <c r="V32" s="254"/>
      <c r="W32" s="254"/>
      <c r="X32" s="254"/>
      <c r="Y32" s="254"/>
      <c r="Z32" s="254"/>
      <c r="AA32" s="254"/>
      <c r="AB32" s="254"/>
      <c r="AC32" s="254">
        <v>172</v>
      </c>
      <c r="AD32" s="254">
        <f t="shared" si="49"/>
        <v>147</v>
      </c>
      <c r="AE32" s="254">
        <f t="shared" si="49"/>
        <v>115</v>
      </c>
      <c r="AF32" s="254">
        <f t="shared" ref="AF32:AO32" si="53">+AF327</f>
        <v>107</v>
      </c>
      <c r="AG32" s="254">
        <f t="shared" si="53"/>
        <v>99</v>
      </c>
      <c r="AH32" s="254">
        <f t="shared" si="53"/>
        <v>82</v>
      </c>
      <c r="AI32" s="254">
        <f t="shared" si="53"/>
        <v>209</v>
      </c>
      <c r="AJ32" s="254">
        <f t="shared" si="53"/>
        <v>261</v>
      </c>
      <c r="AK32" s="254">
        <f t="shared" si="53"/>
        <v>325.93779904306217</v>
      </c>
      <c r="AL32" s="254">
        <f t="shared" si="53"/>
        <v>407.03237105377622</v>
      </c>
      <c r="AM32" s="254">
        <f t="shared" si="53"/>
        <v>508.30358299060089</v>
      </c>
      <c r="AN32" s="254">
        <f t="shared" si="53"/>
        <v>634.77146009831017</v>
      </c>
      <c r="AO32" s="254">
        <f t="shared" si="53"/>
        <v>792.70502911798542</v>
      </c>
      <c r="AP32" s="254">
        <f>+AP327</f>
        <v>989.93307464016357</v>
      </c>
      <c r="AQ32" s="254">
        <f t="shared" ref="AQ32:AR32" si="54">+AQ327</f>
        <v>1236.2322128281469</v>
      </c>
      <c r="AR32" s="254">
        <f t="shared" si="54"/>
        <v>1543.8115193691212</v>
      </c>
      <c r="AS32" s="254">
        <f t="shared" ref="AS32" si="55">+AS327</f>
        <v>1927.9177347145485</v>
      </c>
      <c r="AT32" s="2"/>
      <c r="AU32" s="2"/>
    </row>
    <row r="33" spans="1:47" outlineLevel="1">
      <c r="A33" s="298"/>
      <c r="B33" s="208" t="s">
        <v>1256</v>
      </c>
      <c r="C33" s="433" t="s">
        <v>732</v>
      </c>
      <c r="D33" s="209"/>
      <c r="E33" s="209"/>
      <c r="F33" s="209"/>
      <c r="G33" s="209"/>
      <c r="H33" s="209"/>
      <c r="I33" s="209"/>
      <c r="J33" s="209"/>
      <c r="K33" s="262"/>
      <c r="L33" s="262"/>
      <c r="M33" s="262"/>
      <c r="N33" s="262"/>
      <c r="O33" s="262"/>
      <c r="P33" s="262"/>
      <c r="Q33" s="262"/>
      <c r="R33" s="262"/>
      <c r="S33" s="262"/>
      <c r="T33" s="262"/>
      <c r="U33" s="262"/>
      <c r="V33" s="262"/>
      <c r="W33" s="262"/>
      <c r="X33" s="262"/>
      <c r="Y33" s="262"/>
      <c r="Z33" s="262"/>
      <c r="AA33" s="262"/>
      <c r="AB33" s="262"/>
      <c r="AC33" s="262">
        <v>5811</v>
      </c>
      <c r="AD33" s="262">
        <f t="shared" ref="AD33:AO33" si="56">SUM(AD29:AD32)</f>
        <v>5485</v>
      </c>
      <c r="AE33" s="262">
        <f t="shared" si="56"/>
        <v>5083</v>
      </c>
      <c r="AF33" s="262">
        <f t="shared" si="56"/>
        <v>4736</v>
      </c>
      <c r="AG33" s="262">
        <f t="shared" si="56"/>
        <v>4486</v>
      </c>
      <c r="AH33" s="262">
        <f t="shared" si="56"/>
        <v>4457</v>
      </c>
      <c r="AI33" s="262">
        <f t="shared" si="56"/>
        <v>4355</v>
      </c>
      <c r="AJ33" s="262">
        <f t="shared" si="56"/>
        <v>4299</v>
      </c>
      <c r="AK33" s="262">
        <f t="shared" si="56"/>
        <v>4325.3584436216579</v>
      </c>
      <c r="AL33" s="262">
        <f t="shared" si="56"/>
        <v>4387.0258691284025</v>
      </c>
      <c r="AM33" s="262">
        <f t="shared" si="56"/>
        <v>4484.790945331737</v>
      </c>
      <c r="AN33" s="262">
        <f t="shared" si="56"/>
        <v>4621.0371563987828</v>
      </c>
      <c r="AO33" s="262">
        <f t="shared" si="56"/>
        <v>4799.8826558018109</v>
      </c>
      <c r="AP33" s="262">
        <f>SUM(AP29:AP32)</f>
        <v>5027.40210760643</v>
      </c>
      <c r="AQ33" s="262">
        <f t="shared" ref="AQ33:AR33" si="57">SUM(AQ29:AQ32)</f>
        <v>5311.9422068170288</v>
      </c>
      <c r="AR33" s="262">
        <f t="shared" si="57"/>
        <v>5664.5470927074884</v>
      </c>
      <c r="AS33" s="262">
        <f t="shared" ref="AS33" si="58">SUM(AS29:AS32)</f>
        <v>5940.5152161880178</v>
      </c>
      <c r="AT33" s="2"/>
      <c r="AU33" s="2"/>
    </row>
    <row r="34" spans="1:47" outlineLevel="1">
      <c r="A34" s="310"/>
      <c r="B34" s="322" t="s">
        <v>1099</v>
      </c>
      <c r="C34" s="310" t="s">
        <v>733</v>
      </c>
      <c r="D34" s="310"/>
      <c r="E34" s="310"/>
      <c r="F34" s="310"/>
      <c r="G34" s="310"/>
      <c r="H34" s="310"/>
      <c r="I34" s="310"/>
      <c r="J34" s="310"/>
      <c r="K34" s="313"/>
      <c r="L34" s="313"/>
      <c r="M34" s="313"/>
      <c r="N34" s="313"/>
      <c r="O34" s="313"/>
      <c r="P34" s="313"/>
      <c r="Q34" s="313"/>
      <c r="R34" s="313"/>
      <c r="S34" s="313"/>
      <c r="T34" s="313"/>
      <c r="U34" s="313"/>
      <c r="V34" s="313"/>
      <c r="W34" s="313"/>
      <c r="X34" s="313"/>
      <c r="Y34" s="313"/>
      <c r="Z34" s="313"/>
      <c r="AA34" s="313"/>
      <c r="AB34" s="313"/>
      <c r="AC34" s="313" t="s">
        <v>1456</v>
      </c>
      <c r="AD34" s="313">
        <f t="shared" ref="AD34:AP34" si="59">IFERROR(AD33/AC33-1, "")</f>
        <v>-5.6100499053519215E-2</v>
      </c>
      <c r="AE34" s="313">
        <f t="shared" si="59"/>
        <v>-7.3290793072014582E-2</v>
      </c>
      <c r="AF34" s="313">
        <f t="shared" si="59"/>
        <v>-6.8266771591579789E-2</v>
      </c>
      <c r="AG34" s="313">
        <f t="shared" si="59"/>
        <v>-5.2787162162162171E-2</v>
      </c>
      <c r="AH34" s="313">
        <f t="shared" si="59"/>
        <v>-6.4645563976817311E-3</v>
      </c>
      <c r="AI34" s="313">
        <f t="shared" si="59"/>
        <v>-2.2885348889387536E-2</v>
      </c>
      <c r="AJ34" s="313">
        <f t="shared" si="59"/>
        <v>-1.2858783008036778E-2</v>
      </c>
      <c r="AK34" s="313">
        <f t="shared" si="59"/>
        <v>6.1312964925930302E-3</v>
      </c>
      <c r="AL34" s="313">
        <f t="shared" si="59"/>
        <v>1.425718268451992E-2</v>
      </c>
      <c r="AM34" s="313">
        <f t="shared" si="59"/>
        <v>2.2285046662548602E-2</v>
      </c>
      <c r="AN34" s="313">
        <f t="shared" si="59"/>
        <v>3.0379612500971875E-2</v>
      </c>
      <c r="AO34" s="313">
        <f t="shared" si="59"/>
        <v>3.8702458636451276E-2</v>
      </c>
      <c r="AP34" s="313">
        <f t="shared" si="59"/>
        <v>4.740104459212291E-2</v>
      </c>
      <c r="AQ34" s="313">
        <f t="shared" ref="AQ34" si="60">IFERROR(AQ33/AP33-1, "")</f>
        <v>5.6597839822697171E-2</v>
      </c>
      <c r="AR34" s="313">
        <f t="shared" ref="AR34:AS34" si="61">IFERROR(AR33/AQ33-1, "")</f>
        <v>6.6379654025216617E-2</v>
      </c>
      <c r="AS34" s="313">
        <f t="shared" si="61"/>
        <v>4.8718479865020425E-2</v>
      </c>
      <c r="AT34" s="313"/>
      <c r="AU34" s="513"/>
    </row>
    <row r="35" spans="1:47" outlineLevel="1">
      <c r="A35" s="298"/>
      <c r="B35" s="339"/>
      <c r="C35" s="18"/>
      <c r="D35" s="18"/>
      <c r="E35" s="18"/>
      <c r="F35" s="18"/>
      <c r="G35" s="18"/>
      <c r="H35" s="18"/>
      <c r="I35" s="18"/>
      <c r="J35" s="18"/>
      <c r="K35" s="254"/>
      <c r="L35" s="254"/>
      <c r="M35" s="254"/>
      <c r="N35" s="254"/>
      <c r="O35" s="254"/>
      <c r="P35" s="254"/>
      <c r="Q35" s="254"/>
      <c r="R35" s="254"/>
      <c r="S35" s="254"/>
      <c r="T35" s="254"/>
      <c r="U35" s="254"/>
      <c r="V35" s="254"/>
      <c r="W35" s="254"/>
      <c r="X35" s="254"/>
      <c r="Y35" s="254"/>
      <c r="Z35" s="254"/>
      <c r="AA35" s="254"/>
      <c r="AB35" s="254"/>
      <c r="AC35" s="254"/>
      <c r="AD35" s="254"/>
      <c r="AE35" s="254"/>
      <c r="AF35" s="254"/>
      <c r="AG35" s="254"/>
      <c r="AH35" s="254"/>
      <c r="AI35" s="254"/>
      <c r="AJ35" s="254"/>
      <c r="AK35" s="254"/>
      <c r="AL35" s="254"/>
      <c r="AM35" s="254"/>
      <c r="AN35" s="254"/>
      <c r="AO35" s="254"/>
      <c r="AP35" s="254"/>
      <c r="AQ35" s="254"/>
      <c r="AR35" s="254"/>
      <c r="AS35" s="254"/>
      <c r="AT35" s="2"/>
      <c r="AU35" s="2"/>
    </row>
    <row r="36" spans="1:47" ht="15.6" outlineLevel="1">
      <c r="A36" s="298"/>
      <c r="B36" s="737" t="s">
        <v>1320</v>
      </c>
      <c r="C36" s="283"/>
      <c r="D36" s="284"/>
      <c r="E36" s="284"/>
      <c r="F36" s="284"/>
      <c r="G36" s="285"/>
      <c r="H36" s="285"/>
      <c r="I36" s="285"/>
      <c r="J36" s="285"/>
      <c r="K36" s="285"/>
      <c r="L36" s="285"/>
      <c r="M36" s="285"/>
      <c r="N36" s="284"/>
      <c r="O36" s="286"/>
      <c r="P36" s="286"/>
      <c r="Q36" s="286"/>
      <c r="R36" s="286"/>
      <c r="S36" s="286"/>
      <c r="T36" s="286"/>
      <c r="U36" s="286"/>
      <c r="V36" s="285"/>
      <c r="W36" s="285"/>
      <c r="X36" s="285"/>
      <c r="Y36" s="285"/>
      <c r="Z36" s="285"/>
      <c r="AA36" s="285"/>
      <c r="AB36" s="285"/>
      <c r="AC36" s="285"/>
      <c r="AD36" s="285"/>
      <c r="AE36" s="285"/>
      <c r="AF36" s="285"/>
      <c r="AG36" s="285"/>
      <c r="AH36" s="285"/>
      <c r="AI36" s="285"/>
      <c r="AJ36" s="285"/>
      <c r="AK36" s="285"/>
      <c r="AL36" s="285"/>
      <c r="AM36" s="285"/>
      <c r="AN36" s="285"/>
      <c r="AO36" s="285"/>
      <c r="AP36" s="285"/>
      <c r="AQ36" s="285"/>
      <c r="AR36" s="285"/>
      <c r="AS36" s="285"/>
      <c r="AT36" s="2"/>
      <c r="AU36" s="2"/>
    </row>
    <row r="37" spans="1:47" outlineLevel="1">
      <c r="A37" s="298"/>
      <c r="B37" s="339" t="s">
        <v>1244</v>
      </c>
      <c r="C37" s="18" t="s">
        <v>732</v>
      </c>
      <c r="D37" s="18"/>
      <c r="E37" s="18"/>
      <c r="F37" s="18"/>
      <c r="G37" s="18"/>
      <c r="H37" s="18"/>
      <c r="I37" s="18"/>
      <c r="J37" s="18"/>
      <c r="K37" s="254"/>
      <c r="L37" s="254"/>
      <c r="M37" s="254"/>
      <c r="N37" s="254"/>
      <c r="O37" s="254"/>
      <c r="P37" s="254"/>
      <c r="Q37" s="254"/>
      <c r="R37" s="254"/>
      <c r="S37" s="254"/>
      <c r="T37" s="254"/>
      <c r="U37" s="254"/>
      <c r="V37" s="254"/>
      <c r="W37" s="254"/>
      <c r="X37" s="254"/>
      <c r="Y37" s="254"/>
      <c r="Z37" s="254"/>
      <c r="AA37" s="254"/>
      <c r="AB37" s="254"/>
      <c r="AC37" s="254">
        <v>1366</v>
      </c>
      <c r="AD37" s="254">
        <f t="shared" ref="AD37:AO37" si="62">+AD354</f>
        <v>1281</v>
      </c>
      <c r="AE37" s="254">
        <f t="shared" si="62"/>
        <v>1193</v>
      </c>
      <c r="AF37" s="254">
        <f t="shared" si="62"/>
        <v>1103</v>
      </c>
      <c r="AG37" s="254">
        <f t="shared" si="62"/>
        <v>956</v>
      </c>
      <c r="AH37" s="254">
        <f>+AH354</f>
        <v>801.00954000000002</v>
      </c>
      <c r="AI37" s="254">
        <f>+AI354</f>
        <v>748</v>
      </c>
      <c r="AJ37" s="254">
        <f t="shared" si="62"/>
        <v>679</v>
      </c>
      <c r="AK37" s="254">
        <f t="shared" si="62"/>
        <v>897.31263085714272</v>
      </c>
      <c r="AL37" s="254">
        <f t="shared" si="62"/>
        <v>811.07739100853416</v>
      </c>
      <c r="AM37" s="254">
        <f t="shared" si="62"/>
        <v>733.12969369083089</v>
      </c>
      <c r="AN37" s="254">
        <f t="shared" si="62"/>
        <v>662.673073777686</v>
      </c>
      <c r="AO37" s="254">
        <f t="shared" si="62"/>
        <v>598.98760954450586</v>
      </c>
      <c r="AP37" s="254">
        <f>+AP354</f>
        <v>541.42256654931964</v>
      </c>
      <c r="AQ37" s="254">
        <f t="shared" ref="AQ37:AR37" si="63">+AQ354</f>
        <v>489.38974846535882</v>
      </c>
      <c r="AR37" s="254">
        <f t="shared" si="63"/>
        <v>442.35748692453217</v>
      </c>
      <c r="AS37" s="254">
        <f t="shared" ref="AS37" si="64">+AS354</f>
        <v>399.84520896035639</v>
      </c>
      <c r="AT37" s="2"/>
      <c r="AU37" s="2"/>
    </row>
    <row r="38" spans="1:47" outlineLevel="1">
      <c r="A38" s="298"/>
      <c r="B38" s="407" t="s">
        <v>1257</v>
      </c>
      <c r="C38" s="18" t="s">
        <v>732</v>
      </c>
      <c r="D38" s="18"/>
      <c r="E38" s="18"/>
      <c r="F38" s="18"/>
      <c r="G38" s="18"/>
      <c r="H38" s="18"/>
      <c r="I38" s="18"/>
      <c r="J38" s="18"/>
      <c r="K38" s="254"/>
      <c r="L38" s="254"/>
      <c r="M38" s="254"/>
      <c r="N38" s="254"/>
      <c r="O38" s="254"/>
      <c r="P38" s="254"/>
      <c r="Q38" s="254"/>
      <c r="R38" s="254"/>
      <c r="S38" s="254"/>
      <c r="T38" s="254"/>
      <c r="U38" s="254"/>
      <c r="V38" s="254"/>
      <c r="W38" s="254"/>
      <c r="X38" s="254"/>
      <c r="Y38" s="254"/>
      <c r="Z38" s="254"/>
      <c r="AA38" s="254"/>
      <c r="AB38" s="254"/>
      <c r="AC38" s="254">
        <v>1027</v>
      </c>
      <c r="AD38" s="254">
        <f t="shared" ref="AD38:AO38" si="65">+AD360</f>
        <v>946</v>
      </c>
      <c r="AE38" s="254">
        <f t="shared" si="65"/>
        <v>828</v>
      </c>
      <c r="AF38" s="254">
        <f t="shared" si="65"/>
        <v>708</v>
      </c>
      <c r="AG38" s="254">
        <f t="shared" si="65"/>
        <v>637</v>
      </c>
      <c r="AH38" s="254">
        <f t="shared" si="65"/>
        <v>480</v>
      </c>
      <c r="AI38" s="254">
        <f t="shared" si="65"/>
        <v>412</v>
      </c>
      <c r="AJ38" s="254">
        <f t="shared" si="65"/>
        <v>389</v>
      </c>
      <c r="AK38" s="254">
        <f t="shared" si="65"/>
        <v>367.28398058252429</v>
      </c>
      <c r="AL38" s="254">
        <f t="shared" si="65"/>
        <v>346.78026321990768</v>
      </c>
      <c r="AM38" s="254">
        <f t="shared" si="65"/>
        <v>327.42117085568952</v>
      </c>
      <c r="AN38" s="254">
        <f t="shared" si="65"/>
        <v>309.14280452151269</v>
      </c>
      <c r="AO38" s="254">
        <f t="shared" si="65"/>
        <v>291.88483242443795</v>
      </c>
      <c r="AP38" s="254">
        <f t="shared" ref="AP38:AR43" si="66">+AP360</f>
        <v>275.59029080851059</v>
      </c>
      <c r="AQ38" s="254">
        <f t="shared" si="66"/>
        <v>260.20539593327823</v>
      </c>
      <c r="AR38" s="254">
        <f t="shared" si="66"/>
        <v>245.67936654865349</v>
      </c>
      <c r="AS38" s="254">
        <f t="shared" ref="AS38" si="67">+AS360</f>
        <v>231.9642562801607</v>
      </c>
      <c r="AT38" s="2"/>
      <c r="AU38" s="2"/>
    </row>
    <row r="39" spans="1:47" outlineLevel="1">
      <c r="A39" s="410"/>
      <c r="B39" s="407" t="s">
        <v>1258</v>
      </c>
      <c r="C39" s="14" t="s">
        <v>732</v>
      </c>
      <c r="D39" s="14"/>
      <c r="E39" s="14"/>
      <c r="F39" s="14"/>
      <c r="G39" s="14"/>
      <c r="H39" s="14"/>
      <c r="I39" s="14"/>
      <c r="J39" s="14"/>
      <c r="K39" s="425"/>
      <c r="L39" s="425"/>
      <c r="M39" s="425"/>
      <c r="N39" s="425"/>
      <c r="O39" s="425"/>
      <c r="P39" s="425"/>
      <c r="Q39" s="425"/>
      <c r="R39" s="425"/>
      <c r="S39" s="425"/>
      <c r="T39" s="425"/>
      <c r="U39" s="425"/>
      <c r="V39" s="425"/>
      <c r="W39" s="425"/>
      <c r="X39" s="425"/>
      <c r="Y39" s="425"/>
      <c r="Z39" s="425"/>
      <c r="AA39" s="425"/>
      <c r="AB39" s="425"/>
      <c r="AC39" s="254">
        <v>624</v>
      </c>
      <c r="AD39" s="254">
        <f t="shared" ref="AD39:AO43" si="68">+AD361</f>
        <v>636</v>
      </c>
      <c r="AE39" s="254">
        <f t="shared" si="68"/>
        <v>634</v>
      </c>
      <c r="AF39" s="254">
        <f t="shared" si="68"/>
        <v>671</v>
      </c>
      <c r="AG39" s="254">
        <f t="shared" si="68"/>
        <v>738</v>
      </c>
      <c r="AH39" s="254">
        <f t="shared" si="68"/>
        <v>772</v>
      </c>
      <c r="AI39" s="254">
        <f t="shared" si="68"/>
        <v>788</v>
      </c>
      <c r="AJ39" s="254">
        <f t="shared" si="68"/>
        <v>821</v>
      </c>
      <c r="AK39" s="254">
        <f t="shared" si="68"/>
        <v>855.38197969543137</v>
      </c>
      <c r="AL39" s="254">
        <f t="shared" si="68"/>
        <v>891.20381387049383</v>
      </c>
      <c r="AM39" s="254">
        <f t="shared" si="68"/>
        <v>928.525800999588</v>
      </c>
      <c r="AN39" s="254">
        <f t="shared" si="68"/>
        <v>967.41076474703266</v>
      </c>
      <c r="AO39" s="254">
        <f t="shared" si="68"/>
        <v>1007.9241597174032</v>
      </c>
      <c r="AP39" s="254">
        <f t="shared" si="66"/>
        <v>1050.1341816345025</v>
      </c>
      <c r="AQ39" s="254">
        <f t="shared" si="66"/>
        <v>1094.1118821344246</v>
      </c>
      <c r="AR39" s="254">
        <f t="shared" si="66"/>
        <v>1139.9312883659422</v>
      </c>
      <c r="AS39" s="254">
        <f t="shared" ref="AS39" si="69">+AS361</f>
        <v>1187.6695275995412</v>
      </c>
      <c r="AT39" s="8"/>
      <c r="AU39" s="8"/>
    </row>
    <row r="40" spans="1:47" outlineLevel="1">
      <c r="A40" s="298"/>
      <c r="B40" s="407" t="s">
        <v>1308</v>
      </c>
      <c r="C40" s="18" t="s">
        <v>732</v>
      </c>
      <c r="D40" s="18"/>
      <c r="E40" s="18"/>
      <c r="F40" s="18"/>
      <c r="G40" s="18"/>
      <c r="H40" s="18"/>
      <c r="I40" s="18"/>
      <c r="J40" s="18"/>
      <c r="K40" s="254"/>
      <c r="L40" s="254"/>
      <c r="M40" s="254"/>
      <c r="N40" s="254"/>
      <c r="O40" s="254"/>
      <c r="P40" s="254"/>
      <c r="Q40" s="254"/>
      <c r="R40" s="254"/>
      <c r="S40" s="254"/>
      <c r="T40" s="254"/>
      <c r="U40" s="254"/>
      <c r="V40" s="254"/>
      <c r="W40" s="254"/>
      <c r="X40" s="254"/>
      <c r="Y40" s="254"/>
      <c r="Z40" s="254"/>
      <c r="AA40" s="254"/>
      <c r="AB40" s="254"/>
      <c r="AC40" s="254">
        <v>549</v>
      </c>
      <c r="AD40" s="254">
        <f t="shared" si="68"/>
        <v>493</v>
      </c>
      <c r="AE40" s="254">
        <f t="shared" si="68"/>
        <v>427</v>
      </c>
      <c r="AF40" s="254">
        <f t="shared" si="68"/>
        <v>376</v>
      </c>
      <c r="AG40" s="254">
        <f t="shared" si="68"/>
        <v>439</v>
      </c>
      <c r="AH40" s="254">
        <f t="shared" si="68"/>
        <v>542</v>
      </c>
      <c r="AI40" s="254">
        <f t="shared" si="68"/>
        <v>503</v>
      </c>
      <c r="AJ40" s="254">
        <f t="shared" si="68"/>
        <v>537</v>
      </c>
      <c r="AK40" s="254">
        <f t="shared" si="68"/>
        <v>573.29821073558651</v>
      </c>
      <c r="AL40" s="254">
        <f t="shared" si="68"/>
        <v>612.04997845926425</v>
      </c>
      <c r="AM40" s="254">
        <f t="shared" si="68"/>
        <v>653.42114996545706</v>
      </c>
      <c r="AN40" s="254">
        <f t="shared" si="68"/>
        <v>697.58878236868873</v>
      </c>
      <c r="AO40" s="254">
        <f t="shared" si="68"/>
        <v>744.74190085881878</v>
      </c>
      <c r="AP40" s="254">
        <f t="shared" si="66"/>
        <v>795.08230767631346</v>
      </c>
      <c r="AQ40" s="254">
        <f t="shared" si="66"/>
        <v>848.82544576974215</v>
      </c>
      <c r="AR40" s="254">
        <f t="shared" si="66"/>
        <v>906.20132083171279</v>
      </c>
      <c r="AS40" s="254">
        <f t="shared" ref="AS40" si="70">+AS362</f>
        <v>967.45548565930369</v>
      </c>
      <c r="AT40" s="2"/>
      <c r="AU40" s="2"/>
    </row>
    <row r="41" spans="1:47" outlineLevel="1">
      <c r="A41" s="298"/>
      <c r="B41" s="407" t="s">
        <v>1259</v>
      </c>
      <c r="C41" s="18" t="s">
        <v>732</v>
      </c>
      <c r="D41" s="18"/>
      <c r="E41" s="18"/>
      <c r="F41" s="18"/>
      <c r="G41" s="18"/>
      <c r="H41" s="18"/>
      <c r="I41" s="18"/>
      <c r="J41" s="18"/>
      <c r="K41" s="254"/>
      <c r="L41" s="254"/>
      <c r="M41" s="254"/>
      <c r="N41" s="254"/>
      <c r="O41" s="254"/>
      <c r="P41" s="254"/>
      <c r="Q41" s="254"/>
      <c r="R41" s="254"/>
      <c r="S41" s="254"/>
      <c r="T41" s="254"/>
      <c r="U41" s="254"/>
      <c r="V41" s="254"/>
      <c r="W41" s="254"/>
      <c r="X41" s="254"/>
      <c r="Y41" s="254"/>
      <c r="Z41" s="254"/>
      <c r="AA41" s="254"/>
      <c r="AB41" s="254"/>
      <c r="AC41" s="254">
        <v>161</v>
      </c>
      <c r="AD41" s="254">
        <f t="shared" si="68"/>
        <v>205</v>
      </c>
      <c r="AE41" s="254">
        <f t="shared" si="68"/>
        <v>246</v>
      </c>
      <c r="AF41" s="254">
        <f t="shared" si="68"/>
        <v>257</v>
      </c>
      <c r="AG41" s="254">
        <f t="shared" si="68"/>
        <v>279</v>
      </c>
      <c r="AH41" s="254">
        <f t="shared" si="68"/>
        <v>311</v>
      </c>
      <c r="AI41" s="254">
        <f t="shared" si="68"/>
        <v>368</v>
      </c>
      <c r="AJ41" s="254">
        <f t="shared" si="68"/>
        <v>385</v>
      </c>
      <c r="AK41" s="254">
        <f t="shared" si="68"/>
        <v>423.50000000000006</v>
      </c>
      <c r="AL41" s="254">
        <f t="shared" si="68"/>
        <v>444.67500000000007</v>
      </c>
      <c r="AM41" s="254">
        <f t="shared" si="68"/>
        <v>466.90875000000011</v>
      </c>
      <c r="AN41" s="254">
        <f t="shared" si="68"/>
        <v>490.25418750000011</v>
      </c>
      <c r="AO41" s="254">
        <f t="shared" si="68"/>
        <v>514.76689687500016</v>
      </c>
      <c r="AP41" s="254">
        <f t="shared" si="66"/>
        <v>540.5052417187502</v>
      </c>
      <c r="AQ41" s="254">
        <f t="shared" si="66"/>
        <v>567.53050380468778</v>
      </c>
      <c r="AR41" s="254">
        <f t="shared" si="66"/>
        <v>595.90702899492214</v>
      </c>
      <c r="AS41" s="254">
        <f t="shared" ref="AS41" si="71">+AS363</f>
        <v>625.70238044466828</v>
      </c>
      <c r="AT41" s="2"/>
      <c r="AU41" s="2"/>
    </row>
    <row r="42" spans="1:47" outlineLevel="1">
      <c r="A42" s="298"/>
      <c r="B42" s="407" t="s">
        <v>1260</v>
      </c>
      <c r="C42" s="18" t="s">
        <v>732</v>
      </c>
      <c r="D42" s="18"/>
      <c r="E42" s="18"/>
      <c r="F42" s="18"/>
      <c r="G42" s="18"/>
      <c r="H42" s="18"/>
      <c r="I42" s="18"/>
      <c r="J42" s="18"/>
      <c r="K42" s="254"/>
      <c r="L42" s="254"/>
      <c r="M42" s="254"/>
      <c r="N42" s="254"/>
      <c r="O42" s="254"/>
      <c r="P42" s="254"/>
      <c r="Q42" s="254"/>
      <c r="R42" s="254"/>
      <c r="S42" s="254"/>
      <c r="T42" s="254"/>
      <c r="U42" s="254"/>
      <c r="V42" s="254"/>
      <c r="W42" s="254"/>
      <c r="X42" s="254"/>
      <c r="Y42" s="254"/>
      <c r="Z42" s="254"/>
      <c r="AA42" s="254"/>
      <c r="AB42" s="254"/>
      <c r="AC42" s="254">
        <v>632</v>
      </c>
      <c r="AD42" s="254">
        <f t="shared" si="68"/>
        <v>582</v>
      </c>
      <c r="AE42" s="254">
        <f t="shared" si="68"/>
        <v>500</v>
      </c>
      <c r="AF42" s="254">
        <f t="shared" si="68"/>
        <v>343</v>
      </c>
      <c r="AG42" s="254">
        <f t="shared" si="68"/>
        <v>397</v>
      </c>
      <c r="AH42" s="254">
        <f t="shared" si="68"/>
        <v>412</v>
      </c>
      <c r="AI42" s="254">
        <f t="shared" si="68"/>
        <v>365</v>
      </c>
      <c r="AJ42" s="254">
        <f t="shared" si="68"/>
        <v>272</v>
      </c>
      <c r="AK42" s="254">
        <f t="shared" si="68"/>
        <v>202.69589041095892</v>
      </c>
      <c r="AL42" s="254">
        <f t="shared" si="68"/>
        <v>151.0500881966598</v>
      </c>
      <c r="AM42" s="254">
        <f t="shared" si="68"/>
        <v>112.56335339586704</v>
      </c>
      <c r="AN42" s="254">
        <f t="shared" si="68"/>
        <v>83.882827736098179</v>
      </c>
      <c r="AO42" s="254">
        <f t="shared" si="68"/>
        <v>62.509942860873167</v>
      </c>
      <c r="AP42" s="254">
        <f t="shared" si="66"/>
        <v>46.582751940157543</v>
      </c>
      <c r="AQ42" s="254">
        <f t="shared" si="66"/>
        <v>34.71372199376124</v>
      </c>
      <c r="AR42" s="254">
        <f t="shared" si="66"/>
        <v>25.868855841926187</v>
      </c>
      <c r="AS42" s="254">
        <f t="shared" ref="AS42" si="72">+AS364</f>
        <v>19.277613120558694</v>
      </c>
      <c r="AT42" s="2"/>
      <c r="AU42" s="2"/>
    </row>
    <row r="43" spans="1:47" outlineLevel="1">
      <c r="A43" s="298"/>
      <c r="B43" s="407" t="s">
        <v>28</v>
      </c>
      <c r="C43" s="18" t="s">
        <v>732</v>
      </c>
      <c r="D43" s="18"/>
      <c r="E43" s="18"/>
      <c r="F43" s="18"/>
      <c r="G43" s="18"/>
      <c r="H43" s="18"/>
      <c r="I43" s="18"/>
      <c r="J43" s="18"/>
      <c r="K43" s="254"/>
      <c r="L43" s="254"/>
      <c r="M43" s="254"/>
      <c r="N43" s="254"/>
      <c r="O43" s="254"/>
      <c r="P43" s="254"/>
      <c r="Q43" s="254"/>
      <c r="R43" s="254"/>
      <c r="S43" s="254"/>
      <c r="T43" s="254"/>
      <c r="U43" s="254"/>
      <c r="V43" s="254"/>
      <c r="W43" s="254"/>
      <c r="X43" s="254"/>
      <c r="Y43" s="254"/>
      <c r="Z43" s="254"/>
      <c r="AA43" s="254"/>
      <c r="AB43" s="254"/>
      <c r="AC43" s="254">
        <v>235</v>
      </c>
      <c r="AD43" s="254">
        <f t="shared" si="68"/>
        <v>262</v>
      </c>
      <c r="AE43" s="254">
        <f t="shared" si="68"/>
        <v>278</v>
      </c>
      <c r="AF43" s="254">
        <f t="shared" si="68"/>
        <v>266</v>
      </c>
      <c r="AG43" s="254">
        <f t="shared" si="68"/>
        <v>283</v>
      </c>
      <c r="AH43" s="254">
        <f t="shared" si="68"/>
        <v>318</v>
      </c>
      <c r="AI43" s="254">
        <f>+AI365+19</f>
        <v>353</v>
      </c>
      <c r="AJ43" s="254">
        <f t="shared" si="68"/>
        <v>362</v>
      </c>
      <c r="AK43" s="254">
        <f t="shared" si="68"/>
        <v>392.34730538922156</v>
      </c>
      <c r="AL43" s="254">
        <f t="shared" si="68"/>
        <v>425.23869626017427</v>
      </c>
      <c r="AM43" s="254">
        <f t="shared" si="68"/>
        <v>460.88744924006909</v>
      </c>
      <c r="AN43" s="254">
        <f t="shared" si="68"/>
        <v>499.52472043384734</v>
      </c>
      <c r="AO43" s="254">
        <f t="shared" si="68"/>
        <v>541.40104430255315</v>
      </c>
      <c r="AP43" s="254">
        <f t="shared" si="66"/>
        <v>586.7879581961804</v>
      </c>
      <c r="AQ43" s="254">
        <f t="shared" si="66"/>
        <v>635.97976307490205</v>
      </c>
      <c r="AR43" s="254">
        <f t="shared" si="66"/>
        <v>689.29543183567228</v>
      </c>
      <c r="AS43" s="254">
        <f t="shared" ref="AS43" si="73">+AS365</f>
        <v>747.08067761830353</v>
      </c>
      <c r="AT43" s="2"/>
      <c r="AU43" s="2"/>
    </row>
    <row r="44" spans="1:47" outlineLevel="1">
      <c r="A44" s="298"/>
      <c r="B44" s="339" t="s">
        <v>657</v>
      </c>
      <c r="C44" s="18" t="s">
        <v>732</v>
      </c>
      <c r="D44" s="18"/>
      <c r="E44" s="18"/>
      <c r="F44" s="18"/>
      <c r="G44" s="18"/>
      <c r="H44" s="18"/>
      <c r="I44" s="18"/>
      <c r="J44" s="18"/>
      <c r="K44" s="254"/>
      <c r="L44" s="254"/>
      <c r="M44" s="254"/>
      <c r="N44" s="254"/>
      <c r="O44" s="254"/>
      <c r="P44" s="254"/>
      <c r="Q44" s="254"/>
      <c r="R44" s="254"/>
      <c r="S44" s="254"/>
      <c r="T44" s="254"/>
      <c r="U44" s="254"/>
      <c r="V44" s="254"/>
      <c r="W44" s="254"/>
      <c r="X44" s="254"/>
      <c r="Y44" s="254"/>
      <c r="Z44" s="254"/>
      <c r="AA44" s="254"/>
      <c r="AB44" s="254"/>
      <c r="AC44" s="254">
        <v>3228</v>
      </c>
      <c r="AD44" s="254">
        <f t="shared" ref="AD44:AO44" si="74">+SUM(AD38:AD43)</f>
        <v>3124</v>
      </c>
      <c r="AE44" s="254">
        <f t="shared" si="74"/>
        <v>2913</v>
      </c>
      <c r="AF44" s="254">
        <f t="shared" si="74"/>
        <v>2621</v>
      </c>
      <c r="AG44" s="254">
        <f t="shared" si="74"/>
        <v>2773</v>
      </c>
      <c r="AH44" s="254">
        <f t="shared" si="74"/>
        <v>2835</v>
      </c>
      <c r="AI44" s="254">
        <f t="shared" si="74"/>
        <v>2789</v>
      </c>
      <c r="AJ44" s="254">
        <f t="shared" si="74"/>
        <v>2766</v>
      </c>
      <c r="AK44" s="254">
        <f t="shared" si="74"/>
        <v>2814.5073668137229</v>
      </c>
      <c r="AL44" s="254">
        <f t="shared" si="74"/>
        <v>2870.9978400065002</v>
      </c>
      <c r="AM44" s="254">
        <f t="shared" si="74"/>
        <v>2949.7276744566711</v>
      </c>
      <c r="AN44" s="254">
        <f t="shared" si="74"/>
        <v>3047.8040873071795</v>
      </c>
      <c r="AO44" s="254">
        <f t="shared" si="74"/>
        <v>3163.2287770390867</v>
      </c>
      <c r="AP44" s="254">
        <f>+SUM(AP38:AP43)</f>
        <v>3294.6827319744143</v>
      </c>
      <c r="AQ44" s="254">
        <f t="shared" ref="AQ44:AR44" si="75">+SUM(AQ38:AQ43)</f>
        <v>3441.366712710796</v>
      </c>
      <c r="AR44" s="254">
        <f t="shared" si="75"/>
        <v>3602.8832924188291</v>
      </c>
      <c r="AS44" s="254">
        <f t="shared" ref="AS44" si="76">+SUM(AS38:AS43)</f>
        <v>3779.149940722536</v>
      </c>
      <c r="AT44" s="2"/>
      <c r="AU44" s="2"/>
    </row>
    <row r="45" spans="1:47" outlineLevel="1">
      <c r="A45" s="298"/>
      <c r="B45" s="434" t="s">
        <v>1262</v>
      </c>
      <c r="C45" s="433" t="s">
        <v>732</v>
      </c>
      <c r="D45" s="209"/>
      <c r="E45" s="209"/>
      <c r="F45" s="209"/>
      <c r="G45" s="209"/>
      <c r="H45" s="209"/>
      <c r="I45" s="209"/>
      <c r="J45" s="209"/>
      <c r="K45" s="262"/>
      <c r="L45" s="262"/>
      <c r="M45" s="262"/>
      <c r="N45" s="262"/>
      <c r="O45" s="262"/>
      <c r="P45" s="262"/>
      <c r="Q45" s="262"/>
      <c r="R45" s="262"/>
      <c r="S45" s="262"/>
      <c r="T45" s="262"/>
      <c r="U45" s="262"/>
      <c r="V45" s="262"/>
      <c r="W45" s="262"/>
      <c r="X45" s="262"/>
      <c r="Y45" s="262"/>
      <c r="Z45" s="262"/>
      <c r="AA45" s="262"/>
      <c r="AB45" s="262"/>
      <c r="AC45" s="262">
        <v>4594</v>
      </c>
      <c r="AD45" s="262">
        <f t="shared" ref="AD45:AO45" si="77">+AD37+AD44</f>
        <v>4405</v>
      </c>
      <c r="AE45" s="262">
        <f t="shared" si="77"/>
        <v>4106</v>
      </c>
      <c r="AF45" s="262">
        <f t="shared" si="77"/>
        <v>3724</v>
      </c>
      <c r="AG45" s="262">
        <f t="shared" si="77"/>
        <v>3729</v>
      </c>
      <c r="AH45" s="262">
        <f t="shared" si="77"/>
        <v>3636.00954</v>
      </c>
      <c r="AI45" s="262">
        <f t="shared" si="77"/>
        <v>3537</v>
      </c>
      <c r="AJ45" s="262">
        <f t="shared" si="77"/>
        <v>3445</v>
      </c>
      <c r="AK45" s="262">
        <f t="shared" si="77"/>
        <v>3711.8199976708656</v>
      </c>
      <c r="AL45" s="262">
        <f t="shared" si="77"/>
        <v>3682.0752310150342</v>
      </c>
      <c r="AM45" s="262">
        <f t="shared" si="77"/>
        <v>3682.8573681475018</v>
      </c>
      <c r="AN45" s="262">
        <f t="shared" si="77"/>
        <v>3710.4771610848657</v>
      </c>
      <c r="AO45" s="262">
        <f t="shared" si="77"/>
        <v>3762.2163865835928</v>
      </c>
      <c r="AP45" s="262">
        <f>+AP37+AP44</f>
        <v>3836.1052985237338</v>
      </c>
      <c r="AQ45" s="262">
        <f t="shared" ref="AQ45:AR45" si="78">+AQ37+AQ44</f>
        <v>3930.756461176155</v>
      </c>
      <c r="AR45" s="262">
        <f t="shared" si="78"/>
        <v>4045.2407793433613</v>
      </c>
      <c r="AS45" s="262">
        <f t="shared" ref="AS45" si="79">+AS37+AS44</f>
        <v>4178.9951496828926</v>
      </c>
      <c r="AT45" s="2"/>
      <c r="AU45" s="2"/>
    </row>
    <row r="46" spans="1:47" outlineLevel="1">
      <c r="A46" s="298"/>
      <c r="B46" s="322" t="s">
        <v>1099</v>
      </c>
      <c r="C46" s="310" t="s">
        <v>733</v>
      </c>
      <c r="D46" s="18"/>
      <c r="E46" s="18"/>
      <c r="F46" s="18"/>
      <c r="G46" s="18"/>
      <c r="H46" s="18"/>
      <c r="I46" s="18"/>
      <c r="J46" s="18"/>
      <c r="K46" s="254"/>
      <c r="L46" s="254"/>
      <c r="M46" s="254"/>
      <c r="N46" s="254"/>
      <c r="O46" s="254"/>
      <c r="P46" s="254"/>
      <c r="Q46" s="254"/>
      <c r="R46" s="254"/>
      <c r="S46" s="254"/>
      <c r="T46" s="254"/>
      <c r="U46" s="254"/>
      <c r="V46" s="254"/>
      <c r="W46" s="254"/>
      <c r="X46" s="254"/>
      <c r="Y46" s="254"/>
      <c r="Z46" s="254"/>
      <c r="AA46" s="254"/>
      <c r="AB46" s="254"/>
      <c r="AC46" s="313" t="s">
        <v>1456</v>
      </c>
      <c r="AD46" s="313">
        <f t="shared" ref="AD46:AP46" si="80">IFERROR(AD45/AC45-1, "")</f>
        <v>-4.1140618197649137E-2</v>
      </c>
      <c r="AE46" s="313">
        <f t="shared" si="80"/>
        <v>-6.7877412031782103E-2</v>
      </c>
      <c r="AF46" s="313">
        <f t="shared" si="80"/>
        <v>-9.3034583536288351E-2</v>
      </c>
      <c r="AG46" s="313">
        <f t="shared" si="80"/>
        <v>1.3426423200859627E-3</v>
      </c>
      <c r="AH46" s="313">
        <f t="shared" si="80"/>
        <v>-2.493710378117453E-2</v>
      </c>
      <c r="AI46" s="313">
        <f t="shared" si="80"/>
        <v>-2.7230275088882205E-2</v>
      </c>
      <c r="AJ46" s="313">
        <f t="shared" si="80"/>
        <v>-2.6010743567995487E-2</v>
      </c>
      <c r="AK46" s="313">
        <f t="shared" si="80"/>
        <v>7.7451378133778226E-2</v>
      </c>
      <c r="AL46" s="313">
        <f t="shared" si="80"/>
        <v>-8.0135261608849095E-3</v>
      </c>
      <c r="AM46" s="313">
        <f t="shared" si="80"/>
        <v>2.1241747748113049E-4</v>
      </c>
      <c r="AN46" s="313">
        <f t="shared" si="80"/>
        <v>7.4995554202679227E-3</v>
      </c>
      <c r="AO46" s="313">
        <f t="shared" si="80"/>
        <v>1.3944089466811249E-2</v>
      </c>
      <c r="AP46" s="313">
        <f t="shared" si="80"/>
        <v>1.9639729443430065E-2</v>
      </c>
      <c r="AQ46" s="313">
        <f t="shared" ref="AQ46" si="81">IFERROR(AQ45/AP45-1, "")</f>
        <v>2.4673765521724844E-2</v>
      </c>
      <c r="AR46" s="313">
        <f t="shared" ref="AR46:AS46" si="82">IFERROR(AR45/AQ45-1, "")</f>
        <v>2.9125263622399755E-2</v>
      </c>
      <c r="AS46" s="313">
        <f t="shared" si="82"/>
        <v>3.3064625231342237E-2</v>
      </c>
      <c r="AT46" s="2"/>
      <c r="AU46" s="2"/>
    </row>
    <row r="47" spans="1:47" outlineLevel="1">
      <c r="A47" s="298"/>
      <c r="B47" s="339"/>
      <c r="C47" s="18"/>
      <c r="D47" s="18"/>
      <c r="E47" s="18"/>
      <c r="F47" s="18"/>
      <c r="G47" s="18"/>
      <c r="H47" s="18"/>
      <c r="I47" s="18"/>
      <c r="J47" s="18"/>
      <c r="K47" s="254"/>
      <c r="L47" s="254"/>
      <c r="M47" s="254"/>
      <c r="N47" s="254"/>
      <c r="O47" s="254"/>
      <c r="P47" s="254"/>
      <c r="Q47" s="254"/>
      <c r="R47" s="254"/>
      <c r="S47" s="254"/>
      <c r="T47" s="254"/>
      <c r="U47" s="254"/>
      <c r="V47" s="254"/>
      <c r="W47" s="254"/>
      <c r="X47" s="254"/>
      <c r="Y47" s="254"/>
      <c r="Z47" s="254"/>
      <c r="AA47" s="254"/>
      <c r="AB47" s="254"/>
      <c r="AC47" s="313"/>
      <c r="AD47" s="313"/>
      <c r="AE47" s="313"/>
      <c r="AF47" s="313"/>
      <c r="AG47" s="313"/>
      <c r="AH47" s="313"/>
      <c r="AI47" s="313"/>
      <c r="AJ47" s="313"/>
      <c r="AK47" s="313"/>
      <c r="AL47" s="313"/>
      <c r="AM47" s="313"/>
      <c r="AN47" s="313"/>
      <c r="AO47" s="313"/>
      <c r="AP47" s="313"/>
      <c r="AQ47" s="313"/>
      <c r="AR47" s="313"/>
      <c r="AS47" s="313"/>
      <c r="AT47" s="2"/>
      <c r="AU47" s="2"/>
    </row>
    <row r="48" spans="1:47" ht="15.6" outlineLevel="1">
      <c r="A48" s="298"/>
      <c r="B48" s="737" t="s">
        <v>1321</v>
      </c>
      <c r="C48" s="283"/>
      <c r="D48" s="284"/>
      <c r="E48" s="284"/>
      <c r="F48" s="284"/>
      <c r="G48" s="285"/>
      <c r="H48" s="285"/>
      <c r="I48" s="285"/>
      <c r="J48" s="285"/>
      <c r="K48" s="285"/>
      <c r="L48" s="285"/>
      <c r="M48" s="285"/>
      <c r="N48" s="284"/>
      <c r="O48" s="286"/>
      <c r="P48" s="286"/>
      <c r="Q48" s="286"/>
      <c r="R48" s="286"/>
      <c r="S48" s="286"/>
      <c r="T48" s="286"/>
      <c r="U48" s="286"/>
      <c r="V48" s="285"/>
      <c r="W48" s="285"/>
      <c r="X48" s="285"/>
      <c r="Y48" s="285"/>
      <c r="Z48" s="285"/>
      <c r="AA48" s="285"/>
      <c r="AB48" s="285"/>
      <c r="AC48" s="285"/>
      <c r="AD48" s="285"/>
      <c r="AE48" s="285"/>
      <c r="AF48" s="285"/>
      <c r="AG48" s="285"/>
      <c r="AH48" s="285"/>
      <c r="AI48" s="285"/>
      <c r="AJ48" s="285"/>
      <c r="AK48" s="285"/>
      <c r="AL48" s="285"/>
      <c r="AM48" s="285"/>
      <c r="AN48" s="285"/>
      <c r="AO48" s="285"/>
      <c r="AP48" s="285"/>
      <c r="AQ48" s="285"/>
      <c r="AR48" s="285"/>
      <c r="AS48" s="285"/>
      <c r="AT48" s="2"/>
      <c r="AU48" s="2"/>
    </row>
    <row r="49" spans="1:47" outlineLevel="1">
      <c r="A49" s="298"/>
      <c r="B49" s="339" t="s">
        <v>1244</v>
      </c>
      <c r="C49" s="18" t="s">
        <v>732</v>
      </c>
      <c r="D49" s="18"/>
      <c r="E49" s="18"/>
      <c r="F49" s="18"/>
      <c r="G49" s="18"/>
      <c r="H49" s="18"/>
      <c r="I49" s="18"/>
      <c r="J49" s="18"/>
      <c r="K49" s="254"/>
      <c r="L49" s="254"/>
      <c r="M49" s="254"/>
      <c r="N49" s="254"/>
      <c r="O49" s="254"/>
      <c r="P49" s="254"/>
      <c r="Q49" s="254"/>
      <c r="R49" s="254"/>
      <c r="S49" s="254"/>
      <c r="T49" s="254"/>
      <c r="U49" s="254"/>
      <c r="V49" s="254"/>
      <c r="W49" s="254"/>
      <c r="X49" s="254"/>
      <c r="Y49" s="254"/>
      <c r="Z49" s="254"/>
      <c r="AA49" s="254"/>
      <c r="AB49" s="254"/>
      <c r="AC49" s="254">
        <v>401</v>
      </c>
      <c r="AD49" s="254">
        <f t="shared" ref="AD49:AO49" si="83">+AD389</f>
        <v>401</v>
      </c>
      <c r="AE49" s="254">
        <f t="shared" si="83"/>
        <v>367</v>
      </c>
      <c r="AF49" s="254">
        <f t="shared" si="83"/>
        <v>343</v>
      </c>
      <c r="AG49" s="254">
        <f>+AG389</f>
        <v>303</v>
      </c>
      <c r="AH49" s="254">
        <f t="shared" si="83"/>
        <v>276</v>
      </c>
      <c r="AI49" s="254">
        <f t="shared" si="83"/>
        <v>259</v>
      </c>
      <c r="AJ49" s="254">
        <f t="shared" si="83"/>
        <v>256</v>
      </c>
      <c r="AK49" s="254">
        <f t="shared" si="83"/>
        <v>231.94851994851996</v>
      </c>
      <c r="AL49" s="254">
        <f t="shared" si="83"/>
        <v>210.15670275901934</v>
      </c>
      <c r="AM49" s="254">
        <f t="shared" si="83"/>
        <v>190.41225063365465</v>
      </c>
      <c r="AN49" s="254">
        <f t="shared" si="83"/>
        <v>172.52281138493288</v>
      </c>
      <c r="AO49" s="254">
        <f t="shared" si="83"/>
        <v>156.31410452380021</v>
      </c>
      <c r="AP49" s="254">
        <f>+AP389</f>
        <v>141.6282234038035</v>
      </c>
      <c r="AQ49" s="254">
        <f t="shared" ref="AQ49:AR49" si="84">+AQ389</f>
        <v>128.32209688066621</v>
      </c>
      <c r="AR49" s="254">
        <f t="shared" si="84"/>
        <v>116.26609550062938</v>
      </c>
      <c r="AS49" s="254">
        <f t="shared" ref="AS49" si="85">+AS389</f>
        <v>105.34276863892289</v>
      </c>
      <c r="AT49" s="2"/>
      <c r="AU49" s="2"/>
    </row>
    <row r="50" spans="1:47" outlineLevel="1">
      <c r="A50" s="298"/>
      <c r="B50" s="339" t="s">
        <v>1245</v>
      </c>
      <c r="C50" s="18" t="s">
        <v>732</v>
      </c>
      <c r="D50" s="18"/>
      <c r="E50" s="18"/>
      <c r="F50" s="18"/>
      <c r="G50" s="18"/>
      <c r="H50" s="18"/>
      <c r="I50" s="18"/>
      <c r="J50" s="18"/>
      <c r="K50" s="254"/>
      <c r="L50" s="254"/>
      <c r="M50" s="254"/>
      <c r="N50" s="254"/>
      <c r="O50" s="254"/>
      <c r="P50" s="254"/>
      <c r="Q50" s="254"/>
      <c r="R50" s="254"/>
      <c r="S50" s="254"/>
      <c r="T50" s="254"/>
      <c r="U50" s="254"/>
      <c r="V50" s="254"/>
      <c r="W50" s="254"/>
      <c r="X50" s="254"/>
      <c r="Y50" s="254"/>
      <c r="Z50" s="254"/>
      <c r="AA50" s="254"/>
      <c r="AB50" s="254"/>
      <c r="AC50" s="254">
        <v>1091</v>
      </c>
      <c r="AD50" s="254">
        <f t="shared" ref="AD50:AO50" si="86">+AD399</f>
        <v>870</v>
      </c>
      <c r="AE50" s="254">
        <f t="shared" si="86"/>
        <v>624</v>
      </c>
      <c r="AF50" s="254">
        <f t="shared" si="86"/>
        <v>412</v>
      </c>
      <c r="AG50" s="254">
        <f>+AG399</f>
        <v>174</v>
      </c>
      <c r="AH50" s="254">
        <f t="shared" si="86"/>
        <v>127</v>
      </c>
      <c r="AI50" s="254">
        <f t="shared" si="86"/>
        <v>107</v>
      </c>
      <c r="AJ50" s="254">
        <f t="shared" si="86"/>
        <v>93</v>
      </c>
      <c r="AK50" s="254">
        <f t="shared" si="86"/>
        <v>109.51929164737342</v>
      </c>
      <c r="AL50" s="254">
        <f t="shared" si="86"/>
        <v>128.97285207464986</v>
      </c>
      <c r="AM50" s="254">
        <f t="shared" si="86"/>
        <v>151.88188603179711</v>
      </c>
      <c r="AN50" s="254">
        <f t="shared" si="86"/>
        <v>178.86017819644644</v>
      </c>
      <c r="AO50" s="254">
        <f t="shared" si="86"/>
        <v>210.6305378494387</v>
      </c>
      <c r="AP50" s="254">
        <f>+AP399</f>
        <v>248.0441645653313</v>
      </c>
      <c r="AQ50" s="254">
        <f t="shared" ref="AQ50:AR50" si="87">+AQ399</f>
        <v>292.10345376838285</v>
      </c>
      <c r="AR50" s="254">
        <f t="shared" si="87"/>
        <v>343.98885316628582</v>
      </c>
      <c r="AS50" s="254">
        <f t="shared" ref="AS50" si="88">+AS399</f>
        <v>405.09048960606424</v>
      </c>
      <c r="AT50" s="2"/>
      <c r="AU50" s="2"/>
    </row>
    <row r="51" spans="1:47" outlineLevel="1">
      <c r="A51" s="410"/>
      <c r="B51" s="339" t="s">
        <v>1246</v>
      </c>
      <c r="C51" s="14" t="s">
        <v>732</v>
      </c>
      <c r="D51" s="14"/>
      <c r="E51" s="14"/>
      <c r="F51" s="14"/>
      <c r="G51" s="14"/>
      <c r="H51" s="14"/>
      <c r="I51" s="14"/>
      <c r="J51" s="14"/>
      <c r="K51" s="425"/>
      <c r="L51" s="425"/>
      <c r="M51" s="425"/>
      <c r="N51" s="425"/>
      <c r="O51" s="425"/>
      <c r="P51" s="425"/>
      <c r="Q51" s="425"/>
      <c r="R51" s="425"/>
      <c r="S51" s="425"/>
      <c r="T51" s="425"/>
      <c r="U51" s="425"/>
      <c r="V51" s="425"/>
      <c r="W51" s="425"/>
      <c r="X51" s="425"/>
      <c r="Y51" s="425"/>
      <c r="Z51" s="425"/>
      <c r="AA51" s="425"/>
      <c r="AB51" s="425"/>
      <c r="AC51" s="254">
        <v>1190</v>
      </c>
      <c r="AD51" s="254">
        <f t="shared" ref="AD51:AO51" si="89">+AD404</f>
        <v>1048</v>
      </c>
      <c r="AE51" s="254">
        <f t="shared" si="89"/>
        <v>881</v>
      </c>
      <c r="AF51" s="254">
        <f t="shared" si="89"/>
        <v>601</v>
      </c>
      <c r="AG51" s="254">
        <f>+AG404</f>
        <v>0</v>
      </c>
      <c r="AH51" s="254">
        <f t="shared" si="89"/>
        <v>0</v>
      </c>
      <c r="AI51" s="254">
        <f t="shared" si="89"/>
        <v>0</v>
      </c>
      <c r="AJ51" s="254">
        <f t="shared" si="89"/>
        <v>0</v>
      </c>
      <c r="AK51" s="254">
        <f t="shared" si="89"/>
        <v>0</v>
      </c>
      <c r="AL51" s="254">
        <f t="shared" si="89"/>
        <v>0</v>
      </c>
      <c r="AM51" s="254">
        <f t="shared" si="89"/>
        <v>0</v>
      </c>
      <c r="AN51" s="254">
        <f t="shared" si="89"/>
        <v>0</v>
      </c>
      <c r="AO51" s="254">
        <f t="shared" si="89"/>
        <v>0</v>
      </c>
      <c r="AP51" s="254">
        <f>+AP404</f>
        <v>0</v>
      </c>
      <c r="AQ51" s="254">
        <f t="shared" ref="AQ51:AR51" si="90">+AQ404</f>
        <v>0</v>
      </c>
      <c r="AR51" s="254">
        <f t="shared" si="90"/>
        <v>0</v>
      </c>
      <c r="AS51" s="254">
        <f t="shared" ref="AS51" si="91">+AS404</f>
        <v>0</v>
      </c>
      <c r="AT51" s="8"/>
      <c r="AU51" s="8"/>
    </row>
    <row r="52" spans="1:47" outlineLevel="1">
      <c r="A52" s="298"/>
      <c r="B52" s="434" t="s">
        <v>1248</v>
      </c>
      <c r="C52" s="433" t="s">
        <v>732</v>
      </c>
      <c r="D52" s="209"/>
      <c r="E52" s="209"/>
      <c r="F52" s="209"/>
      <c r="G52" s="209"/>
      <c r="H52" s="209"/>
      <c r="I52" s="209"/>
      <c r="J52" s="209"/>
      <c r="K52" s="262"/>
      <c r="L52" s="262"/>
      <c r="M52" s="262"/>
      <c r="N52" s="262"/>
      <c r="O52" s="262"/>
      <c r="P52" s="262"/>
      <c r="Q52" s="262"/>
      <c r="R52" s="262"/>
      <c r="S52" s="262"/>
      <c r="T52" s="262"/>
      <c r="U52" s="262"/>
      <c r="V52" s="262"/>
      <c r="W52" s="262"/>
      <c r="X52" s="262"/>
      <c r="Y52" s="262"/>
      <c r="Z52" s="262"/>
      <c r="AA52" s="262"/>
      <c r="AB52" s="262"/>
      <c r="AC52" s="262">
        <v>2682</v>
      </c>
      <c r="AD52" s="262">
        <f t="shared" ref="AD52:AO52" si="92">SUM(AD49:AD51)</f>
        <v>2319</v>
      </c>
      <c r="AE52" s="262">
        <f t="shared" si="92"/>
        <v>1872</v>
      </c>
      <c r="AF52" s="262">
        <f t="shared" si="92"/>
        <v>1356</v>
      </c>
      <c r="AG52" s="262">
        <f>SUM(AG49:AG51)</f>
        <v>477</v>
      </c>
      <c r="AH52" s="262">
        <f t="shared" si="92"/>
        <v>403</v>
      </c>
      <c r="AI52" s="262">
        <f t="shared" si="92"/>
        <v>366</v>
      </c>
      <c r="AJ52" s="262">
        <f t="shared" si="92"/>
        <v>349</v>
      </c>
      <c r="AK52" s="262">
        <f t="shared" si="92"/>
        <v>341.46781159589341</v>
      </c>
      <c r="AL52" s="262">
        <f t="shared" si="92"/>
        <v>339.1295548336692</v>
      </c>
      <c r="AM52" s="262">
        <f t="shared" si="92"/>
        <v>342.29413666545179</v>
      </c>
      <c r="AN52" s="262">
        <f t="shared" si="92"/>
        <v>351.38298958137932</v>
      </c>
      <c r="AO52" s="262">
        <f t="shared" si="92"/>
        <v>366.94464237323893</v>
      </c>
      <c r="AP52" s="262">
        <f>SUM(AP49:AP51)</f>
        <v>389.67238796913477</v>
      </c>
      <c r="AQ52" s="262">
        <f t="shared" ref="AQ52:AR52" si="93">SUM(AQ49:AQ51)</f>
        <v>420.42555064904906</v>
      </c>
      <c r="AR52" s="262">
        <f t="shared" si="93"/>
        <v>460.2549486669152</v>
      </c>
      <c r="AS52" s="262">
        <f t="shared" ref="AS52" si="94">SUM(AS49:AS51)</f>
        <v>510.43325824498714</v>
      </c>
      <c r="AT52" s="2"/>
      <c r="AU52" s="2"/>
    </row>
    <row r="53" spans="1:47" outlineLevel="1">
      <c r="A53" s="298"/>
      <c r="B53" s="322" t="s">
        <v>1099</v>
      </c>
      <c r="C53" s="310" t="s">
        <v>733</v>
      </c>
      <c r="D53" s="18"/>
      <c r="E53" s="18"/>
      <c r="F53" s="18"/>
      <c r="G53" s="18"/>
      <c r="H53" s="18"/>
      <c r="I53" s="18"/>
      <c r="J53" s="18"/>
      <c r="K53" s="254"/>
      <c r="L53" s="254"/>
      <c r="M53" s="254"/>
      <c r="N53" s="254"/>
      <c r="O53" s="254"/>
      <c r="P53" s="254"/>
      <c r="Q53" s="254"/>
      <c r="R53" s="254"/>
      <c r="S53" s="254"/>
      <c r="T53" s="254"/>
      <c r="U53" s="254"/>
      <c r="V53" s="254"/>
      <c r="W53" s="254"/>
      <c r="X53" s="254"/>
      <c r="Y53" s="254"/>
      <c r="Z53" s="254"/>
      <c r="AA53" s="254"/>
      <c r="AB53" s="254"/>
      <c r="AC53" s="313" t="s">
        <v>1456</v>
      </c>
      <c r="AD53" s="313">
        <f t="shared" ref="AD53:AP53" si="95">IFERROR(AD52/AC52-1, "")</f>
        <v>-0.13534675615212532</v>
      </c>
      <c r="AE53" s="313">
        <f t="shared" si="95"/>
        <v>-0.19275549805950842</v>
      </c>
      <c r="AF53" s="313">
        <f t="shared" si="95"/>
        <v>-0.27564102564102566</v>
      </c>
      <c r="AG53" s="313">
        <f t="shared" si="95"/>
        <v>-0.64823008849557517</v>
      </c>
      <c r="AH53" s="313">
        <f t="shared" si="95"/>
        <v>-0.15513626834381555</v>
      </c>
      <c r="AI53" s="313">
        <f t="shared" si="95"/>
        <v>-9.1811414392059532E-2</v>
      </c>
      <c r="AJ53" s="313">
        <f t="shared" si="95"/>
        <v>-4.6448087431694041E-2</v>
      </c>
      <c r="AK53" s="313">
        <f t="shared" si="95"/>
        <v>-2.1582201730964479E-2</v>
      </c>
      <c r="AL53" s="313">
        <f t="shared" si="95"/>
        <v>-6.8476637704035781E-3</v>
      </c>
      <c r="AM53" s="313">
        <f t="shared" si="95"/>
        <v>9.3314834601623264E-3</v>
      </c>
      <c r="AN53" s="313">
        <f t="shared" si="95"/>
        <v>2.6552756656801124E-2</v>
      </c>
      <c r="AO53" s="313">
        <f t="shared" si="95"/>
        <v>4.4286870034315085E-2</v>
      </c>
      <c r="AP53" s="313">
        <f t="shared" si="95"/>
        <v>6.1937804702373089E-2</v>
      </c>
      <c r="AQ53" s="313">
        <f t="shared" ref="AQ53" si="96">IFERROR(AQ52/AP52-1, "")</f>
        <v>7.8920558985950517E-2</v>
      </c>
      <c r="AR53" s="313">
        <f t="shared" ref="AR53:AS53" si="97">IFERROR(AR52/AQ52-1, "")</f>
        <v>9.4735912116611143E-2</v>
      </c>
      <c r="AS53" s="313">
        <f t="shared" si="97"/>
        <v>0.10902285727379724</v>
      </c>
      <c r="AT53" s="2"/>
      <c r="AU53" s="2"/>
    </row>
    <row r="54" spans="1:47" outlineLevel="1">
      <c r="A54" s="298"/>
      <c r="B54" s="339"/>
      <c r="C54" s="18"/>
      <c r="D54" s="18"/>
      <c r="E54" s="18"/>
      <c r="F54" s="18"/>
      <c r="G54" s="18"/>
      <c r="H54" s="18"/>
      <c r="I54" s="18"/>
      <c r="J54" s="18"/>
      <c r="K54" s="254"/>
      <c r="L54" s="254"/>
      <c r="M54" s="254"/>
      <c r="N54" s="254"/>
      <c r="O54" s="254"/>
      <c r="P54" s="254"/>
      <c r="Q54" s="254"/>
      <c r="R54" s="254"/>
      <c r="S54" s="254"/>
      <c r="T54" s="254"/>
      <c r="U54" s="254"/>
      <c r="V54" s="254"/>
      <c r="W54" s="254"/>
      <c r="X54" s="254"/>
      <c r="Y54" s="254"/>
      <c r="Z54" s="254"/>
      <c r="AA54" s="254"/>
      <c r="AB54" s="254"/>
      <c r="AC54" s="254"/>
      <c r="AD54" s="254"/>
      <c r="AE54" s="254"/>
      <c r="AF54" s="254"/>
      <c r="AG54" s="254"/>
      <c r="AH54" s="254"/>
      <c r="AI54" s="254"/>
      <c r="AJ54" s="254"/>
      <c r="AK54" s="254"/>
      <c r="AL54" s="254"/>
      <c r="AM54" s="254"/>
      <c r="AN54" s="254"/>
      <c r="AO54" s="254"/>
      <c r="AP54" s="254"/>
      <c r="AQ54" s="254"/>
      <c r="AR54" s="254"/>
      <c r="AS54" s="254"/>
      <c r="AT54" s="2"/>
      <c r="AU54" s="2"/>
    </row>
    <row r="55" spans="1:47" ht="15.6" outlineLevel="1">
      <c r="A55" s="298"/>
      <c r="B55" s="737" t="s">
        <v>237</v>
      </c>
      <c r="C55" s="283"/>
      <c r="D55" s="284"/>
      <c r="E55" s="284"/>
      <c r="F55" s="284"/>
      <c r="G55" s="285"/>
      <c r="H55" s="285"/>
      <c r="I55" s="285"/>
      <c r="J55" s="285"/>
      <c r="K55" s="285"/>
      <c r="L55" s="285"/>
      <c r="M55" s="285"/>
      <c r="N55" s="284"/>
      <c r="O55" s="286"/>
      <c r="P55" s="286"/>
      <c r="Q55" s="286"/>
      <c r="R55" s="286"/>
      <c r="S55" s="286"/>
      <c r="T55" s="286"/>
      <c r="U55" s="286"/>
      <c r="V55" s="285"/>
      <c r="W55" s="285"/>
      <c r="X55" s="285"/>
      <c r="Y55" s="285"/>
      <c r="Z55" s="285"/>
      <c r="AA55" s="285"/>
      <c r="AB55" s="285"/>
      <c r="AC55" s="285"/>
      <c r="AD55" s="285"/>
      <c r="AE55" s="285"/>
      <c r="AF55" s="285"/>
      <c r="AG55" s="285"/>
      <c r="AH55" s="285"/>
      <c r="AI55" s="285"/>
      <c r="AJ55" s="285"/>
      <c r="AK55" s="285"/>
      <c r="AL55" s="285"/>
      <c r="AM55" s="285"/>
      <c r="AN55" s="285"/>
      <c r="AO55" s="285"/>
      <c r="AP55" s="285"/>
      <c r="AQ55" s="285"/>
      <c r="AR55" s="285"/>
      <c r="AS55" s="285"/>
      <c r="AT55" s="2"/>
      <c r="AU55" s="2"/>
    </row>
    <row r="56" spans="1:47" outlineLevel="1">
      <c r="A56" s="298"/>
      <c r="B56" s="339" t="s">
        <v>237</v>
      </c>
      <c r="C56" s="14" t="s">
        <v>732</v>
      </c>
      <c r="D56" s="18"/>
      <c r="E56" s="18"/>
      <c r="F56" s="18"/>
      <c r="G56" s="18"/>
      <c r="H56" s="18"/>
      <c r="I56" s="18"/>
      <c r="J56" s="18"/>
      <c r="K56" s="254"/>
      <c r="L56" s="254"/>
      <c r="M56" s="254"/>
      <c r="N56" s="254"/>
      <c r="O56" s="254"/>
      <c r="P56" s="254"/>
      <c r="Q56" s="254"/>
      <c r="R56" s="254"/>
      <c r="S56" s="254"/>
      <c r="T56" s="254"/>
      <c r="U56" s="254"/>
      <c r="V56" s="254"/>
      <c r="W56" s="254"/>
      <c r="X56" s="254"/>
      <c r="Y56" s="254"/>
      <c r="Z56" s="254"/>
      <c r="AA56" s="254"/>
      <c r="AB56" s="254"/>
      <c r="AC56" s="254">
        <v>1584</v>
      </c>
      <c r="AD56" s="254">
        <f>+AD1980</f>
        <v>1705</v>
      </c>
      <c r="AE56" s="254">
        <f>+AE1980</f>
        <v>1501</v>
      </c>
      <c r="AF56" s="254">
        <f>+AF1980</f>
        <v>1496</v>
      </c>
      <c r="AG56" s="254">
        <f>+AG1980</f>
        <v>1501</v>
      </c>
      <c r="AH56" s="254">
        <f>+AH1980+AH1953</f>
        <v>2429</v>
      </c>
      <c r="AI56" s="254">
        <f>+AI1980+AI1953</f>
        <v>2578</v>
      </c>
      <c r="AJ56" s="254">
        <f>+AJ1980+AJ1953</f>
        <v>2587</v>
      </c>
      <c r="AK56" s="254">
        <f t="shared" ref="AK56:AS56" si="98">AJ56*(1+AK57)</f>
        <v>2640.3043352562854</v>
      </c>
      <c r="AL56" s="254">
        <f t="shared" si="98"/>
        <v>2695.2950275083417</v>
      </c>
      <c r="AM56" s="254">
        <f t="shared" si="98"/>
        <v>2743.6445603781808</v>
      </c>
      <c r="AN56" s="254">
        <f t="shared" si="98"/>
        <v>2793.2126655353018</v>
      </c>
      <c r="AO56" s="254">
        <f t="shared" si="98"/>
        <v>2844.0312618743483</v>
      </c>
      <c r="AP56" s="254">
        <f t="shared" si="98"/>
        <v>2896.1331330913213</v>
      </c>
      <c r="AQ56" s="254">
        <f t="shared" si="98"/>
        <v>2949.5519517723142</v>
      </c>
      <c r="AR56" s="254">
        <f t="shared" si="98"/>
        <v>3004.3223041677975</v>
      </c>
      <c r="AS56" s="254">
        <f t="shared" si="98"/>
        <v>3060.1096895061055</v>
      </c>
      <c r="AT56" s="2"/>
      <c r="AU56" s="2"/>
    </row>
    <row r="57" spans="1:47" outlineLevel="1">
      <c r="A57" s="298"/>
      <c r="B57" s="339"/>
      <c r="C57" s="14"/>
      <c r="D57" s="18"/>
      <c r="E57" s="18"/>
      <c r="F57" s="18"/>
      <c r="G57" s="18"/>
      <c r="H57" s="18"/>
      <c r="I57" s="18"/>
      <c r="J57" s="18"/>
      <c r="K57" s="254"/>
      <c r="L57" s="254"/>
      <c r="M57" s="254"/>
      <c r="N57" s="254"/>
      <c r="O57" s="254"/>
      <c r="P57" s="254"/>
      <c r="Q57" s="254"/>
      <c r="R57" s="254"/>
      <c r="S57" s="254"/>
      <c r="T57" s="254"/>
      <c r="U57" s="254"/>
      <c r="V57" s="254"/>
      <c r="W57" s="254"/>
      <c r="X57" s="254"/>
      <c r="Y57" s="254"/>
      <c r="Z57" s="254"/>
      <c r="AA57" s="254"/>
      <c r="AB57" s="254"/>
      <c r="AC57" s="254"/>
      <c r="AD57" s="254"/>
      <c r="AE57" s="254"/>
      <c r="AF57" s="254"/>
      <c r="AG57" s="254"/>
      <c r="AH57" s="254"/>
      <c r="AI57" s="254"/>
      <c r="AJ57" s="254"/>
      <c r="AK57" s="621">
        <v>2.0604690860566377E-2</v>
      </c>
      <c r="AL57" s="621">
        <v>2.0827406718899599E-2</v>
      </c>
      <c r="AM57" s="621">
        <v>1.7938493699717784E-2</v>
      </c>
      <c r="AN57" s="621">
        <v>1.8066518481639093E-2</v>
      </c>
      <c r="AO57" s="621">
        <v>1.8193600854701675E-2</v>
      </c>
      <c r="AP57" s="621">
        <v>1.8319725213792326E-2</v>
      </c>
      <c r="AQ57" s="621">
        <v>1.8444876746385619E-2</v>
      </c>
      <c r="AR57" s="621">
        <v>1.8569041431046207E-2</v>
      </c>
      <c r="AS57" s="621">
        <v>1.8569041431046207E-2</v>
      </c>
      <c r="AT57" s="2"/>
      <c r="AU57" s="2"/>
    </row>
    <row r="58" spans="1:47" ht="15.6" outlineLevel="1">
      <c r="A58" s="298"/>
      <c r="B58" s="737" t="s">
        <v>1462</v>
      </c>
      <c r="C58" s="283"/>
      <c r="D58" s="284"/>
      <c r="E58" s="284"/>
      <c r="F58" s="284"/>
      <c r="G58" s="285"/>
      <c r="H58" s="285"/>
      <c r="I58" s="285"/>
      <c r="J58" s="285"/>
      <c r="K58" s="285"/>
      <c r="L58" s="285"/>
      <c r="M58" s="285"/>
      <c r="N58" s="284"/>
      <c r="O58" s="286"/>
      <c r="P58" s="286"/>
      <c r="Q58" s="286"/>
      <c r="R58" s="286"/>
      <c r="S58" s="286"/>
      <c r="T58" s="286"/>
      <c r="U58" s="286"/>
      <c r="V58" s="285"/>
      <c r="W58" s="285"/>
      <c r="X58" s="285"/>
      <c r="Y58" s="285"/>
      <c r="Z58" s="285"/>
      <c r="AA58" s="285"/>
      <c r="AB58" s="285"/>
      <c r="AC58" s="285"/>
      <c r="AD58" s="285"/>
      <c r="AE58" s="285"/>
      <c r="AF58" s="285"/>
      <c r="AG58" s="285"/>
      <c r="AH58" s="285"/>
      <c r="AI58" s="285"/>
      <c r="AJ58" s="285"/>
      <c r="AK58" s="285"/>
      <c r="AL58" s="285"/>
      <c r="AM58" s="285"/>
      <c r="AN58" s="285"/>
      <c r="AO58" s="285"/>
      <c r="AP58" s="285"/>
      <c r="AQ58" s="285"/>
      <c r="AR58" s="285"/>
      <c r="AS58" s="285"/>
      <c r="AT58" s="2"/>
      <c r="AU58" s="2"/>
    </row>
    <row r="59" spans="1:47" outlineLevel="1">
      <c r="A59" s="298"/>
      <c r="B59" s="339" t="s">
        <v>1457</v>
      </c>
      <c r="C59" s="14" t="s">
        <v>732</v>
      </c>
      <c r="D59" s="18"/>
      <c r="E59" s="18"/>
      <c r="F59" s="18"/>
      <c r="G59" s="18"/>
      <c r="H59" s="18"/>
      <c r="I59" s="18"/>
      <c r="J59" s="18"/>
      <c r="K59" s="254"/>
      <c r="L59" s="254"/>
      <c r="M59" s="254"/>
      <c r="N59" s="254"/>
      <c r="O59" s="254"/>
      <c r="P59" s="254"/>
      <c r="Q59" s="254"/>
      <c r="R59" s="254"/>
      <c r="S59" s="254"/>
      <c r="T59" s="254"/>
      <c r="U59" s="254"/>
      <c r="V59" s="254"/>
      <c r="W59" s="254"/>
      <c r="X59" s="254"/>
      <c r="Y59" s="254"/>
      <c r="Z59" s="254"/>
      <c r="AA59" s="254"/>
      <c r="AB59" s="254"/>
      <c r="AC59" s="254">
        <v>642</v>
      </c>
      <c r="AD59" s="254">
        <f>+AD454</f>
        <v>784</v>
      </c>
      <c r="AE59" s="254">
        <f>+AE454</f>
        <v>874</v>
      </c>
      <c r="AF59" s="254">
        <f>+AF454</f>
        <v>908</v>
      </c>
      <c r="AG59" s="739">
        <f>+AG454</f>
        <v>930</v>
      </c>
      <c r="AH59" s="739">
        <v>987</v>
      </c>
      <c r="AI59" s="739">
        <v>1046</v>
      </c>
      <c r="AJ59" s="739">
        <v>1102</v>
      </c>
      <c r="AK59" s="254">
        <f t="shared" ref="AK59:AS59" si="99">AJ59*(1+AK60)</f>
        <v>1135.0600000000002</v>
      </c>
      <c r="AL59" s="254">
        <f t="shared" si="99"/>
        <v>1169.1118000000001</v>
      </c>
      <c r="AM59" s="254">
        <f t="shared" si="99"/>
        <v>1204.1851540000002</v>
      </c>
      <c r="AN59" s="254">
        <f t="shared" si="99"/>
        <v>1240.3107086200002</v>
      </c>
      <c r="AO59" s="254">
        <f t="shared" si="99"/>
        <v>1277.5200298786003</v>
      </c>
      <c r="AP59" s="254">
        <f t="shared" si="99"/>
        <v>1315.8456307749584</v>
      </c>
      <c r="AQ59" s="254">
        <f t="shared" si="99"/>
        <v>1355.3209996982073</v>
      </c>
      <c r="AR59" s="254">
        <f t="shared" si="99"/>
        <v>1395.9806296891536</v>
      </c>
      <c r="AS59" s="254">
        <f t="shared" si="99"/>
        <v>1437.8600485798283</v>
      </c>
      <c r="AT59" s="2"/>
      <c r="AU59" s="2"/>
    </row>
    <row r="60" spans="1:47" outlineLevel="1">
      <c r="A60" s="298"/>
      <c r="B60" s="339"/>
      <c r="C60" s="14"/>
      <c r="D60" s="18"/>
      <c r="E60" s="18"/>
      <c r="F60" s="18"/>
      <c r="G60" s="18"/>
      <c r="H60" s="18"/>
      <c r="I60" s="18"/>
      <c r="J60" s="18"/>
      <c r="K60" s="254"/>
      <c r="L60" s="254"/>
      <c r="M60" s="254"/>
      <c r="N60" s="254"/>
      <c r="O60" s="254"/>
      <c r="P60" s="254"/>
      <c r="Q60" s="254"/>
      <c r="R60" s="254"/>
      <c r="S60" s="254"/>
      <c r="T60" s="254"/>
      <c r="U60" s="254"/>
      <c r="V60" s="254"/>
      <c r="W60" s="254"/>
      <c r="X60" s="254"/>
      <c r="Y60" s="254"/>
      <c r="Z60" s="254"/>
      <c r="AA60" s="254"/>
      <c r="AB60" s="254"/>
      <c r="AC60" s="254"/>
      <c r="AD60" s="254"/>
      <c r="AE60" s="254"/>
      <c r="AF60" s="254"/>
      <c r="AG60" s="739"/>
      <c r="AH60" s="739"/>
      <c r="AI60" s="739"/>
      <c r="AJ60" s="739"/>
      <c r="AK60" s="621">
        <v>3.0000000000000249E-2</v>
      </c>
      <c r="AL60" s="621">
        <v>3.0000000000000027E-2</v>
      </c>
      <c r="AM60" s="621">
        <v>3.0000000000000027E-2</v>
      </c>
      <c r="AN60" s="621">
        <v>3.0000000000000027E-2</v>
      </c>
      <c r="AO60" s="621">
        <v>3.0000000000000027E-2</v>
      </c>
      <c r="AP60" s="621">
        <v>3.0000000000000027E-2</v>
      </c>
      <c r="AQ60" s="621">
        <v>3.0000000000000027E-2</v>
      </c>
      <c r="AR60" s="621">
        <v>3.0000000000000027E-2</v>
      </c>
      <c r="AS60" s="621">
        <v>3.0000000000000027E-2</v>
      </c>
      <c r="AT60" s="2"/>
      <c r="AU60" s="2"/>
    </row>
    <row r="61" spans="1:47" outlineLevel="1">
      <c r="A61" s="298"/>
      <c r="B61" s="339" t="s">
        <v>1458</v>
      </c>
      <c r="C61" s="14" t="s">
        <v>732</v>
      </c>
      <c r="D61" s="18"/>
      <c r="E61" s="18"/>
      <c r="F61" s="18"/>
      <c r="G61" s="18"/>
      <c r="H61" s="18"/>
      <c r="I61" s="18"/>
      <c r="J61" s="18"/>
      <c r="K61" s="254"/>
      <c r="L61" s="254"/>
      <c r="M61" s="254"/>
      <c r="N61" s="254"/>
      <c r="O61" s="254"/>
      <c r="P61" s="254"/>
      <c r="Q61" s="254"/>
      <c r="R61" s="254"/>
      <c r="S61" s="254"/>
      <c r="T61" s="254"/>
      <c r="U61" s="254"/>
      <c r="V61" s="254"/>
      <c r="W61" s="254"/>
      <c r="X61" s="254"/>
      <c r="Y61" s="254"/>
      <c r="Z61" s="254"/>
      <c r="AA61" s="254"/>
      <c r="AB61" s="254"/>
      <c r="AC61" s="254"/>
      <c r="AD61" s="254"/>
      <c r="AE61" s="254"/>
      <c r="AF61" s="254"/>
      <c r="AG61" s="739">
        <f>2456-AG59</f>
        <v>1526</v>
      </c>
      <c r="AH61" s="425">
        <f>2556-AH59</f>
        <v>1569</v>
      </c>
      <c r="AI61" s="425">
        <f>2746-AI59</f>
        <v>1700</v>
      </c>
      <c r="AJ61" s="425">
        <f>2710-AJ59</f>
        <v>1608</v>
      </c>
      <c r="AK61" s="425">
        <f t="shared" ref="AK61:AS61" si="100">AJ61*(1+AK66)</f>
        <v>1608</v>
      </c>
      <c r="AL61" s="425">
        <f t="shared" si="100"/>
        <v>1608</v>
      </c>
      <c r="AM61" s="425">
        <f t="shared" si="100"/>
        <v>1608</v>
      </c>
      <c r="AN61" s="425">
        <f t="shared" si="100"/>
        <v>1608</v>
      </c>
      <c r="AO61" s="425">
        <f t="shared" si="100"/>
        <v>1608</v>
      </c>
      <c r="AP61" s="425">
        <f t="shared" si="100"/>
        <v>1608</v>
      </c>
      <c r="AQ61" s="425">
        <f t="shared" si="100"/>
        <v>1608</v>
      </c>
      <c r="AR61" s="425">
        <f t="shared" si="100"/>
        <v>1608</v>
      </c>
      <c r="AS61" s="425">
        <f t="shared" si="100"/>
        <v>1608</v>
      </c>
      <c r="AT61" s="2"/>
      <c r="AU61" s="2"/>
    </row>
    <row r="62" spans="1:47" outlineLevel="1">
      <c r="A62" s="298"/>
      <c r="B62" s="339" t="s">
        <v>1442</v>
      </c>
      <c r="C62" s="14" t="s">
        <v>732</v>
      </c>
      <c r="D62" s="18"/>
      <c r="E62" s="18"/>
      <c r="F62" s="18"/>
      <c r="G62" s="18"/>
      <c r="H62" s="18"/>
      <c r="I62" s="18"/>
      <c r="J62" s="18"/>
      <c r="K62" s="254"/>
      <c r="L62" s="254"/>
      <c r="M62" s="254"/>
      <c r="N62" s="254"/>
      <c r="O62" s="254"/>
      <c r="P62" s="254"/>
      <c r="Q62" s="254"/>
      <c r="R62" s="254"/>
      <c r="S62" s="254"/>
      <c r="T62" s="254"/>
      <c r="U62" s="254"/>
      <c r="V62" s="254"/>
      <c r="W62" s="254"/>
      <c r="X62" s="254"/>
      <c r="Y62" s="254"/>
      <c r="Z62" s="254"/>
      <c r="AA62" s="254"/>
      <c r="AB62" s="254"/>
      <c r="AC62" s="254"/>
      <c r="AD62" s="254"/>
      <c r="AE62" s="254"/>
      <c r="AF62" s="254"/>
      <c r="AG62" s="254"/>
      <c r="AH62" s="254"/>
      <c r="AI62" s="254"/>
      <c r="AJ62" s="254"/>
      <c r="AK62" s="1104">
        <v>300</v>
      </c>
      <c r="AL62" s="1104">
        <v>300</v>
      </c>
      <c r="AM62" s="1104">
        <v>300</v>
      </c>
      <c r="AN62" s="1104">
        <v>300</v>
      </c>
      <c r="AO62" s="1104">
        <v>300</v>
      </c>
      <c r="AP62" s="1104">
        <v>300</v>
      </c>
      <c r="AQ62" s="1104">
        <v>300</v>
      </c>
      <c r="AR62" s="1104">
        <v>300</v>
      </c>
      <c r="AS62" s="1104">
        <v>300</v>
      </c>
      <c r="AT62" s="2"/>
      <c r="AU62" s="2"/>
    </row>
    <row r="63" spans="1:47" outlineLevel="1">
      <c r="A63" s="298"/>
      <c r="AT63" s="2"/>
      <c r="AU63" s="2"/>
    </row>
    <row r="64" spans="1:47" ht="15.6" outlineLevel="1">
      <c r="A64" s="298"/>
      <c r="B64" s="737" t="s">
        <v>1459</v>
      </c>
      <c r="C64" s="283"/>
      <c r="D64" s="284"/>
      <c r="E64" s="284"/>
      <c r="F64" s="284"/>
      <c r="G64" s="285"/>
      <c r="H64" s="285"/>
      <c r="I64" s="285"/>
      <c r="J64" s="285"/>
      <c r="K64" s="285"/>
      <c r="L64" s="285"/>
      <c r="M64" s="285"/>
      <c r="N64" s="284"/>
      <c r="O64" s="286"/>
      <c r="P64" s="286"/>
      <c r="Q64" s="286"/>
      <c r="R64" s="286"/>
      <c r="S64" s="286"/>
      <c r="T64" s="286"/>
      <c r="U64" s="286"/>
      <c r="V64" s="285"/>
      <c r="W64" s="285"/>
      <c r="X64" s="285"/>
      <c r="Y64" s="285"/>
      <c r="Z64" s="285"/>
      <c r="AA64" s="285"/>
      <c r="AB64" s="285"/>
      <c r="AC64" s="285"/>
      <c r="AD64" s="285"/>
      <c r="AE64" s="285"/>
      <c r="AF64" s="285"/>
      <c r="AG64" s="285"/>
      <c r="AH64" s="285"/>
      <c r="AI64" s="285"/>
      <c r="AJ64" s="285"/>
      <c r="AK64" s="285"/>
      <c r="AL64" s="285"/>
      <c r="AM64" s="285"/>
      <c r="AN64" s="285"/>
      <c r="AO64" s="285"/>
      <c r="AP64" s="285"/>
      <c r="AQ64" s="285"/>
      <c r="AR64" s="285"/>
      <c r="AS64" s="285"/>
      <c r="AT64" s="2"/>
      <c r="AU64" s="2"/>
    </row>
    <row r="65" spans="1:47" outlineLevel="1">
      <c r="A65" s="298"/>
      <c r="B65" s="339" t="s">
        <v>1459</v>
      </c>
      <c r="C65" s="14" t="s">
        <v>732</v>
      </c>
      <c r="D65" s="18"/>
      <c r="E65" s="18"/>
      <c r="F65" s="18"/>
      <c r="G65" s="18"/>
      <c r="H65" s="18"/>
      <c r="I65" s="18"/>
      <c r="J65" s="18"/>
      <c r="K65" s="254"/>
      <c r="L65" s="254"/>
      <c r="M65" s="254"/>
      <c r="N65" s="254"/>
      <c r="O65" s="254"/>
      <c r="P65" s="254"/>
      <c r="Q65" s="254"/>
      <c r="R65" s="254"/>
      <c r="S65" s="254"/>
      <c r="T65" s="254"/>
      <c r="U65" s="254"/>
      <c r="V65" s="254"/>
      <c r="W65" s="254"/>
      <c r="X65" s="254"/>
      <c r="Y65" s="254"/>
      <c r="Z65" s="254"/>
      <c r="AA65" s="254"/>
      <c r="AB65" s="254"/>
      <c r="AC65" s="254"/>
      <c r="AD65" s="254"/>
      <c r="AE65" s="254"/>
      <c r="AF65" s="254"/>
      <c r="AG65" s="739">
        <v>368</v>
      </c>
      <c r="AH65" s="739">
        <v>401</v>
      </c>
      <c r="AI65" s="739">
        <v>453</v>
      </c>
      <c r="AJ65" s="739">
        <v>470</v>
      </c>
      <c r="AK65" s="254">
        <f t="shared" ref="AK65:AS65" si="101">AJ65*(1+AK66)</f>
        <v>470</v>
      </c>
      <c r="AL65" s="254">
        <f t="shared" si="101"/>
        <v>470</v>
      </c>
      <c r="AM65" s="254">
        <f t="shared" si="101"/>
        <v>470</v>
      </c>
      <c r="AN65" s="254">
        <f t="shared" si="101"/>
        <v>470</v>
      </c>
      <c r="AO65" s="254">
        <f t="shared" si="101"/>
        <v>470</v>
      </c>
      <c r="AP65" s="254">
        <f t="shared" si="101"/>
        <v>470</v>
      </c>
      <c r="AQ65" s="254">
        <f t="shared" si="101"/>
        <v>470</v>
      </c>
      <c r="AR65" s="254">
        <f t="shared" si="101"/>
        <v>470</v>
      </c>
      <c r="AS65" s="254">
        <f t="shared" si="101"/>
        <v>470</v>
      </c>
      <c r="AT65" s="2"/>
      <c r="AU65" s="2"/>
    </row>
    <row r="66" spans="1:47" outlineLevel="1">
      <c r="A66" s="298"/>
      <c r="B66" s="339"/>
      <c r="C66" s="14"/>
      <c r="D66" s="18"/>
      <c r="E66" s="18"/>
      <c r="F66" s="18"/>
      <c r="G66" s="18"/>
      <c r="H66" s="18"/>
      <c r="I66" s="18"/>
      <c r="J66" s="18"/>
      <c r="K66" s="254"/>
      <c r="L66" s="254"/>
      <c r="M66" s="254"/>
      <c r="N66" s="254"/>
      <c r="O66" s="254"/>
      <c r="P66" s="254"/>
      <c r="Q66" s="254"/>
      <c r="R66" s="254"/>
      <c r="S66" s="254"/>
      <c r="T66" s="254"/>
      <c r="U66" s="254"/>
      <c r="V66" s="254"/>
      <c r="W66" s="254"/>
      <c r="X66" s="254"/>
      <c r="Y66" s="254"/>
      <c r="Z66" s="254"/>
      <c r="AA66" s="254"/>
      <c r="AB66" s="254"/>
      <c r="AC66" s="254"/>
      <c r="AD66" s="254"/>
      <c r="AE66" s="254"/>
      <c r="AF66" s="254"/>
      <c r="AG66" s="739"/>
      <c r="AH66" s="739"/>
      <c r="AI66" s="739"/>
      <c r="AJ66" s="739"/>
      <c r="AK66" s="621">
        <f>AJ66</f>
        <v>0</v>
      </c>
      <c r="AL66" s="621">
        <f t="shared" ref="AL66:AS66" si="102">AK66</f>
        <v>0</v>
      </c>
      <c r="AM66" s="621">
        <f t="shared" si="102"/>
        <v>0</v>
      </c>
      <c r="AN66" s="621">
        <f t="shared" si="102"/>
        <v>0</v>
      </c>
      <c r="AO66" s="621">
        <f t="shared" si="102"/>
        <v>0</v>
      </c>
      <c r="AP66" s="621">
        <f t="shared" si="102"/>
        <v>0</v>
      </c>
      <c r="AQ66" s="621">
        <f t="shared" si="102"/>
        <v>0</v>
      </c>
      <c r="AR66" s="621">
        <f t="shared" si="102"/>
        <v>0</v>
      </c>
      <c r="AS66" s="621">
        <f t="shared" si="102"/>
        <v>0</v>
      </c>
      <c r="AT66" s="2"/>
      <c r="AU66" s="2"/>
    </row>
    <row r="67" spans="1:47" outlineLevel="1">
      <c r="A67" s="298"/>
      <c r="AT67" s="2"/>
      <c r="AU67" s="2"/>
    </row>
    <row r="68" spans="1:47" ht="15.6" outlineLevel="1">
      <c r="A68" s="298"/>
      <c r="B68" s="737" t="s">
        <v>1484</v>
      </c>
      <c r="C68" s="283"/>
      <c r="D68" s="284"/>
      <c r="E68" s="284"/>
      <c r="F68" s="284"/>
      <c r="G68" s="285"/>
      <c r="H68" s="285"/>
      <c r="I68" s="285"/>
      <c r="J68" s="285"/>
      <c r="K68" s="285"/>
      <c r="L68" s="285"/>
      <c r="M68" s="285"/>
      <c r="N68" s="284"/>
      <c r="O68" s="286"/>
      <c r="P68" s="286"/>
      <c r="Q68" s="286"/>
      <c r="R68" s="286"/>
      <c r="S68" s="286"/>
      <c r="T68" s="286"/>
      <c r="U68" s="286"/>
      <c r="V68" s="285"/>
      <c r="W68" s="285"/>
      <c r="X68" s="285"/>
      <c r="Y68" s="285"/>
      <c r="Z68" s="285"/>
      <c r="AA68" s="285"/>
      <c r="AB68" s="285"/>
      <c r="AC68" s="285"/>
      <c r="AD68" s="285"/>
      <c r="AE68" s="285"/>
      <c r="AF68" s="285"/>
      <c r="AG68" s="285"/>
      <c r="AH68" s="285"/>
      <c r="AI68" s="285"/>
      <c r="AJ68" s="285"/>
      <c r="AK68" s="285"/>
      <c r="AL68" s="285"/>
      <c r="AM68" s="285"/>
      <c r="AN68" s="285"/>
      <c r="AO68" s="285"/>
      <c r="AP68" s="285"/>
      <c r="AQ68" s="285"/>
      <c r="AR68" s="285"/>
      <c r="AS68" s="285"/>
      <c r="AT68" s="2"/>
      <c r="AU68" s="2"/>
    </row>
    <row r="69" spans="1:47" outlineLevel="1">
      <c r="A69" s="298"/>
      <c r="B69" s="339" t="s">
        <v>1269</v>
      </c>
      <c r="C69" s="14" t="s">
        <v>732</v>
      </c>
      <c r="D69" s="18"/>
      <c r="E69" s="18"/>
      <c r="F69" s="18"/>
      <c r="G69" s="18"/>
      <c r="H69" s="18"/>
      <c r="I69" s="18"/>
      <c r="J69" s="18"/>
      <c r="K69" s="254"/>
      <c r="L69" s="254"/>
      <c r="M69" s="254"/>
      <c r="N69" s="254"/>
      <c r="O69" s="254"/>
      <c r="P69" s="254"/>
      <c r="Q69" s="254"/>
      <c r="R69" s="254"/>
      <c r="S69" s="254"/>
      <c r="T69" s="254"/>
      <c r="U69" s="254"/>
      <c r="V69" s="254"/>
      <c r="W69" s="254"/>
      <c r="X69" s="254"/>
      <c r="Y69" s="254"/>
      <c r="Z69" s="254"/>
      <c r="AA69" s="254"/>
      <c r="AB69" s="254"/>
      <c r="AC69" s="254">
        <v>738</v>
      </c>
      <c r="AD69" s="254">
        <f t="shared" ref="AD69:AH69" si="103">+AD461</f>
        <v>344</v>
      </c>
      <c r="AE69" s="254">
        <f t="shared" si="103"/>
        <v>367</v>
      </c>
      <c r="AF69" s="254">
        <f t="shared" si="103"/>
        <v>552</v>
      </c>
      <c r="AG69" s="254">
        <f t="shared" si="103"/>
        <v>755</v>
      </c>
      <c r="AH69" s="254">
        <f t="shared" si="103"/>
        <v>1076</v>
      </c>
      <c r="AI69" s="254">
        <f>+AI461</f>
        <v>1262</v>
      </c>
      <c r="AJ69" s="254">
        <f>+AJ461</f>
        <v>1159</v>
      </c>
      <c r="AK69" s="254">
        <f>AJ69*(1+AK70)</f>
        <v>1182.18</v>
      </c>
      <c r="AL69" s="254">
        <f t="shared" ref="AL69" si="104">AK69*(1+AL70)</f>
        <v>1205.8236000000002</v>
      </c>
      <c r="AM69" s="254">
        <f t="shared" ref="AM69" si="105">AL69*(1+AM70)</f>
        <v>1229.9400720000001</v>
      </c>
      <c r="AN69" s="254">
        <f t="shared" ref="AN69" si="106">AM69*(1+AN70)</f>
        <v>1254.5388734400001</v>
      </c>
      <c r="AO69" s="254">
        <f t="shared" ref="AO69" si="107">AN69*(1+AO70)</f>
        <v>1279.6296509088002</v>
      </c>
      <c r="AP69" s="254">
        <f t="shared" ref="AP69" si="108">AO69*(1+AP70)</f>
        <v>1305.2222439269763</v>
      </c>
      <c r="AQ69" s="254">
        <f t="shared" ref="AQ69" si="109">AP69*(1+AQ70)</f>
        <v>1331.3266888055159</v>
      </c>
      <c r="AR69" s="254">
        <f t="shared" ref="AR69:AS69" si="110">AQ69*(1+AR70)</f>
        <v>1357.9532225816263</v>
      </c>
      <c r="AS69" s="254">
        <f t="shared" si="110"/>
        <v>1385.1122870332588</v>
      </c>
      <c r="AT69" s="2"/>
      <c r="AU69" s="2"/>
    </row>
    <row r="70" spans="1:47" outlineLevel="1">
      <c r="A70" s="298"/>
      <c r="B70" s="339"/>
      <c r="C70" s="14"/>
      <c r="D70" s="18"/>
      <c r="E70" s="18"/>
      <c r="F70" s="18"/>
      <c r="G70" s="18"/>
      <c r="H70" s="18"/>
      <c r="I70" s="18"/>
      <c r="J70" s="18"/>
      <c r="K70" s="254"/>
      <c r="L70" s="254"/>
      <c r="M70" s="254"/>
      <c r="N70" s="254"/>
      <c r="O70" s="254"/>
      <c r="P70" s="254"/>
      <c r="Q70" s="254"/>
      <c r="R70" s="254"/>
      <c r="S70" s="254"/>
      <c r="T70" s="254"/>
      <c r="U70" s="254"/>
      <c r="V70" s="254"/>
      <c r="W70" s="254"/>
      <c r="X70" s="254"/>
      <c r="Y70" s="254"/>
      <c r="Z70" s="254"/>
      <c r="AA70" s="254"/>
      <c r="AB70" s="254"/>
      <c r="AC70" s="254"/>
      <c r="AD70" s="254"/>
      <c r="AE70" s="254"/>
      <c r="AF70" s="254"/>
      <c r="AG70" s="254"/>
      <c r="AH70" s="254"/>
      <c r="AI70" s="254"/>
      <c r="AJ70" s="254"/>
      <c r="AK70" s="621">
        <v>2.0000000000000018E-2</v>
      </c>
      <c r="AL70" s="621">
        <v>2.0000000000000018E-2</v>
      </c>
      <c r="AM70" s="621">
        <v>2.0000000000000018E-2</v>
      </c>
      <c r="AN70" s="621">
        <v>2.0000000000000018E-2</v>
      </c>
      <c r="AO70" s="621">
        <v>2.0000000000000018E-2</v>
      </c>
      <c r="AP70" s="621">
        <v>2.0000000000000018E-2</v>
      </c>
      <c r="AQ70" s="621">
        <v>2.0000000000000018E-2</v>
      </c>
      <c r="AR70" s="621">
        <v>2.0000000000000018E-2</v>
      </c>
      <c r="AS70" s="621">
        <v>2.0000000000000018E-2</v>
      </c>
      <c r="AT70" s="2"/>
      <c r="AU70" s="2"/>
    </row>
    <row r="71" spans="1:47" outlineLevel="1">
      <c r="A71" s="298"/>
      <c r="AT71" s="2"/>
      <c r="AU71" s="2"/>
    </row>
    <row r="72" spans="1:47" ht="15.6">
      <c r="B72" s="737" t="s">
        <v>1455</v>
      </c>
      <c r="C72" s="283"/>
      <c r="D72" s="284"/>
      <c r="E72" s="284"/>
      <c r="F72" s="284"/>
      <c r="G72" s="285"/>
      <c r="H72" s="285"/>
      <c r="I72" s="285"/>
      <c r="J72" s="285"/>
      <c r="K72" s="285"/>
      <c r="L72" s="285"/>
      <c r="M72" s="285"/>
      <c r="N72" s="284"/>
      <c r="O72" s="286"/>
      <c r="P72" s="286"/>
      <c r="Q72" s="286"/>
      <c r="R72" s="286"/>
      <c r="S72" s="286"/>
      <c r="T72" s="286"/>
      <c r="U72" s="286"/>
      <c r="V72" s="285"/>
      <c r="W72" s="285"/>
      <c r="X72" s="285"/>
      <c r="Y72" s="285"/>
      <c r="Z72" s="285"/>
      <c r="AA72" s="285"/>
      <c r="AB72" s="285"/>
      <c r="AC72" s="285"/>
      <c r="AD72" s="285"/>
      <c r="AE72" s="285"/>
      <c r="AF72" s="285"/>
      <c r="AG72" s="285"/>
      <c r="AH72" s="285"/>
      <c r="AI72" s="285"/>
      <c r="AJ72" s="285"/>
      <c r="AK72" s="285"/>
      <c r="AL72" s="285"/>
      <c r="AM72" s="285"/>
      <c r="AN72" s="285"/>
      <c r="AO72" s="285"/>
      <c r="AP72" s="285"/>
      <c r="AQ72" s="285"/>
      <c r="AR72" s="285"/>
      <c r="AS72" s="285"/>
    </row>
    <row r="73" spans="1:47" outlineLevel="1">
      <c r="A73" s="298"/>
      <c r="B73" s="339" t="s">
        <v>1455</v>
      </c>
      <c r="C73" s="14" t="s">
        <v>732</v>
      </c>
      <c r="D73" s="18"/>
      <c r="E73" s="18"/>
      <c r="F73" s="18"/>
      <c r="G73" s="18"/>
      <c r="H73" s="18"/>
      <c r="I73" s="18"/>
      <c r="J73" s="18"/>
      <c r="K73" s="254"/>
      <c r="L73" s="254"/>
      <c r="M73" s="254"/>
      <c r="N73" s="254"/>
      <c r="O73" s="254"/>
      <c r="P73" s="254"/>
      <c r="Q73" s="254"/>
      <c r="R73" s="254"/>
      <c r="S73" s="254"/>
      <c r="T73" s="254"/>
      <c r="U73" s="254"/>
      <c r="V73" s="254"/>
      <c r="W73" s="254"/>
      <c r="X73" s="254"/>
      <c r="Y73" s="254"/>
      <c r="Z73" s="254"/>
      <c r="AA73" s="254"/>
      <c r="AB73" s="254"/>
      <c r="AC73" s="254"/>
      <c r="AD73" s="254"/>
      <c r="AE73" s="254"/>
      <c r="AF73" s="254"/>
      <c r="AG73" s="615">
        <v>-1575</v>
      </c>
      <c r="AH73" s="615">
        <v>-2043</v>
      </c>
      <c r="AI73" s="615">
        <v>-2537</v>
      </c>
      <c r="AJ73" s="615">
        <v>-2424</v>
      </c>
      <c r="AK73" s="254">
        <f t="shared" ref="AK73:AS73" si="111">AJ73*(1+AK66)</f>
        <v>-2424</v>
      </c>
      <c r="AL73" s="254">
        <f t="shared" si="111"/>
        <v>-2424</v>
      </c>
      <c r="AM73" s="254">
        <f t="shared" si="111"/>
        <v>-2424</v>
      </c>
      <c r="AN73" s="254">
        <f t="shared" si="111"/>
        <v>-2424</v>
      </c>
      <c r="AO73" s="254">
        <f t="shared" si="111"/>
        <v>-2424</v>
      </c>
      <c r="AP73" s="254">
        <f t="shared" si="111"/>
        <v>-2424</v>
      </c>
      <c r="AQ73" s="254">
        <f t="shared" si="111"/>
        <v>-2424</v>
      </c>
      <c r="AR73" s="254">
        <f t="shared" si="111"/>
        <v>-2424</v>
      </c>
      <c r="AS73" s="254">
        <f t="shared" si="111"/>
        <v>-2424</v>
      </c>
      <c r="AT73" s="2"/>
      <c r="AU73" s="2"/>
    </row>
    <row r="74" spans="1:47" outlineLevel="1">
      <c r="A74" s="298"/>
      <c r="B74" s="1162" t="s">
        <v>1460</v>
      </c>
      <c r="C74" s="14"/>
      <c r="D74" s="18"/>
      <c r="E74" s="18"/>
      <c r="F74" s="18"/>
      <c r="G74" s="18"/>
      <c r="H74" s="18"/>
      <c r="I74" s="18"/>
      <c r="J74" s="18"/>
      <c r="K74" s="254"/>
      <c r="L74" s="254"/>
      <c r="M74" s="254"/>
      <c r="N74" s="254"/>
      <c r="O74" s="254"/>
      <c r="P74" s="254"/>
      <c r="Q74" s="254"/>
      <c r="R74" s="254"/>
      <c r="S74" s="254"/>
      <c r="T74" s="254"/>
      <c r="U74" s="254"/>
      <c r="V74" s="254"/>
      <c r="W74" s="254"/>
      <c r="X74" s="254"/>
      <c r="Y74" s="254"/>
      <c r="Z74" s="254"/>
      <c r="AA74" s="254"/>
      <c r="AB74" s="254"/>
      <c r="AC74" s="254"/>
      <c r="AD74" s="254"/>
      <c r="AE74" s="254"/>
      <c r="AF74" s="254"/>
      <c r="AG74" s="254"/>
      <c r="AH74" s="254"/>
      <c r="AI74" s="254"/>
      <c r="AJ74" s="254"/>
      <c r="AK74" s="621">
        <v>0.03</v>
      </c>
      <c r="AL74" s="621">
        <v>0.03</v>
      </c>
      <c r="AM74" s="621">
        <v>0.03</v>
      </c>
      <c r="AN74" s="621">
        <v>0.03</v>
      </c>
      <c r="AO74" s="621">
        <v>0.03</v>
      </c>
      <c r="AP74" s="621">
        <v>0.03</v>
      </c>
      <c r="AQ74" s="621">
        <v>0.03</v>
      </c>
      <c r="AR74" s="621">
        <v>0.03</v>
      </c>
      <c r="AS74" s="621">
        <v>0.03</v>
      </c>
      <c r="AT74" s="2"/>
      <c r="AU74" s="2"/>
    </row>
    <row r="75" spans="1:47" outlineLevel="1">
      <c r="A75" s="298"/>
      <c r="B75" s="1162"/>
      <c r="C75" s="14"/>
      <c r="D75" s="18"/>
      <c r="E75" s="18"/>
      <c r="F75" s="18"/>
      <c r="G75" s="18"/>
      <c r="H75" s="18"/>
      <c r="I75" s="18"/>
      <c r="J75" s="18"/>
      <c r="K75" s="254"/>
      <c r="L75" s="254"/>
      <c r="M75" s="254"/>
      <c r="N75" s="254"/>
      <c r="O75" s="254"/>
      <c r="P75" s="254"/>
      <c r="Q75" s="254"/>
      <c r="R75" s="254"/>
      <c r="S75" s="254"/>
      <c r="T75" s="254"/>
      <c r="U75" s="254"/>
      <c r="V75" s="254"/>
      <c r="W75" s="254"/>
      <c r="X75" s="254"/>
      <c r="Y75" s="254"/>
      <c r="Z75" s="254"/>
      <c r="AA75" s="254"/>
      <c r="AB75" s="254"/>
      <c r="AC75" s="254"/>
      <c r="AD75" s="254"/>
      <c r="AE75" s="254"/>
      <c r="AF75" s="254"/>
      <c r="AG75" s="254"/>
      <c r="AH75" s="254"/>
      <c r="AI75" s="2"/>
      <c r="AJ75" s="2"/>
      <c r="AK75" s="2"/>
      <c r="AL75" s="2"/>
      <c r="AM75" s="2"/>
      <c r="AN75" s="2"/>
      <c r="AO75" s="2"/>
      <c r="AP75" s="2"/>
      <c r="AQ75" s="2"/>
      <c r="AR75" s="2"/>
      <c r="AS75" s="2"/>
      <c r="AT75" s="2"/>
      <c r="AU75" s="2"/>
    </row>
    <row r="76" spans="1:47" outlineLevel="1">
      <c r="A76" s="298"/>
      <c r="B76" s="435" t="s">
        <v>1161</v>
      </c>
      <c r="C76" s="436" t="s">
        <v>732</v>
      </c>
      <c r="D76" s="436"/>
      <c r="E76" s="436"/>
      <c r="F76" s="436"/>
      <c r="G76" s="436"/>
      <c r="H76" s="436"/>
      <c r="I76" s="436"/>
      <c r="J76" s="436"/>
      <c r="K76" s="437"/>
      <c r="L76" s="437"/>
      <c r="M76" s="437"/>
      <c r="N76" s="437"/>
      <c r="O76" s="437"/>
      <c r="P76" s="437"/>
      <c r="Q76" s="437"/>
      <c r="R76" s="437"/>
      <c r="S76" s="437"/>
      <c r="T76" s="437"/>
      <c r="U76" s="437"/>
      <c r="V76" s="437"/>
      <c r="W76" s="437"/>
      <c r="X76" s="437"/>
      <c r="Y76" s="437"/>
      <c r="Z76" s="437"/>
      <c r="AA76" s="437"/>
      <c r="AB76" s="437"/>
      <c r="AC76" s="437">
        <f t="shared" ref="AC76:AI76" si="112">+AC23+AC33+AC45+AC52+AC56+AC59+AC69+AC61+AC1988+AC73+AC65</f>
        <v>28841</v>
      </c>
      <c r="AD76" s="437">
        <f t="shared" si="112"/>
        <v>27807</v>
      </c>
      <c r="AE76" s="437">
        <f t="shared" si="112"/>
        <v>25937</v>
      </c>
      <c r="AF76" s="437">
        <f t="shared" si="112"/>
        <v>23132</v>
      </c>
      <c r="AG76" s="437">
        <f t="shared" si="112"/>
        <v>22045</v>
      </c>
      <c r="AH76" s="437">
        <f t="shared" si="112"/>
        <v>23245.009539999999</v>
      </c>
      <c r="AI76" s="437">
        <f t="shared" si="112"/>
        <v>23482</v>
      </c>
      <c r="AJ76" s="437">
        <f>+AJ23+AJ33+AJ45+AJ52+AJ56+AJ59+AJ69+AJ61+AJ1988+AJ73+AJ65</f>
        <v>23610</v>
      </c>
      <c r="AK76" s="437">
        <f t="shared" ref="AK76:AS76" si="113">+AK23+AK33+AK45+AK52+AK56+AK59+AK69+AK61+AK1988+AK73+AK65</f>
        <v>24510.648474448983</v>
      </c>
      <c r="AL76" s="437">
        <f t="shared" si="113"/>
        <v>25177.154787169533</v>
      </c>
      <c r="AM76" s="437">
        <f t="shared" si="113"/>
        <v>25947.093999635817</v>
      </c>
      <c r="AN76" s="437">
        <f t="shared" si="113"/>
        <v>26830.677617914185</v>
      </c>
      <c r="AO76" s="437">
        <f t="shared" si="113"/>
        <v>27833.255496218695</v>
      </c>
      <c r="AP76" s="437">
        <f t="shared" si="113"/>
        <v>28963.392081484439</v>
      </c>
      <c r="AQ76" s="437">
        <f t="shared" si="113"/>
        <v>30233.080538832968</v>
      </c>
      <c r="AR76" s="437">
        <f t="shared" si="113"/>
        <v>31658.118782036137</v>
      </c>
      <c r="AS76" s="437">
        <f t="shared" si="113"/>
        <v>33099.289826606997</v>
      </c>
      <c r="AT76" s="2"/>
      <c r="AU76" s="2"/>
    </row>
    <row r="77" spans="1:47" outlineLevel="1">
      <c r="A77" s="298"/>
      <c r="B77" s="322" t="s">
        <v>1099</v>
      </c>
      <c r="C77" s="310" t="s">
        <v>733</v>
      </c>
      <c r="D77" s="18"/>
      <c r="E77" s="18"/>
      <c r="F77" s="18"/>
      <c r="G77" s="18"/>
      <c r="H77" s="18"/>
      <c r="I77" s="18"/>
      <c r="J77" s="18"/>
      <c r="K77" s="254"/>
      <c r="L77" s="254"/>
      <c r="M77" s="254"/>
      <c r="N77" s="254"/>
      <c r="O77" s="254"/>
      <c r="P77" s="254"/>
      <c r="Q77" s="254"/>
      <c r="R77" s="254"/>
      <c r="S77" s="254"/>
      <c r="T77" s="254"/>
      <c r="U77" s="254"/>
      <c r="V77" s="254"/>
      <c r="W77" s="254"/>
      <c r="X77" s="254"/>
      <c r="Y77" s="254"/>
      <c r="Z77" s="254"/>
      <c r="AA77" s="254"/>
      <c r="AB77" s="254"/>
      <c r="AC77" s="313" t="s">
        <v>1456</v>
      </c>
      <c r="AD77" s="313">
        <f t="shared" ref="AD77:AP77" si="114">IFERROR(AD76/AC76-1, "")</f>
        <v>-3.5851738844006831E-2</v>
      </c>
      <c r="AE77" s="313">
        <f t="shared" si="114"/>
        <v>-6.7249253785018115E-2</v>
      </c>
      <c r="AF77" s="313">
        <f t="shared" si="114"/>
        <v>-0.10814666306820375</v>
      </c>
      <c r="AG77" s="313">
        <f t="shared" si="114"/>
        <v>-4.6991181047899011E-2</v>
      </c>
      <c r="AH77" s="313">
        <f t="shared" si="114"/>
        <v>5.4434544794738082E-2</v>
      </c>
      <c r="AI77" s="313">
        <f t="shared" si="114"/>
        <v>1.0195326424460527E-2</v>
      </c>
      <c r="AJ77" s="313">
        <f t="shared" si="114"/>
        <v>5.4509837322205268E-3</v>
      </c>
      <c r="AK77" s="313">
        <f t="shared" si="114"/>
        <v>3.8146907007580833E-2</v>
      </c>
      <c r="AL77" s="313">
        <f t="shared" si="114"/>
        <v>2.7192520565718414E-2</v>
      </c>
      <c r="AM77" s="313">
        <f t="shared" si="114"/>
        <v>3.0580866621936709E-2</v>
      </c>
      <c r="AN77" s="313">
        <f t="shared" si="114"/>
        <v>3.4053278501660733E-2</v>
      </c>
      <c r="AO77" s="313">
        <f t="shared" si="114"/>
        <v>3.7366848969744737E-2</v>
      </c>
      <c r="AP77" s="313">
        <f t="shared" si="114"/>
        <v>4.0603823200605405E-2</v>
      </c>
      <c r="AQ77" s="313">
        <f t="shared" ref="AQ77" si="115">IFERROR(AQ76/AP76-1, "")</f>
        <v>4.3837698767341893E-2</v>
      </c>
      <c r="AR77" s="313">
        <f t="shared" ref="AR77:AS77" si="116">IFERROR(AR76/AQ76-1, "")</f>
        <v>4.7135065888266769E-2</v>
      </c>
      <c r="AS77" s="313">
        <f t="shared" si="116"/>
        <v>4.5522952721645193E-2</v>
      </c>
      <c r="AT77" s="2"/>
      <c r="AU77" s="2"/>
    </row>
    <row r="78" spans="1:47" outlineLevel="1">
      <c r="A78" s="298"/>
      <c r="B78" s="6"/>
      <c r="C78" s="21"/>
      <c r="D78" s="21"/>
      <c r="E78" s="21"/>
      <c r="F78" s="21"/>
      <c r="G78" s="21"/>
      <c r="H78" s="21"/>
      <c r="I78" s="21"/>
      <c r="J78" s="21"/>
      <c r="K78" s="70"/>
      <c r="L78" s="70"/>
      <c r="M78" s="70"/>
      <c r="N78" s="70"/>
      <c r="O78" s="70"/>
      <c r="P78" s="70"/>
      <c r="Q78" s="70"/>
      <c r="R78" s="70"/>
      <c r="S78" s="70"/>
      <c r="T78" s="70"/>
      <c r="U78" s="70"/>
      <c r="V78" s="70"/>
      <c r="W78" s="70"/>
      <c r="X78" s="70"/>
      <c r="Y78" s="70"/>
      <c r="Z78" s="70"/>
      <c r="AA78" s="70"/>
      <c r="AB78" s="70"/>
      <c r="AC78" s="70"/>
      <c r="AD78" s="70"/>
      <c r="AE78" s="70"/>
      <c r="AF78" s="70"/>
      <c r="AG78" s="70"/>
      <c r="AH78" s="70"/>
      <c r="AI78" s="70"/>
      <c r="AJ78" s="70"/>
      <c r="AK78" s="70"/>
      <c r="AL78" s="70"/>
      <c r="AM78" s="70"/>
      <c r="AN78" s="70"/>
      <c r="AO78" s="70"/>
      <c r="AP78" s="70"/>
      <c r="AQ78" s="70"/>
      <c r="AR78" s="70"/>
      <c r="AS78" s="70"/>
      <c r="AT78" s="2"/>
      <c r="AU78" s="2"/>
    </row>
    <row r="91" collapsed="1"/>
    <row r="92" hidden="1" outlineLevel="1"/>
    <row r="93" hidden="1" outlineLevel="1"/>
    <row r="94" hidden="1" outlineLevel="1"/>
    <row r="95" hidden="1" outlineLevel="1"/>
    <row r="96" hidden="1" outlineLevel="1"/>
    <row r="97" hidden="1" outlineLevel="1"/>
    <row r="98" hidden="1" outlineLevel="1"/>
    <row r="99" hidden="1" outlineLevel="1"/>
    <row r="100" hidden="1" outlineLevel="1"/>
    <row r="101" hidden="1" outlineLevel="1"/>
    <row r="102" hidden="1" outlineLevel="1"/>
    <row r="103" hidden="1" outlineLevel="1"/>
    <row r="104" hidden="1" outlineLevel="1"/>
    <row r="105" hidden="1" outlineLevel="1"/>
    <row r="106" hidden="1" outlineLevel="1"/>
    <row r="107" hidden="1" outlineLevel="1"/>
    <row r="108" hidden="1" outlineLevel="1"/>
    <row r="109" hidden="1" outlineLevel="1"/>
    <row r="110" hidden="1" outlineLevel="1"/>
    <row r="111" hidden="1" outlineLevel="1"/>
    <row r="112" hidden="1" outlineLevel="1"/>
    <row r="113" spans="1:47" hidden="1" outlineLevel="1"/>
    <row r="114" spans="1:47" hidden="1" outlineLevel="1"/>
    <row r="115" spans="1:47" hidden="1" outlineLevel="1"/>
    <row r="116" spans="1:47" hidden="1" outlineLevel="1"/>
    <row r="117" spans="1:47" hidden="1" outlineLevel="1"/>
    <row r="118" spans="1:47" hidden="1" outlineLevel="1"/>
    <row r="119" spans="1:47" hidden="1" outlineLevel="1"/>
    <row r="120" spans="1:47" hidden="1" outlineLevel="1"/>
    <row r="121" spans="1:47" hidden="1" outlineLevel="1"/>
    <row r="122" spans="1:47" hidden="1" outlineLevel="1"/>
    <row r="123" spans="1:47" hidden="1" outlineLevel="1"/>
    <row r="124" spans="1:47" hidden="1" outlineLevel="1"/>
    <row r="126" spans="1:47">
      <c r="A126" s="298"/>
      <c r="B126" s="6"/>
      <c r="C126" s="21"/>
      <c r="D126" s="21"/>
      <c r="E126" s="21"/>
      <c r="F126" s="21"/>
      <c r="G126" s="21"/>
      <c r="H126" s="21"/>
      <c r="I126" s="21"/>
      <c r="J126" s="21"/>
      <c r="K126" s="70"/>
      <c r="L126" s="70"/>
      <c r="M126" s="70"/>
      <c r="N126" s="70"/>
      <c r="O126" s="70"/>
      <c r="P126" s="70"/>
      <c r="Q126" s="70"/>
      <c r="R126" s="70"/>
      <c r="S126" s="70"/>
      <c r="T126" s="70"/>
      <c r="U126" s="70"/>
      <c r="V126" s="70"/>
      <c r="W126" s="70"/>
      <c r="X126" s="70"/>
      <c r="Y126" s="70"/>
      <c r="Z126" s="70"/>
      <c r="AA126" s="70"/>
      <c r="AB126" s="70"/>
      <c r="AC126" s="70"/>
      <c r="AD126" s="70"/>
      <c r="AE126" s="70"/>
      <c r="AF126" s="70"/>
      <c r="AG126" s="70"/>
      <c r="AH126" s="70"/>
      <c r="AI126" s="70"/>
      <c r="AJ126" s="70"/>
      <c r="AK126" s="70"/>
      <c r="AL126" s="70"/>
      <c r="AM126" s="70"/>
      <c r="AN126" s="70"/>
      <c r="AO126" s="70"/>
      <c r="AP126" s="70"/>
      <c r="AQ126" s="70"/>
      <c r="AR126" s="70"/>
      <c r="AS126" s="70"/>
      <c r="AT126" s="2"/>
      <c r="AU126" s="2"/>
    </row>
    <row r="127" spans="1:47">
      <c r="A127" s="299" t="s">
        <v>1163</v>
      </c>
      <c r="B127" s="1073" t="s">
        <v>248</v>
      </c>
      <c r="C127" s="1074"/>
      <c r="D127" s="1073"/>
      <c r="E127" s="1073"/>
      <c r="F127" s="1073"/>
      <c r="G127" s="1073"/>
      <c r="H127" s="1073"/>
      <c r="I127" s="1073"/>
      <c r="J127" s="1073"/>
      <c r="K127" s="1073"/>
      <c r="L127" s="1073"/>
      <c r="M127" s="1073"/>
      <c r="N127" s="1073"/>
      <c r="O127" s="1073"/>
      <c r="P127" s="1073"/>
      <c r="Q127" s="1073"/>
      <c r="R127" s="1073"/>
      <c r="S127" s="1073"/>
      <c r="T127" s="1073"/>
      <c r="U127" s="1073"/>
      <c r="V127" s="1073"/>
      <c r="W127" s="1073"/>
      <c r="X127" s="1073"/>
      <c r="Y127" s="1073"/>
      <c r="Z127" s="1073"/>
      <c r="AA127" s="1073"/>
      <c r="AB127" s="1073"/>
      <c r="AC127" s="1073"/>
      <c r="AD127" s="1073"/>
      <c r="AE127" s="1073"/>
      <c r="AF127" s="1073"/>
      <c r="AG127" s="1073"/>
      <c r="AH127" s="1073"/>
      <c r="AI127" s="1073"/>
      <c r="AJ127" s="1073"/>
      <c r="AK127" s="1073"/>
      <c r="AL127" s="1073"/>
      <c r="AM127" s="1073"/>
      <c r="AN127" s="1073"/>
      <c r="AO127" s="1073"/>
      <c r="AP127" s="1073"/>
      <c r="AQ127" s="1073"/>
      <c r="AR127" s="1073"/>
      <c r="AS127" s="1073"/>
      <c r="AT127" s="2"/>
      <c r="AU127" s="2"/>
    </row>
    <row r="128" spans="1:47" outlineLevel="1">
      <c r="A128" s="298"/>
      <c r="B128" s="2"/>
      <c r="C128" s="18"/>
      <c r="D128" s="18"/>
      <c r="E128" s="18"/>
      <c r="F128" s="18"/>
      <c r="G128" s="18"/>
      <c r="H128" s="18"/>
      <c r="I128" s="18"/>
      <c r="J128" s="18"/>
      <c r="K128" s="7"/>
      <c r="L128" s="7"/>
      <c r="M128" s="7"/>
      <c r="N128" s="7"/>
      <c r="O128" s="7"/>
      <c r="P128" s="7"/>
      <c r="Q128" s="7"/>
      <c r="R128" s="7"/>
      <c r="S128" s="7"/>
      <c r="T128" s="7"/>
      <c r="U128" s="7"/>
      <c r="V128" s="7"/>
      <c r="W128" s="7"/>
      <c r="X128" s="7"/>
      <c r="Y128" s="7"/>
      <c r="Z128" s="56"/>
      <c r="AA128" s="7"/>
      <c r="AB128" s="7"/>
      <c r="AC128" s="7"/>
      <c r="AD128" s="7"/>
      <c r="AE128" s="7"/>
      <c r="AF128" s="7"/>
      <c r="AG128" s="7"/>
      <c r="AH128" s="7"/>
      <c r="AI128" s="7"/>
      <c r="AJ128" s="7"/>
      <c r="AK128" s="7"/>
      <c r="AL128" s="7"/>
      <c r="AM128" s="7"/>
      <c r="AN128" s="7"/>
      <c r="AO128" s="7"/>
      <c r="AP128" s="7"/>
      <c r="AQ128" s="7"/>
      <c r="AR128" s="7"/>
      <c r="AS128" s="7"/>
      <c r="AT128" s="2"/>
      <c r="AU128" s="2"/>
    </row>
    <row r="129" spans="1:47" ht="14.4" outlineLevel="1">
      <c r="A129" s="298"/>
      <c r="B129" s="348" t="s">
        <v>1218</v>
      </c>
      <c r="C129" s="349"/>
      <c r="D129" s="349"/>
      <c r="E129" s="349"/>
      <c r="F129" s="349"/>
      <c r="G129" s="349"/>
      <c r="H129" s="349"/>
      <c r="I129" s="349"/>
      <c r="J129" s="349"/>
      <c r="K129" s="350"/>
      <c r="L129" s="350"/>
      <c r="M129" s="350"/>
      <c r="N129" s="350"/>
      <c r="O129" s="350"/>
      <c r="P129" s="350"/>
      <c r="Q129" s="350"/>
      <c r="R129" s="350"/>
      <c r="S129" s="350"/>
      <c r="T129" s="350"/>
      <c r="U129" s="350"/>
      <c r="V129" s="350"/>
      <c r="W129" s="351"/>
      <c r="X129" s="352"/>
      <c r="Y129" s="352"/>
      <c r="Z129" s="351"/>
      <c r="AA129" s="350"/>
      <c r="AB129" s="353"/>
      <c r="AC129" s="353"/>
      <c r="AD129" s="353"/>
      <c r="AE129" s="353"/>
      <c r="AF129" s="353"/>
      <c r="AG129" s="353"/>
      <c r="AH129" s="353"/>
      <c r="AI129" s="353"/>
      <c r="AJ129" s="353"/>
      <c r="AK129" s="353"/>
      <c r="AL129" s="353"/>
      <c r="AM129" s="353"/>
      <c r="AN129" s="353"/>
      <c r="AO129" s="353"/>
      <c r="AP129" s="353"/>
      <c r="AQ129" s="353"/>
      <c r="AR129" s="353"/>
      <c r="AS129" s="353"/>
      <c r="AT129" s="2"/>
      <c r="AU129" s="2"/>
    </row>
    <row r="130" spans="1:47" outlineLevel="1">
      <c r="A130" s="298"/>
      <c r="B130" s="55"/>
      <c r="C130" s="18"/>
      <c r="D130" s="18"/>
      <c r="E130" s="18"/>
      <c r="F130" s="18"/>
      <c r="G130" s="18"/>
      <c r="H130" s="18"/>
      <c r="I130" s="18"/>
      <c r="J130" s="18"/>
      <c r="K130" s="7"/>
      <c r="L130" s="7"/>
      <c r="M130" s="7"/>
      <c r="N130" s="7"/>
      <c r="O130" s="7"/>
      <c r="P130" s="7"/>
      <c r="Q130" s="7"/>
      <c r="R130" s="7"/>
      <c r="S130" s="7"/>
      <c r="T130" s="7"/>
      <c r="U130" s="7"/>
      <c r="V130" s="7"/>
      <c r="W130" s="117"/>
      <c r="X130" s="28"/>
      <c r="Y130" s="28"/>
      <c r="Z130" s="117"/>
      <c r="AA130" s="7"/>
      <c r="AB130" s="31"/>
      <c r="AC130" s="31"/>
      <c r="AD130" s="31"/>
      <c r="AE130" s="31"/>
      <c r="AF130" s="31"/>
      <c r="AG130" s="31"/>
      <c r="AH130" s="31"/>
      <c r="AI130" s="31"/>
      <c r="AJ130" s="31"/>
      <c r="AK130" s="31"/>
      <c r="AL130" s="31"/>
      <c r="AM130" s="31"/>
      <c r="AN130" s="31"/>
      <c r="AO130" s="31"/>
      <c r="AP130" s="31"/>
      <c r="AQ130" s="31"/>
      <c r="AR130" s="31"/>
      <c r="AS130" s="31"/>
      <c r="AT130" s="2"/>
      <c r="AU130" s="705"/>
    </row>
    <row r="131" spans="1:47" outlineLevel="1">
      <c r="A131" s="357"/>
      <c r="B131" s="367" t="s">
        <v>256</v>
      </c>
      <c r="C131" s="357" t="s">
        <v>180</v>
      </c>
      <c r="D131" s="357"/>
      <c r="E131" s="357"/>
      <c r="F131" s="357"/>
      <c r="G131" s="357"/>
      <c r="H131" s="357"/>
      <c r="I131" s="357"/>
      <c r="J131" s="357"/>
      <c r="K131" s="525">
        <v>3.383</v>
      </c>
      <c r="L131" s="525">
        <v>3.964</v>
      </c>
      <c r="M131" s="525">
        <v>4.0620000000000003</v>
      </c>
      <c r="N131" s="525">
        <v>4.2809999999999997</v>
      </c>
      <c r="O131" s="525">
        <v>4.5019999999999998</v>
      </c>
      <c r="P131" s="525">
        <v>4.657</v>
      </c>
      <c r="Q131" s="525">
        <v>4.9320000000000004</v>
      </c>
      <c r="R131" s="525">
        <v>5.5149999999999997</v>
      </c>
      <c r="S131" s="525">
        <v>5.5620000000000003</v>
      </c>
      <c r="T131" s="525">
        <v>5.7270000000000003</v>
      </c>
      <c r="U131" s="525">
        <v>5.4269999999999996</v>
      </c>
      <c r="V131" s="525">
        <v>6.0620000000000003</v>
      </c>
      <c r="W131" s="525">
        <v>6.5960000000000001</v>
      </c>
      <c r="X131" s="525">
        <v>7.0190000000000001</v>
      </c>
      <c r="Y131" s="525">
        <v>7.194</v>
      </c>
      <c r="Z131" s="525">
        <v>7.3070000000000004</v>
      </c>
      <c r="AA131" s="525">
        <v>7.3929999999999998</v>
      </c>
      <c r="AB131" s="525">
        <v>7.5620000000000003</v>
      </c>
      <c r="AC131" s="525">
        <v>7.8659999999999997</v>
      </c>
      <c r="AD131" s="525">
        <v>8.2439999999999998</v>
      </c>
      <c r="AE131" s="525">
        <v>8.484</v>
      </c>
      <c r="AF131" s="525">
        <v>8.5850000000000009</v>
      </c>
      <c r="AG131" s="525">
        <v>8.74</v>
      </c>
      <c r="AH131" s="525">
        <v>8.8260000000000005</v>
      </c>
      <c r="AI131" s="525">
        <v>8.9420000000000002</v>
      </c>
      <c r="AJ131" s="525">
        <v>8.886000000000001</v>
      </c>
      <c r="AK131" s="359">
        <f t="shared" ref="AK131:AP131" si="117">AJ131*(1+AK132)</f>
        <v>8.9748600000000014</v>
      </c>
      <c r="AL131" s="359">
        <f t="shared" si="117"/>
        <v>9.0646086000000015</v>
      </c>
      <c r="AM131" s="359">
        <f t="shared" si="117"/>
        <v>9.155254686000001</v>
      </c>
      <c r="AN131" s="359">
        <f t="shared" si="117"/>
        <v>9.2468072328600019</v>
      </c>
      <c r="AO131" s="359">
        <f t="shared" si="117"/>
        <v>9.3392753051886022</v>
      </c>
      <c r="AP131" s="359">
        <f t="shared" si="117"/>
        <v>9.4326680582404876</v>
      </c>
      <c r="AQ131" s="359">
        <f t="shared" ref="AQ131" si="118">AP131*(1+AQ132)</f>
        <v>9.5269947388228928</v>
      </c>
      <c r="AR131" s="359">
        <f t="shared" ref="AR131:AS131" si="119">AQ131*(1+AR132)</f>
        <v>9.6222646862111212</v>
      </c>
      <c r="AS131" s="359">
        <f t="shared" si="119"/>
        <v>9.7184873330732326</v>
      </c>
      <c r="AT131" s="360"/>
      <c r="AU131" s="360"/>
    </row>
    <row r="132" spans="1:47" outlineLevel="1">
      <c r="A132" s="308"/>
      <c r="B132" s="347" t="s">
        <v>1099</v>
      </c>
      <c r="C132" s="310" t="s">
        <v>733</v>
      </c>
      <c r="D132" s="310"/>
      <c r="E132" s="310"/>
      <c r="F132" s="310"/>
      <c r="G132" s="310"/>
      <c r="H132" s="310"/>
      <c r="I132" s="310"/>
      <c r="J132" s="310"/>
      <c r="K132" s="311"/>
      <c r="L132" s="311">
        <f t="shared" ref="L132:AJ132" si="120">L131/K131-1</f>
        <v>0.17174105823233821</v>
      </c>
      <c r="M132" s="311">
        <f t="shared" si="120"/>
        <v>2.472250252270447E-2</v>
      </c>
      <c r="N132" s="311">
        <f t="shared" si="120"/>
        <v>5.3914327917282012E-2</v>
      </c>
      <c r="O132" s="311">
        <f t="shared" si="120"/>
        <v>5.1623452464377495E-2</v>
      </c>
      <c r="P132" s="311">
        <f t="shared" si="120"/>
        <v>3.4429142603287444E-2</v>
      </c>
      <c r="Q132" s="311">
        <f t="shared" si="120"/>
        <v>5.9050891131629868E-2</v>
      </c>
      <c r="R132" s="311">
        <f t="shared" si="120"/>
        <v>0.11820762368207616</v>
      </c>
      <c r="S132" s="311">
        <f t="shared" si="120"/>
        <v>8.5222121486854263E-3</v>
      </c>
      <c r="T132" s="311">
        <f t="shared" si="120"/>
        <v>2.9665587918015213E-2</v>
      </c>
      <c r="U132" s="311">
        <f t="shared" si="120"/>
        <v>-5.2383446830801539E-2</v>
      </c>
      <c r="V132" s="311">
        <f t="shared" si="120"/>
        <v>0.11700755481850011</v>
      </c>
      <c r="W132" s="311">
        <f t="shared" si="120"/>
        <v>8.8089739359947128E-2</v>
      </c>
      <c r="X132" s="311">
        <f t="shared" si="120"/>
        <v>6.4129775621588836E-2</v>
      </c>
      <c r="Y132" s="311">
        <f t="shared" si="120"/>
        <v>2.4932326542242533E-2</v>
      </c>
      <c r="Z132" s="311">
        <f t="shared" si="120"/>
        <v>1.5707534056157879E-2</v>
      </c>
      <c r="AA132" s="311">
        <f t="shared" si="120"/>
        <v>1.1769536061311037E-2</v>
      </c>
      <c r="AB132" s="311">
        <v>2.285946165291497E-2</v>
      </c>
      <c r="AC132" s="311">
        <v>4.020100502512558E-2</v>
      </c>
      <c r="AD132" s="311">
        <f t="shared" si="120"/>
        <v>4.8054919908466776E-2</v>
      </c>
      <c r="AE132" s="311">
        <f t="shared" si="120"/>
        <v>2.9112081513828159E-2</v>
      </c>
      <c r="AF132" s="311">
        <f t="shared" si="120"/>
        <v>1.1904761904762085E-2</v>
      </c>
      <c r="AG132" s="311">
        <f t="shared" si="120"/>
        <v>1.80547466511356E-2</v>
      </c>
      <c r="AH132" s="311">
        <f t="shared" si="120"/>
        <v>9.8398169336384456E-3</v>
      </c>
      <c r="AI132" s="311">
        <f t="shared" si="120"/>
        <v>1.3142986630410025E-2</v>
      </c>
      <c r="AJ132" s="311">
        <f t="shared" si="120"/>
        <v>-6.2625810780585489E-3</v>
      </c>
      <c r="AK132" s="621">
        <v>0.01</v>
      </c>
      <c r="AL132" s="621">
        <v>0.01</v>
      </c>
      <c r="AM132" s="621">
        <f>AL132</f>
        <v>0.01</v>
      </c>
      <c r="AN132" s="621">
        <f>AM132</f>
        <v>0.01</v>
      </c>
      <c r="AO132" s="621">
        <f>AN132</f>
        <v>0.01</v>
      </c>
      <c r="AP132" s="621">
        <f>AO132</f>
        <v>0.01</v>
      </c>
      <c r="AQ132" s="621">
        <f t="shared" ref="AQ132:AS132" si="121">AP132</f>
        <v>0.01</v>
      </c>
      <c r="AR132" s="621">
        <f t="shared" si="121"/>
        <v>0.01</v>
      </c>
      <c r="AS132" s="621">
        <f t="shared" si="121"/>
        <v>0.01</v>
      </c>
      <c r="AT132" s="312"/>
      <c r="AU132" s="514"/>
    </row>
    <row r="133" spans="1:47" outlineLevel="1">
      <c r="A133" s="357"/>
      <c r="B133" s="370" t="s">
        <v>257</v>
      </c>
      <c r="C133" s="357" t="s">
        <v>180</v>
      </c>
      <c r="D133" s="357"/>
      <c r="E133" s="357"/>
      <c r="F133" s="357"/>
      <c r="G133" s="357"/>
      <c r="H133" s="357"/>
      <c r="I133" s="357"/>
      <c r="J133" s="357"/>
      <c r="K133" s="359">
        <f>AVERAGE(C131:K131)</f>
        <v>3.383</v>
      </c>
      <c r="L133" s="359">
        <f t="shared" ref="L133:AJ133" si="122">AVERAGE(K131:L131)</f>
        <v>3.6734999999999998</v>
      </c>
      <c r="M133" s="359">
        <f t="shared" si="122"/>
        <v>4.0129999999999999</v>
      </c>
      <c r="N133" s="359">
        <f t="shared" si="122"/>
        <v>4.1715</v>
      </c>
      <c r="O133" s="359">
        <f t="shared" si="122"/>
        <v>4.3914999999999997</v>
      </c>
      <c r="P133" s="359">
        <f t="shared" si="122"/>
        <v>4.5794999999999995</v>
      </c>
      <c r="Q133" s="359">
        <f t="shared" si="122"/>
        <v>4.7945000000000002</v>
      </c>
      <c r="R133" s="359">
        <f t="shared" si="122"/>
        <v>5.2234999999999996</v>
      </c>
      <c r="S133" s="359">
        <f t="shared" si="122"/>
        <v>5.5385</v>
      </c>
      <c r="T133" s="359">
        <f t="shared" si="122"/>
        <v>5.6445000000000007</v>
      </c>
      <c r="U133" s="359">
        <f t="shared" si="122"/>
        <v>5.577</v>
      </c>
      <c r="V133" s="359">
        <f t="shared" si="122"/>
        <v>5.7445000000000004</v>
      </c>
      <c r="W133" s="359">
        <f t="shared" si="122"/>
        <v>6.3290000000000006</v>
      </c>
      <c r="X133" s="359">
        <f t="shared" si="122"/>
        <v>6.8075000000000001</v>
      </c>
      <c r="Y133" s="359">
        <f t="shared" si="122"/>
        <v>7.1065000000000005</v>
      </c>
      <c r="Z133" s="359">
        <f t="shared" si="122"/>
        <v>7.2505000000000006</v>
      </c>
      <c r="AA133" s="359">
        <f t="shared" si="122"/>
        <v>7.35</v>
      </c>
      <c r="AB133" s="359">
        <v>7.4775</v>
      </c>
      <c r="AC133" s="359">
        <v>7.7140000000000004</v>
      </c>
      <c r="AD133" s="359">
        <f t="shared" si="122"/>
        <v>8.0549999999999997</v>
      </c>
      <c r="AE133" s="359">
        <f t="shared" si="122"/>
        <v>8.3640000000000008</v>
      </c>
      <c r="AF133" s="359">
        <f t="shared" si="122"/>
        <v>8.5345000000000013</v>
      </c>
      <c r="AG133" s="359">
        <f t="shared" si="122"/>
        <v>8.6625000000000014</v>
      </c>
      <c r="AH133" s="359">
        <f t="shared" si="122"/>
        <v>8.7830000000000013</v>
      </c>
      <c r="AI133" s="359">
        <f t="shared" si="122"/>
        <v>8.8840000000000003</v>
      </c>
      <c r="AJ133" s="359">
        <f t="shared" si="122"/>
        <v>8.9140000000000015</v>
      </c>
      <c r="AK133" s="359">
        <f t="shared" ref="AK133:AP133" si="123">AVERAGE(AJ131:AK131)</f>
        <v>8.9304300000000012</v>
      </c>
      <c r="AL133" s="359">
        <f t="shared" si="123"/>
        <v>9.0197343000000014</v>
      </c>
      <c r="AM133" s="359">
        <f t="shared" si="123"/>
        <v>9.1099316430000012</v>
      </c>
      <c r="AN133" s="359">
        <f t="shared" si="123"/>
        <v>9.2010309594300015</v>
      </c>
      <c r="AO133" s="359">
        <f t="shared" si="123"/>
        <v>9.2930412690243021</v>
      </c>
      <c r="AP133" s="359">
        <f t="shared" si="123"/>
        <v>9.385971681714544</v>
      </c>
      <c r="AQ133" s="359">
        <f t="shared" ref="AQ133" si="124">AVERAGE(AP131:AQ131)</f>
        <v>9.4798313985316902</v>
      </c>
      <c r="AR133" s="359">
        <f t="shared" ref="AR133:AS133" si="125">AVERAGE(AQ131:AR131)</f>
        <v>9.574629712517007</v>
      </c>
      <c r="AS133" s="359">
        <f t="shared" si="125"/>
        <v>9.670376009642176</v>
      </c>
      <c r="AT133" s="360"/>
      <c r="AU133" s="360"/>
    </row>
    <row r="134" spans="1:47" outlineLevel="1">
      <c r="A134" s="298"/>
      <c r="B134" s="8"/>
      <c r="C134" s="18"/>
      <c r="D134" s="18"/>
      <c r="E134" s="18"/>
      <c r="F134" s="18"/>
      <c r="G134" s="18"/>
      <c r="H134" s="18"/>
      <c r="I134" s="18"/>
      <c r="J134" s="18"/>
      <c r="K134" s="42"/>
      <c r="L134" s="42"/>
      <c r="M134" s="42"/>
      <c r="N134" s="42"/>
      <c r="O134" s="42"/>
      <c r="P134" s="42"/>
      <c r="Q134" s="42"/>
      <c r="R134" s="42"/>
      <c r="S134" s="42"/>
      <c r="T134" s="42"/>
      <c r="U134" s="42"/>
      <c r="V134" s="42"/>
      <c r="W134" s="42"/>
      <c r="X134" s="42"/>
      <c r="Y134" s="28"/>
      <c r="Z134" s="28"/>
      <c r="AA134" s="117"/>
      <c r="AB134" s="42"/>
      <c r="AC134" s="42"/>
      <c r="AD134" s="42"/>
      <c r="AE134" s="42"/>
      <c r="AF134" s="42"/>
      <c r="AG134" s="42"/>
      <c r="AH134" s="42"/>
      <c r="AI134" s="42"/>
      <c r="AJ134" s="42"/>
      <c r="AK134" s="42"/>
      <c r="AL134" s="42"/>
      <c r="AM134" s="42"/>
      <c r="AN134" s="42"/>
      <c r="AO134" s="42"/>
      <c r="AP134" s="42"/>
      <c r="AQ134" s="42"/>
      <c r="AR134" s="42"/>
      <c r="AS134" s="42"/>
      <c r="AT134" s="2"/>
      <c r="AU134" s="2"/>
    </row>
    <row r="135" spans="1:47" outlineLevel="1">
      <c r="A135" s="357"/>
      <c r="B135" s="358" t="s">
        <v>1080</v>
      </c>
      <c r="C135" s="357" t="s">
        <v>772</v>
      </c>
      <c r="D135" s="357"/>
      <c r="E135" s="357"/>
      <c r="F135" s="357"/>
      <c r="G135" s="357"/>
      <c r="H135" s="357"/>
      <c r="I135" s="357"/>
      <c r="J135" s="357"/>
      <c r="K135" s="359">
        <f>K140/K133/12</f>
        <v>61.188294413242687</v>
      </c>
      <c r="L135" s="525">
        <v>59.05</v>
      </c>
      <c r="M135" s="525">
        <v>59.95</v>
      </c>
      <c r="N135" s="525">
        <v>53.08</v>
      </c>
      <c r="O135" s="525">
        <v>51.71</v>
      </c>
      <c r="P135" s="525">
        <v>59.06</v>
      </c>
      <c r="Q135" s="525">
        <v>59.11</v>
      </c>
      <c r="R135" s="525">
        <v>60.32</v>
      </c>
      <c r="S135" s="525">
        <v>65.959999999999994</v>
      </c>
      <c r="T135" s="359">
        <f t="shared" ref="T135:AA135" si="126">T140/(T133*12)</f>
        <v>61.785809194791383</v>
      </c>
      <c r="U135" s="359">
        <f t="shared" si="126"/>
        <v>63.564640487717405</v>
      </c>
      <c r="V135" s="359">
        <f t="shared" si="126"/>
        <v>63.959729596425568</v>
      </c>
      <c r="W135" s="359">
        <f t="shared" si="126"/>
        <v>61.515773950597769</v>
      </c>
      <c r="X135" s="359">
        <f t="shared" si="126"/>
        <v>58.807687599461381</v>
      </c>
      <c r="Y135" s="359">
        <f t="shared" si="126"/>
        <v>58.702127160580687</v>
      </c>
      <c r="Z135" s="419">
        <f t="shared" si="126"/>
        <v>61.938257131692069</v>
      </c>
      <c r="AA135" s="419">
        <f t="shared" si="126"/>
        <v>61.757369614512477</v>
      </c>
      <c r="AB135" s="419">
        <v>60.715479772651285</v>
      </c>
      <c r="AC135" s="419">
        <v>55.569959381211646</v>
      </c>
      <c r="AD135" s="419">
        <f>AD137</f>
        <v>53.61</v>
      </c>
      <c r="AE135" s="419">
        <f t="shared" ref="AE135:AI135" si="127">AE137</f>
        <v>48.96</v>
      </c>
      <c r="AF135" s="419">
        <f t="shared" si="127"/>
        <v>47.16</v>
      </c>
      <c r="AG135" s="419">
        <f t="shared" si="127"/>
        <v>48.53</v>
      </c>
      <c r="AH135" s="419">
        <f t="shared" si="127"/>
        <v>51.15</v>
      </c>
      <c r="AI135" s="419">
        <f t="shared" si="127"/>
        <v>52.85</v>
      </c>
      <c r="AJ135" s="419">
        <f t="shared" ref="AJ135" si="128">AJ137</f>
        <v>54.15</v>
      </c>
      <c r="AK135" s="419">
        <f t="shared" ref="AK135:AP135" si="129">AJ135*(1+AK136)</f>
        <v>56.316000000000003</v>
      </c>
      <c r="AL135" s="419">
        <f t="shared" si="129"/>
        <v>58.005480000000006</v>
      </c>
      <c r="AM135" s="419">
        <f t="shared" si="129"/>
        <v>59.74564440000001</v>
      </c>
      <c r="AN135" s="419">
        <f t="shared" si="129"/>
        <v>61.53801373200001</v>
      </c>
      <c r="AO135" s="419">
        <f t="shared" si="129"/>
        <v>63.384154143960011</v>
      </c>
      <c r="AP135" s="419">
        <f t="shared" si="129"/>
        <v>65.285678768278814</v>
      </c>
      <c r="AQ135" s="419">
        <f t="shared" ref="AQ135" si="130">AP135*(1+AQ136)</f>
        <v>67.24424913132718</v>
      </c>
      <c r="AR135" s="419">
        <f t="shared" ref="AR135:AS135" si="131">AQ135*(1+AR136)</f>
        <v>69.261576605266995</v>
      </c>
      <c r="AS135" s="419">
        <f t="shared" si="131"/>
        <v>71.339423903425001</v>
      </c>
      <c r="AT135" s="360"/>
      <c r="AU135" s="360"/>
    </row>
    <row r="136" spans="1:47" outlineLevel="1">
      <c r="A136" s="308"/>
      <c r="B136" s="347" t="s">
        <v>1099</v>
      </c>
      <c r="C136" s="310" t="s">
        <v>733</v>
      </c>
      <c r="D136" s="310"/>
      <c r="E136" s="310"/>
      <c r="F136" s="310"/>
      <c r="G136" s="310"/>
      <c r="H136" s="310"/>
      <c r="I136" s="310"/>
      <c r="J136" s="310"/>
      <c r="K136" s="311"/>
      <c r="L136" s="311">
        <f t="shared" ref="L136:Z136" si="132">L135/K135-1</f>
        <v>-3.4946135265700562E-2</v>
      </c>
      <c r="M136" s="311">
        <f t="shared" si="132"/>
        <v>1.5241320914479273E-2</v>
      </c>
      <c r="N136" s="311">
        <f t="shared" si="132"/>
        <v>-0.11459549624687249</v>
      </c>
      <c r="O136" s="311">
        <f t="shared" si="132"/>
        <v>-2.5810097965335288E-2</v>
      </c>
      <c r="P136" s="311">
        <f t="shared" si="132"/>
        <v>0.14213885128601822</v>
      </c>
      <c r="Q136" s="311">
        <f t="shared" si="132"/>
        <v>8.4659668134090538E-4</v>
      </c>
      <c r="R136" s="311">
        <f t="shared" si="132"/>
        <v>2.0470309592285574E-2</v>
      </c>
      <c r="S136" s="311">
        <f t="shared" si="132"/>
        <v>9.3501326259946893E-2</v>
      </c>
      <c r="T136" s="311">
        <f t="shared" si="132"/>
        <v>-6.3283668969202678E-2</v>
      </c>
      <c r="U136" s="311">
        <f t="shared" si="132"/>
        <v>2.8790288839916744E-2</v>
      </c>
      <c r="V136" s="311">
        <f t="shared" si="132"/>
        <v>6.2155485451775849E-3</v>
      </c>
      <c r="W136" s="311">
        <f t="shared" si="132"/>
        <v>-3.8210850190404488E-2</v>
      </c>
      <c r="X136" s="311">
        <f t="shared" si="132"/>
        <v>-4.4022633175536452E-2</v>
      </c>
      <c r="Y136" s="311">
        <f t="shared" si="132"/>
        <v>-1.795010876803449E-3</v>
      </c>
      <c r="Z136" s="311">
        <f t="shared" si="132"/>
        <v>5.5127984753583048E-2</v>
      </c>
      <c r="AA136" s="311">
        <f t="shared" ref="AA136:AJ136" si="133">AA135/Z135-1</f>
        <v>-2.9204489366724262E-3</v>
      </c>
      <c r="AB136" s="311">
        <v>-1.6870696539775465E-2</v>
      </c>
      <c r="AC136" s="311">
        <v>-8.4748080896453581E-2</v>
      </c>
      <c r="AD136" s="311">
        <f t="shared" si="133"/>
        <v>-3.5270124416796222E-2</v>
      </c>
      <c r="AE136" s="311">
        <f t="shared" si="133"/>
        <v>-8.6737548964745392E-2</v>
      </c>
      <c r="AF136" s="311">
        <f t="shared" si="133"/>
        <v>-3.6764705882353033E-2</v>
      </c>
      <c r="AG136" s="311">
        <f t="shared" si="133"/>
        <v>2.9050042408821142E-2</v>
      </c>
      <c r="AH136" s="311">
        <f t="shared" si="133"/>
        <v>5.3987224397279876E-2</v>
      </c>
      <c r="AI136" s="311">
        <f t="shared" si="133"/>
        <v>3.3235581622678367E-2</v>
      </c>
      <c r="AJ136" s="311">
        <f t="shared" si="133"/>
        <v>2.4597918637653704E-2</v>
      </c>
      <c r="AK136" s="621">
        <v>0.04</v>
      </c>
      <c r="AL136" s="621">
        <v>0.03</v>
      </c>
      <c r="AM136" s="621">
        <v>0.03</v>
      </c>
      <c r="AN136" s="621">
        <f t="shared" ref="AN136:AP136" si="134">AM136</f>
        <v>0.03</v>
      </c>
      <c r="AO136" s="621">
        <f t="shared" si="134"/>
        <v>0.03</v>
      </c>
      <c r="AP136" s="621">
        <f t="shared" si="134"/>
        <v>0.03</v>
      </c>
      <c r="AQ136" s="621">
        <f t="shared" ref="AQ136" si="135">AP136</f>
        <v>0.03</v>
      </c>
      <c r="AR136" s="621">
        <f t="shared" ref="AR136:AS136" si="136">AQ136</f>
        <v>0.03</v>
      </c>
      <c r="AS136" s="621">
        <f t="shared" si="136"/>
        <v>0.03</v>
      </c>
      <c r="AT136" s="312"/>
      <c r="AU136" s="514"/>
    </row>
    <row r="137" spans="1:47" outlineLevel="1">
      <c r="A137" s="357"/>
      <c r="B137" s="358" t="s">
        <v>1213</v>
      </c>
      <c r="C137" s="357" t="s">
        <v>772</v>
      </c>
      <c r="D137" s="357"/>
      <c r="E137" s="357"/>
      <c r="F137" s="357"/>
      <c r="G137" s="357"/>
      <c r="H137" s="357"/>
      <c r="I137" s="357"/>
      <c r="J137" s="357"/>
      <c r="K137" s="359"/>
      <c r="L137" s="525"/>
      <c r="M137" s="525"/>
      <c r="N137" s="525"/>
      <c r="O137" s="525"/>
      <c r="P137" s="525"/>
      <c r="Q137" s="525"/>
      <c r="R137" s="525"/>
      <c r="S137" s="525"/>
      <c r="T137" s="359"/>
      <c r="U137" s="359"/>
      <c r="V137" s="359"/>
      <c r="W137" s="359"/>
      <c r="X137" s="359"/>
      <c r="Y137" s="359"/>
      <c r="Z137" s="359"/>
      <c r="AA137" s="359"/>
      <c r="AB137" s="359"/>
      <c r="AC137" s="525">
        <v>55.55</v>
      </c>
      <c r="AD137" s="525">
        <v>53.61</v>
      </c>
      <c r="AE137" s="525">
        <v>48.96</v>
      </c>
      <c r="AF137" s="525">
        <v>47.16</v>
      </c>
      <c r="AG137" s="525">
        <v>48.53</v>
      </c>
      <c r="AH137" s="525">
        <v>51.15</v>
      </c>
      <c r="AI137" s="525">
        <v>52.85</v>
      </c>
      <c r="AJ137" s="525">
        <v>54.15</v>
      </c>
      <c r="AK137" s="525"/>
      <c r="AL137" s="525"/>
      <c r="AM137" s="525"/>
      <c r="AN137" s="525"/>
      <c r="AO137" s="525"/>
      <c r="AP137" s="525"/>
      <c r="AQ137" s="525"/>
      <c r="AR137" s="525"/>
      <c r="AS137" s="525"/>
      <c r="AT137" s="360"/>
      <c r="AU137" s="360"/>
    </row>
    <row r="138" spans="1:47" outlineLevel="1">
      <c r="A138" s="308"/>
      <c r="B138" s="347" t="s">
        <v>1214</v>
      </c>
      <c r="C138" s="310" t="s">
        <v>733</v>
      </c>
      <c r="D138" s="310"/>
      <c r="E138" s="310"/>
      <c r="F138" s="310"/>
      <c r="G138" s="310"/>
      <c r="H138" s="310"/>
      <c r="I138" s="310"/>
      <c r="J138" s="310"/>
      <c r="K138" s="311"/>
      <c r="L138" s="311"/>
      <c r="M138" s="311"/>
      <c r="N138" s="311"/>
      <c r="O138" s="311"/>
      <c r="P138" s="311"/>
      <c r="Q138" s="311"/>
      <c r="R138" s="311"/>
      <c r="S138" s="311"/>
      <c r="T138" s="311"/>
      <c r="U138" s="311"/>
      <c r="V138" s="311"/>
      <c r="W138" s="311"/>
      <c r="X138" s="311"/>
      <c r="Y138" s="311"/>
      <c r="Z138" s="311"/>
      <c r="AA138" s="311"/>
      <c r="AB138" s="311"/>
      <c r="AC138" s="311">
        <v>-3.5917573872468189E-4</v>
      </c>
      <c r="AD138" s="311">
        <f>+AD137/AD135-1</f>
        <v>0</v>
      </c>
      <c r="AE138" s="311">
        <f>+AE137/AE135-1</f>
        <v>0</v>
      </c>
      <c r="AF138" s="311">
        <f>+AF137/AF135-1</f>
        <v>0</v>
      </c>
      <c r="AG138" s="311"/>
      <c r="AH138" s="311"/>
      <c r="AI138" s="311"/>
      <c r="AJ138" s="311"/>
      <c r="AK138" s="311"/>
      <c r="AL138" s="311"/>
      <c r="AM138" s="311"/>
      <c r="AN138" s="311"/>
      <c r="AO138" s="311"/>
      <c r="AP138" s="311"/>
      <c r="AQ138" s="311"/>
      <c r="AR138" s="311"/>
      <c r="AS138" s="311"/>
      <c r="AT138" s="312"/>
      <c r="AU138" s="514"/>
    </row>
    <row r="139" spans="1:47" outlineLevel="1">
      <c r="A139" s="298"/>
      <c r="B139" s="55"/>
      <c r="C139" s="18"/>
      <c r="D139" s="18"/>
      <c r="E139" s="18"/>
      <c r="F139" s="18"/>
      <c r="G139" s="18"/>
      <c r="H139" s="18"/>
      <c r="I139" s="18"/>
      <c r="J139" s="18"/>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c r="AL139" s="7"/>
      <c r="AM139" s="7"/>
      <c r="AN139" s="7"/>
      <c r="AO139" s="7"/>
      <c r="AP139" s="7"/>
      <c r="AQ139" s="7"/>
      <c r="AR139" s="7"/>
      <c r="AS139" s="7"/>
      <c r="AT139" s="2"/>
      <c r="AU139" s="2"/>
    </row>
    <row r="140" spans="1:47" outlineLevel="1">
      <c r="A140" s="371"/>
      <c r="B140" s="372" t="s">
        <v>1195</v>
      </c>
      <c r="C140" s="371" t="s">
        <v>732</v>
      </c>
      <c r="D140" s="371"/>
      <c r="E140" s="371"/>
      <c r="F140" s="371"/>
      <c r="G140" s="371"/>
      <c r="H140" s="371"/>
      <c r="I140" s="371"/>
      <c r="J140" s="371"/>
      <c r="K140" s="526">
        <v>2484</v>
      </c>
      <c r="L140" s="373">
        <f t="shared" ref="L140:R140" si="137">L135*L133*12</f>
        <v>2603.0420999999997</v>
      </c>
      <c r="M140" s="373">
        <f t="shared" si="137"/>
        <v>2886.9522000000002</v>
      </c>
      <c r="N140" s="373">
        <f t="shared" si="137"/>
        <v>2657.0786399999997</v>
      </c>
      <c r="O140" s="373">
        <f t="shared" si="137"/>
        <v>2725.0135799999998</v>
      </c>
      <c r="P140" s="373">
        <f t="shared" si="137"/>
        <v>3245.5832399999999</v>
      </c>
      <c r="Q140" s="373">
        <f t="shared" si="137"/>
        <v>3400.8347400000002</v>
      </c>
      <c r="R140" s="373">
        <f t="shared" si="137"/>
        <v>3780.9782399999995</v>
      </c>
      <c r="S140" s="373">
        <f>S135*S133*12-20</f>
        <v>4363.8335200000001</v>
      </c>
      <c r="T140" s="526">
        <v>4185</v>
      </c>
      <c r="U140" s="526">
        <v>4254</v>
      </c>
      <c r="V140" s="526">
        <v>4409</v>
      </c>
      <c r="W140" s="526">
        <v>4672</v>
      </c>
      <c r="X140" s="526">
        <v>4804</v>
      </c>
      <c r="Y140" s="526">
        <v>5006</v>
      </c>
      <c r="Z140" s="526">
        <v>5389</v>
      </c>
      <c r="AA140" s="526">
        <v>5447</v>
      </c>
      <c r="AB140" s="526">
        <v>5448</v>
      </c>
      <c r="AC140" s="526">
        <v>5144</v>
      </c>
      <c r="AD140" s="526">
        <v>5182</v>
      </c>
      <c r="AE140" s="526">
        <v>4913</v>
      </c>
      <c r="AF140" s="526">
        <v>4830</v>
      </c>
      <c r="AG140" s="526">
        <v>5045</v>
      </c>
      <c r="AH140" s="526">
        <v>5391</v>
      </c>
      <c r="AI140" s="526">
        <v>5634</v>
      </c>
      <c r="AJ140" s="526">
        <v>5793</v>
      </c>
      <c r="AK140" s="373">
        <f t="shared" ref="AK140:AO140" si="138">AK135*AK133*12</f>
        <v>6035.1131505600015</v>
      </c>
      <c r="AL140" s="373">
        <f t="shared" si="138"/>
        <v>6278.3282105275703</v>
      </c>
      <c r="AM140" s="373">
        <f t="shared" si="138"/>
        <v>6531.3448374118307</v>
      </c>
      <c r="AN140" s="373">
        <f t="shared" si="138"/>
        <v>6794.5580343595275</v>
      </c>
      <c r="AO140" s="373">
        <f t="shared" si="138"/>
        <v>7068.3787231442184</v>
      </c>
      <c r="AP140" s="373">
        <f>AP135*AP133*12</f>
        <v>7353.2343856869293</v>
      </c>
      <c r="AQ140" s="373">
        <f t="shared" ref="AQ140:AR140" si="139">AQ135*AQ133*12</f>
        <v>7649.5697314301124</v>
      </c>
      <c r="AR140" s="373">
        <f t="shared" si="139"/>
        <v>7957.8473916067469</v>
      </c>
      <c r="AS140" s="373">
        <f t="shared" ref="AS140" si="140">AS135*AS133*12</f>
        <v>8278.5486414884981</v>
      </c>
      <c r="AT140" s="374"/>
      <c r="AU140" s="374"/>
    </row>
    <row r="141" spans="1:47" outlineLevel="1">
      <c r="A141" s="308"/>
      <c r="B141" s="347" t="s">
        <v>1099</v>
      </c>
      <c r="C141" s="310" t="s">
        <v>733</v>
      </c>
      <c r="D141" s="310"/>
      <c r="E141" s="310"/>
      <c r="F141" s="310"/>
      <c r="G141" s="310"/>
      <c r="H141" s="310"/>
      <c r="I141" s="310"/>
      <c r="J141" s="310"/>
      <c r="K141" s="311"/>
      <c r="L141" s="311">
        <f t="shared" ref="L141:AJ141" si="141">L140/K140-1</f>
        <v>4.7923550724637609E-2</v>
      </c>
      <c r="M141" s="311">
        <f t="shared" si="141"/>
        <v>0.1090685778766316</v>
      </c>
      <c r="N141" s="311">
        <f t="shared" si="141"/>
        <v>-7.9624996908504553E-2</v>
      </c>
      <c r="O141" s="311">
        <f t="shared" si="141"/>
        <v>2.5567530812712347E-2</v>
      </c>
      <c r="P141" s="311">
        <f t="shared" si="141"/>
        <v>0.19103378560043738</v>
      </c>
      <c r="Q141" s="311">
        <f t="shared" si="141"/>
        <v>4.7834699811920567E-2</v>
      </c>
      <c r="R141" s="311">
        <f t="shared" si="141"/>
        <v>0.11177946859011412</v>
      </c>
      <c r="S141" s="311">
        <f t="shared" si="141"/>
        <v>0.15415462428051452</v>
      </c>
      <c r="T141" s="311">
        <f t="shared" si="141"/>
        <v>-4.0980830084462072E-2</v>
      </c>
      <c r="U141" s="311">
        <f t="shared" si="141"/>
        <v>1.6487455197132572E-2</v>
      </c>
      <c r="V141" s="311">
        <f t="shared" si="141"/>
        <v>3.6436295251528028E-2</v>
      </c>
      <c r="W141" s="311">
        <f t="shared" si="141"/>
        <v>5.9650714447720521E-2</v>
      </c>
      <c r="X141" s="311">
        <f t="shared" si="141"/>
        <v>2.8253424657534332E-2</v>
      </c>
      <c r="Y141" s="311">
        <f t="shared" si="141"/>
        <v>4.2048293089092414E-2</v>
      </c>
      <c r="Z141" s="311">
        <f t="shared" si="141"/>
        <v>7.6508190171793888E-2</v>
      </c>
      <c r="AA141" s="311">
        <f t="shared" si="141"/>
        <v>1.0762664687326007E-2</v>
      </c>
      <c r="AB141" s="311">
        <v>1.8358729575917998E-4</v>
      </c>
      <c r="AC141" s="311">
        <v>-5.580029368575623E-2</v>
      </c>
      <c r="AD141" s="311">
        <f t="shared" si="141"/>
        <v>7.3872472783826915E-3</v>
      </c>
      <c r="AE141" s="311">
        <f t="shared" si="141"/>
        <v>-5.191045928213045E-2</v>
      </c>
      <c r="AF141" s="311">
        <f t="shared" si="141"/>
        <v>-1.6893954813759438E-2</v>
      </c>
      <c r="AG141" s="311">
        <f t="shared" si="141"/>
        <v>4.451345755693592E-2</v>
      </c>
      <c r="AH141" s="311">
        <f t="shared" si="141"/>
        <v>6.8582755203171475E-2</v>
      </c>
      <c r="AI141" s="311">
        <f t="shared" si="141"/>
        <v>4.5075125208681177E-2</v>
      </c>
      <c r="AJ141" s="311">
        <f t="shared" si="141"/>
        <v>2.8221512247071256E-2</v>
      </c>
      <c r="AK141" s="311">
        <f t="shared" ref="AK141:AP141" si="142">AK140/AJ140-1</f>
        <v>4.1794087788710854E-2</v>
      </c>
      <c r="AL141" s="311">
        <f t="shared" si="142"/>
        <v>4.0300000000000225E-2</v>
      </c>
      <c r="AM141" s="311">
        <f t="shared" si="142"/>
        <v>4.0300000000000002E-2</v>
      </c>
      <c r="AN141" s="311">
        <f t="shared" si="142"/>
        <v>4.0300000000000002E-2</v>
      </c>
      <c r="AO141" s="311">
        <f t="shared" si="142"/>
        <v>4.0300000000000225E-2</v>
      </c>
      <c r="AP141" s="311">
        <f t="shared" si="142"/>
        <v>4.029999999999978E-2</v>
      </c>
      <c r="AQ141" s="311">
        <f t="shared" ref="AQ141" si="143">AQ140/AP140-1</f>
        <v>4.0300000000000002E-2</v>
      </c>
      <c r="AR141" s="311">
        <f t="shared" ref="AR141:AS141" si="144">AR140/AQ140-1</f>
        <v>4.0300000000000225E-2</v>
      </c>
      <c r="AS141" s="311">
        <f t="shared" si="144"/>
        <v>4.0300000000000002E-2</v>
      </c>
      <c r="AT141" s="312"/>
      <c r="AU141" s="514"/>
    </row>
    <row r="142" spans="1:47" outlineLevel="1">
      <c r="A142" s="298"/>
      <c r="B142" s="2"/>
      <c r="C142" s="18"/>
      <c r="D142" s="18"/>
      <c r="E142" s="18"/>
      <c r="F142" s="18"/>
      <c r="G142" s="18"/>
      <c r="H142" s="18"/>
      <c r="I142" s="18"/>
      <c r="J142" s="18"/>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1201"/>
      <c r="AK142" s="1201"/>
      <c r="AL142" s="1201"/>
      <c r="AM142" s="7"/>
      <c r="AN142" s="7"/>
      <c r="AO142" s="7"/>
      <c r="AP142" s="7"/>
      <c r="AQ142" s="7"/>
      <c r="AR142" s="7"/>
      <c r="AS142" s="7"/>
      <c r="AT142" s="2"/>
      <c r="AU142" s="2"/>
    </row>
    <row r="143" spans="1:47" ht="14.4" outlineLevel="1">
      <c r="A143" s="298"/>
      <c r="B143" s="348" t="s">
        <v>1217</v>
      </c>
      <c r="C143" s="349"/>
      <c r="D143" s="349"/>
      <c r="E143" s="349"/>
      <c r="F143" s="349"/>
      <c r="G143" s="349"/>
      <c r="H143" s="349"/>
      <c r="I143" s="349"/>
      <c r="J143" s="349"/>
      <c r="K143" s="350"/>
      <c r="L143" s="350"/>
      <c r="M143" s="350"/>
      <c r="N143" s="350"/>
      <c r="O143" s="350"/>
      <c r="P143" s="350"/>
      <c r="Q143" s="350"/>
      <c r="R143" s="350"/>
      <c r="S143" s="350"/>
      <c r="T143" s="350"/>
      <c r="U143" s="350"/>
      <c r="V143" s="350"/>
      <c r="W143" s="351"/>
      <c r="X143" s="352"/>
      <c r="Y143" s="352"/>
      <c r="Z143" s="351"/>
      <c r="AA143" s="350"/>
      <c r="AB143" s="353"/>
      <c r="AC143" s="353"/>
      <c r="AD143" s="353"/>
      <c r="AE143" s="353"/>
      <c r="AF143" s="353"/>
      <c r="AG143" s="353"/>
      <c r="AH143" s="353"/>
      <c r="AI143" s="353"/>
      <c r="AJ143" s="353"/>
      <c r="AK143" s="353"/>
      <c r="AL143" s="353"/>
      <c r="AM143" s="353"/>
      <c r="AN143" s="353"/>
      <c r="AO143" s="353"/>
      <c r="AP143" s="353"/>
      <c r="AQ143" s="353"/>
      <c r="AR143" s="353"/>
      <c r="AS143" s="353"/>
      <c r="AT143" s="2"/>
      <c r="AU143" s="2"/>
    </row>
    <row r="144" spans="1:47" outlineLevel="1">
      <c r="A144" s="298"/>
      <c r="B144" s="2"/>
      <c r="C144" s="18"/>
      <c r="D144" s="18"/>
      <c r="E144" s="18"/>
      <c r="F144" s="18"/>
      <c r="G144" s="18"/>
      <c r="H144" s="18"/>
      <c r="I144" s="18"/>
      <c r="J144" s="18"/>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c r="AL144" s="7"/>
      <c r="AM144" s="7"/>
      <c r="AN144" s="7"/>
      <c r="AO144" s="7"/>
      <c r="AP144" s="7"/>
      <c r="AQ144" s="7"/>
      <c r="AR144" s="7"/>
      <c r="AS144" s="7"/>
      <c r="AT144" s="2"/>
      <c r="AU144" s="2"/>
    </row>
    <row r="145" spans="1:47" outlineLevel="1">
      <c r="A145" s="357"/>
      <c r="B145" s="367" t="s">
        <v>258</v>
      </c>
      <c r="C145" s="357" t="s">
        <v>180</v>
      </c>
      <c r="D145" s="357"/>
      <c r="E145" s="357"/>
      <c r="F145" s="357"/>
      <c r="G145" s="357"/>
      <c r="H145" s="357"/>
      <c r="I145" s="357"/>
      <c r="J145" s="357"/>
      <c r="K145" s="525">
        <v>0.74299999999999999</v>
      </c>
      <c r="L145" s="525">
        <v>1.212</v>
      </c>
      <c r="M145" s="525">
        <v>1.88</v>
      </c>
      <c r="N145" s="525">
        <v>2.2879999999999998</v>
      </c>
      <c r="O145" s="525">
        <v>3.1019999999999999</v>
      </c>
      <c r="P145" s="525">
        <v>3.57</v>
      </c>
      <c r="Q145" s="525">
        <v>3.597</v>
      </c>
      <c r="R145" s="525">
        <v>3.6970000000000001</v>
      </c>
      <c r="S145" s="527">
        <v>3.1849999999999996</v>
      </c>
      <c r="T145" s="525">
        <v>3.4179999999999993</v>
      </c>
      <c r="U145" s="525">
        <v>3.0979999999999999</v>
      </c>
      <c r="V145" s="525">
        <v>3.1920000000000002</v>
      </c>
      <c r="W145" s="525">
        <v>3.2669999999999999</v>
      </c>
      <c r="X145" s="525">
        <v>3.4860000000000002</v>
      </c>
      <c r="Y145" s="525">
        <v>3.8450000000000002</v>
      </c>
      <c r="Z145" s="359">
        <f>Z522-Z131-Z159</f>
        <v>3.9529999999999972</v>
      </c>
      <c r="AA145" s="359">
        <f>AA522-AA131-AA159</f>
        <v>3.9430000000000001</v>
      </c>
      <c r="AB145" s="359">
        <v>3.6939999999999977</v>
      </c>
      <c r="AC145" s="359">
        <v>3.3860000000000019</v>
      </c>
      <c r="AD145" s="359">
        <f>AD522-AD131-AD159</f>
        <v>3.3350000000000017</v>
      </c>
      <c r="AE145" s="359">
        <f>+AE190-AE131-AE159-AE173-AE526</f>
        <v>3.3189999999999995</v>
      </c>
      <c r="AF145" s="359">
        <f>+AF190-AF131-AF159-AF173-AF526</f>
        <v>3.1588749999999992</v>
      </c>
      <c r="AG145" s="359">
        <f>+AG190-AG131-AG159-AG173-AG526</f>
        <v>4.6161328124999992</v>
      </c>
      <c r="AH145" s="359">
        <v>3.7389999999999999</v>
      </c>
      <c r="AI145" s="525">
        <v>3.774</v>
      </c>
      <c r="AJ145" s="525">
        <v>3.698</v>
      </c>
      <c r="AK145" s="359">
        <f t="shared" ref="AK145:AP145" si="145">AJ145*(1+AK146)</f>
        <v>3.7053959999999999</v>
      </c>
      <c r="AL145" s="359">
        <f t="shared" si="145"/>
        <v>3.7128067919999999</v>
      </c>
      <c r="AM145" s="359">
        <f t="shared" si="145"/>
        <v>3.7202324055839999</v>
      </c>
      <c r="AN145" s="359">
        <f t="shared" si="145"/>
        <v>3.727672870395168</v>
      </c>
      <c r="AO145" s="359">
        <f t="shared" si="145"/>
        <v>3.7351282161359585</v>
      </c>
      <c r="AP145" s="359">
        <f t="shared" si="145"/>
        <v>3.7425984725682304</v>
      </c>
      <c r="AQ145" s="359">
        <f t="shared" ref="AQ145" si="146">AP145*(1+AQ146)</f>
        <v>3.750083669513367</v>
      </c>
      <c r="AR145" s="359">
        <f t="shared" ref="AR145:AS145" si="147">AQ145*(1+AR146)</f>
        <v>3.7575838368523939</v>
      </c>
      <c r="AS145" s="359">
        <f t="shared" si="147"/>
        <v>3.7650990045260988</v>
      </c>
      <c r="AT145" s="360"/>
      <c r="AU145" s="360"/>
    </row>
    <row r="146" spans="1:47" outlineLevel="1">
      <c r="A146" s="308"/>
      <c r="B146" s="347" t="s">
        <v>1099</v>
      </c>
      <c r="C146" s="310" t="s">
        <v>733</v>
      </c>
      <c r="D146" s="310"/>
      <c r="E146" s="310"/>
      <c r="F146" s="310"/>
      <c r="G146" s="310"/>
      <c r="H146" s="310"/>
      <c r="I146" s="310"/>
      <c r="J146" s="310"/>
      <c r="K146" s="311"/>
      <c r="L146" s="311">
        <f t="shared" ref="L146:AJ146" si="148">L145/K145-1</f>
        <v>0.6312247644683715</v>
      </c>
      <c r="M146" s="311">
        <f t="shared" si="148"/>
        <v>0.55115511551155105</v>
      </c>
      <c r="N146" s="311">
        <f t="shared" si="148"/>
        <v>0.21702127659574466</v>
      </c>
      <c r="O146" s="311">
        <f t="shared" si="148"/>
        <v>0.35576923076923084</v>
      </c>
      <c r="P146" s="311">
        <f t="shared" si="148"/>
        <v>0.15087040618955516</v>
      </c>
      <c r="Q146" s="311">
        <f t="shared" si="148"/>
        <v>7.5630252100840067E-3</v>
      </c>
      <c r="R146" s="311">
        <f t="shared" si="148"/>
        <v>2.7800945232137941E-2</v>
      </c>
      <c r="S146" s="311">
        <f t="shared" si="148"/>
        <v>-0.1384906681092779</v>
      </c>
      <c r="T146" s="311">
        <f t="shared" si="148"/>
        <v>7.3155416012558705E-2</v>
      </c>
      <c r="U146" s="311">
        <f t="shared" si="148"/>
        <v>-9.362200117027486E-2</v>
      </c>
      <c r="V146" s="311">
        <f t="shared" si="148"/>
        <v>3.0342156229825834E-2</v>
      </c>
      <c r="W146" s="311">
        <f t="shared" si="148"/>
        <v>2.3496240601503571E-2</v>
      </c>
      <c r="X146" s="311">
        <f t="shared" si="148"/>
        <v>6.7033976124885264E-2</v>
      </c>
      <c r="Y146" s="311">
        <f t="shared" si="148"/>
        <v>0.10298336201950664</v>
      </c>
      <c r="Z146" s="311">
        <f t="shared" si="148"/>
        <v>2.8088426527957511E-2</v>
      </c>
      <c r="AA146" s="311">
        <f t="shared" si="148"/>
        <v>-2.529724260054933E-3</v>
      </c>
      <c r="AB146" s="311">
        <v>-6.3149885873700851E-2</v>
      </c>
      <c r="AC146" s="311">
        <v>-8.3378451543041687E-2</v>
      </c>
      <c r="AD146" s="311">
        <f t="shared" si="148"/>
        <v>-1.5062020082693528E-2</v>
      </c>
      <c r="AE146" s="311">
        <f t="shared" si="148"/>
        <v>-4.7976011994009804E-3</v>
      </c>
      <c r="AF146" s="311">
        <f t="shared" si="148"/>
        <v>-4.8244953299186544E-2</v>
      </c>
      <c r="AG146" s="311">
        <f t="shared" si="148"/>
        <v>0.46132177199161095</v>
      </c>
      <c r="AH146" s="311">
        <f t="shared" si="148"/>
        <v>-0.19001463955387432</v>
      </c>
      <c r="AI146" s="311">
        <f t="shared" si="148"/>
        <v>9.3607916555229487E-3</v>
      </c>
      <c r="AJ146" s="311">
        <f t="shared" si="148"/>
        <v>-2.0137784843667239E-2</v>
      </c>
      <c r="AK146" s="621">
        <v>2E-3</v>
      </c>
      <c r="AL146" s="621">
        <v>2E-3</v>
      </c>
      <c r="AM146" s="621">
        <v>2E-3</v>
      </c>
      <c r="AN146" s="621">
        <v>2E-3</v>
      </c>
      <c r="AO146" s="621">
        <v>2E-3</v>
      </c>
      <c r="AP146" s="621">
        <v>2E-3</v>
      </c>
      <c r="AQ146" s="621">
        <v>2E-3</v>
      </c>
      <c r="AR146" s="621">
        <v>2E-3</v>
      </c>
      <c r="AS146" s="621">
        <v>2E-3</v>
      </c>
      <c r="AT146" s="312"/>
      <c r="AU146" s="514"/>
    </row>
    <row r="147" spans="1:47" outlineLevel="1">
      <c r="A147" s="357"/>
      <c r="B147" s="370" t="s">
        <v>259</v>
      </c>
      <c r="C147" s="357" t="s">
        <v>180</v>
      </c>
      <c r="D147" s="357"/>
      <c r="E147" s="357"/>
      <c r="F147" s="357"/>
      <c r="G147" s="357"/>
      <c r="H147" s="357"/>
      <c r="I147" s="357"/>
      <c r="J147" s="357"/>
      <c r="K147" s="359">
        <f>AVERAGE(C145:K145)</f>
        <v>0.74299999999999999</v>
      </c>
      <c r="L147" s="359">
        <f t="shared" ref="L147:AJ147" si="149">AVERAGE(K145:L145)</f>
        <v>0.97750000000000004</v>
      </c>
      <c r="M147" s="359">
        <f t="shared" si="149"/>
        <v>1.5459999999999998</v>
      </c>
      <c r="N147" s="359">
        <f t="shared" si="149"/>
        <v>2.0839999999999996</v>
      </c>
      <c r="O147" s="359">
        <f t="shared" si="149"/>
        <v>2.6949999999999998</v>
      </c>
      <c r="P147" s="359">
        <f t="shared" si="149"/>
        <v>3.3359999999999999</v>
      </c>
      <c r="Q147" s="359">
        <f t="shared" si="149"/>
        <v>3.5834999999999999</v>
      </c>
      <c r="R147" s="359">
        <f t="shared" si="149"/>
        <v>3.6470000000000002</v>
      </c>
      <c r="S147" s="359">
        <f t="shared" si="149"/>
        <v>3.4409999999999998</v>
      </c>
      <c r="T147" s="359">
        <f t="shared" si="149"/>
        <v>3.3014999999999994</v>
      </c>
      <c r="U147" s="359">
        <f t="shared" si="149"/>
        <v>3.2579999999999996</v>
      </c>
      <c r="V147" s="359">
        <f t="shared" si="149"/>
        <v>3.145</v>
      </c>
      <c r="W147" s="359">
        <f t="shared" si="149"/>
        <v>3.2294999999999998</v>
      </c>
      <c r="X147" s="359">
        <f t="shared" si="149"/>
        <v>3.3765000000000001</v>
      </c>
      <c r="Y147" s="359">
        <f t="shared" si="149"/>
        <v>3.6655000000000002</v>
      </c>
      <c r="Z147" s="359">
        <f t="shared" si="149"/>
        <v>3.8989999999999987</v>
      </c>
      <c r="AA147" s="359">
        <f t="shared" si="149"/>
        <v>3.9479999999999986</v>
      </c>
      <c r="AB147" s="359">
        <v>3.8184999999999989</v>
      </c>
      <c r="AC147" s="359">
        <v>3.54</v>
      </c>
      <c r="AD147" s="359">
        <f t="shared" si="149"/>
        <v>3.3605000000000018</v>
      </c>
      <c r="AE147" s="359">
        <f t="shared" si="149"/>
        <v>3.3270000000000008</v>
      </c>
      <c r="AF147" s="359">
        <f t="shared" si="149"/>
        <v>3.2389374999999996</v>
      </c>
      <c r="AG147" s="359">
        <f t="shared" si="149"/>
        <v>3.8875039062499992</v>
      </c>
      <c r="AH147" s="359">
        <f t="shared" si="149"/>
        <v>4.1775664062499995</v>
      </c>
      <c r="AI147" s="359">
        <f t="shared" si="149"/>
        <v>3.7565</v>
      </c>
      <c r="AJ147" s="359">
        <f t="shared" si="149"/>
        <v>3.7359999999999998</v>
      </c>
      <c r="AK147" s="359">
        <f t="shared" ref="AK147:AP147" si="150">AVERAGE(AJ145:AK145)</f>
        <v>3.7016979999999999</v>
      </c>
      <c r="AL147" s="359">
        <f t="shared" si="150"/>
        <v>3.7091013959999999</v>
      </c>
      <c r="AM147" s="359">
        <f t="shared" si="150"/>
        <v>3.7165195987919999</v>
      </c>
      <c r="AN147" s="359">
        <f t="shared" si="150"/>
        <v>3.723952637989584</v>
      </c>
      <c r="AO147" s="359">
        <f t="shared" si="150"/>
        <v>3.731400543265563</v>
      </c>
      <c r="AP147" s="359">
        <f t="shared" si="150"/>
        <v>3.7388633443520947</v>
      </c>
      <c r="AQ147" s="359">
        <f t="shared" ref="AQ147" si="151">AVERAGE(AP145:AQ145)</f>
        <v>3.7463410710407987</v>
      </c>
      <c r="AR147" s="359">
        <f t="shared" ref="AR147:AS147" si="152">AVERAGE(AQ145:AR145)</f>
        <v>3.7538337531828807</v>
      </c>
      <c r="AS147" s="359">
        <f t="shared" si="152"/>
        <v>3.7613414206892464</v>
      </c>
      <c r="AT147" s="360"/>
      <c r="AU147" s="360"/>
    </row>
    <row r="148" spans="1:47" outlineLevel="1">
      <c r="A148" s="298"/>
      <c r="B148" s="336"/>
      <c r="C148" s="18"/>
      <c r="D148" s="18"/>
      <c r="E148" s="18"/>
      <c r="F148" s="18"/>
      <c r="G148" s="18"/>
      <c r="H148" s="18"/>
      <c r="I148" s="18"/>
      <c r="J148" s="18"/>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2"/>
      <c r="AU148" s="2"/>
    </row>
    <row r="149" spans="1:47" outlineLevel="1">
      <c r="A149" s="357"/>
      <c r="B149" s="358" t="s">
        <v>1066</v>
      </c>
      <c r="C149" s="357" t="s">
        <v>772</v>
      </c>
      <c r="D149" s="357"/>
      <c r="E149" s="357"/>
      <c r="F149" s="357"/>
      <c r="G149" s="357"/>
      <c r="H149" s="357"/>
      <c r="I149" s="357"/>
      <c r="J149" s="357"/>
      <c r="K149" s="525">
        <v>19.7</v>
      </c>
      <c r="L149" s="525">
        <v>11.03</v>
      </c>
      <c r="M149" s="525">
        <v>10.050000000000001</v>
      </c>
      <c r="N149" s="525">
        <v>13.84</v>
      </c>
      <c r="O149" s="525">
        <v>13.84</v>
      </c>
      <c r="P149" s="525">
        <v>12.24</v>
      </c>
      <c r="Q149" s="525">
        <v>10.85</v>
      </c>
      <c r="R149" s="525">
        <v>11.74</v>
      </c>
      <c r="S149" s="525">
        <v>12.73</v>
      </c>
      <c r="T149" s="359">
        <f t="shared" ref="T149:AA149" si="153">T154/(T147*12)</f>
        <v>14.816497551617953</v>
      </c>
      <c r="U149" s="359">
        <f t="shared" si="153"/>
        <v>15.346838551258442</v>
      </c>
      <c r="V149" s="359">
        <f t="shared" si="153"/>
        <v>16.878643349231584</v>
      </c>
      <c r="W149" s="359">
        <f t="shared" si="153"/>
        <v>16.875677349434898</v>
      </c>
      <c r="X149" s="359">
        <f t="shared" si="153"/>
        <v>17.94264277605015</v>
      </c>
      <c r="Y149" s="359">
        <f t="shared" si="153"/>
        <v>19.983631155367615</v>
      </c>
      <c r="Z149" s="419">
        <f t="shared" si="153"/>
        <v>21.244763614602043</v>
      </c>
      <c r="AA149" s="419">
        <f t="shared" si="153"/>
        <v>20.242316784869985</v>
      </c>
      <c r="AB149" s="419">
        <v>22.107284710401125</v>
      </c>
      <c r="AC149" s="419">
        <f>AC151</f>
        <v>22.75</v>
      </c>
      <c r="AD149" s="419">
        <f t="shared" ref="AD149:AH149" si="154">AD151</f>
        <v>20.76</v>
      </c>
      <c r="AE149" s="419">
        <f t="shared" si="154"/>
        <v>19.46</v>
      </c>
      <c r="AF149" s="419">
        <f t="shared" si="154"/>
        <v>20.83</v>
      </c>
      <c r="AG149" s="419">
        <f t="shared" si="154"/>
        <v>23.81</v>
      </c>
      <c r="AH149" s="419">
        <f t="shared" si="154"/>
        <v>26.04</v>
      </c>
      <c r="AI149" s="419">
        <f t="shared" ref="AI149:AJ149" si="155">AI151</f>
        <v>27.02</v>
      </c>
      <c r="AJ149" s="419">
        <f t="shared" si="155"/>
        <v>29.289680000000001</v>
      </c>
      <c r="AK149" s="419">
        <f t="shared" ref="AK149:AP149" si="156">AJ149*(1+AK150)</f>
        <v>31.750013120000002</v>
      </c>
      <c r="AL149" s="419">
        <f t="shared" si="156"/>
        <v>34.417014222080006</v>
      </c>
      <c r="AM149" s="419">
        <f t="shared" si="156"/>
        <v>37.308043416734726</v>
      </c>
      <c r="AN149" s="419">
        <f t="shared" si="156"/>
        <v>40.441919063740443</v>
      </c>
      <c r="AO149" s="419">
        <f t="shared" si="156"/>
        <v>43.839040265094646</v>
      </c>
      <c r="AP149" s="419">
        <f t="shared" si="156"/>
        <v>47.521519647362602</v>
      </c>
      <c r="AQ149" s="419">
        <f t="shared" ref="AQ149" si="157">AP149*(1+AQ150)</f>
        <v>51.513327297741064</v>
      </c>
      <c r="AR149" s="419">
        <f t="shared" ref="AR149:AS149" si="158">AQ149*(1+AR150)</f>
        <v>55.840446790751315</v>
      </c>
      <c r="AS149" s="419">
        <f t="shared" si="158"/>
        <v>60.531044321174427</v>
      </c>
      <c r="AT149" s="360"/>
      <c r="AU149" s="360"/>
    </row>
    <row r="150" spans="1:47" outlineLevel="1">
      <c r="A150" s="308"/>
      <c r="B150" s="347" t="s">
        <v>1099</v>
      </c>
      <c r="C150" s="310" t="s">
        <v>733</v>
      </c>
      <c r="D150" s="310"/>
      <c r="E150" s="310"/>
      <c r="F150" s="310"/>
      <c r="G150" s="310"/>
      <c r="H150" s="310"/>
      <c r="I150" s="310"/>
      <c r="J150" s="310"/>
      <c r="K150" s="311"/>
      <c r="L150" s="311">
        <f t="shared" ref="L150:Z150" si="159">L149/K149-1</f>
        <v>-0.44010152284263959</v>
      </c>
      <c r="M150" s="311">
        <f t="shared" si="159"/>
        <v>-8.8848594741613662E-2</v>
      </c>
      <c r="N150" s="311">
        <f t="shared" si="159"/>
        <v>0.37711442786069638</v>
      </c>
      <c r="O150" s="311">
        <f t="shared" si="159"/>
        <v>0</v>
      </c>
      <c r="P150" s="311">
        <f t="shared" si="159"/>
        <v>-0.11560693641618491</v>
      </c>
      <c r="Q150" s="311">
        <f t="shared" si="159"/>
        <v>-0.11356209150326801</v>
      </c>
      <c r="R150" s="311">
        <f t="shared" si="159"/>
        <v>8.202764976958532E-2</v>
      </c>
      <c r="S150" s="311">
        <f t="shared" si="159"/>
        <v>8.4327086882453273E-2</v>
      </c>
      <c r="T150" s="311">
        <f t="shared" si="159"/>
        <v>0.16390397106189725</v>
      </c>
      <c r="U150" s="311">
        <f t="shared" si="159"/>
        <v>3.5793951829228066E-2</v>
      </c>
      <c r="V150" s="311">
        <f t="shared" si="159"/>
        <v>9.9812400635929999E-2</v>
      </c>
      <c r="W150" s="311">
        <f t="shared" si="159"/>
        <v>-1.7572501150220354E-4</v>
      </c>
      <c r="X150" s="311">
        <f t="shared" si="159"/>
        <v>6.3225043032182571E-2</v>
      </c>
      <c r="Y150" s="311">
        <f t="shared" si="159"/>
        <v>0.11375071135238657</v>
      </c>
      <c r="Z150" s="311">
        <f t="shared" si="159"/>
        <v>6.3108273437867624E-2</v>
      </c>
      <c r="AA150" s="311">
        <f t="shared" ref="AA150:AJ150" si="160">AA149/Z149-1</f>
        <v>-4.7185595844570938E-2</v>
      </c>
      <c r="AB150" s="311">
        <v>9.2132138102151373E-2</v>
      </c>
      <c r="AC150" s="311">
        <v>2.0106692098760925E-2</v>
      </c>
      <c r="AD150" s="311">
        <f t="shared" si="160"/>
        <v>-8.7472527472527428E-2</v>
      </c>
      <c r="AE150" s="311">
        <f t="shared" si="160"/>
        <v>-6.2620423892100208E-2</v>
      </c>
      <c r="AF150" s="311">
        <f t="shared" si="160"/>
        <v>7.0400822199383262E-2</v>
      </c>
      <c r="AG150" s="311">
        <f t="shared" si="160"/>
        <v>0.14306289006241002</v>
      </c>
      <c r="AH150" s="311">
        <f t="shared" si="160"/>
        <v>9.3658126837463218E-2</v>
      </c>
      <c r="AI150" s="311">
        <f t="shared" si="160"/>
        <v>3.7634408602150504E-2</v>
      </c>
      <c r="AJ150" s="311">
        <f t="shared" si="160"/>
        <v>8.4000000000000075E-2</v>
      </c>
      <c r="AK150" s="621">
        <f t="shared" ref="AK150:AP150" si="161">AJ150</f>
        <v>8.4000000000000075E-2</v>
      </c>
      <c r="AL150" s="621">
        <f t="shared" si="161"/>
        <v>8.4000000000000075E-2</v>
      </c>
      <c r="AM150" s="621">
        <f t="shared" si="161"/>
        <v>8.4000000000000075E-2</v>
      </c>
      <c r="AN150" s="621">
        <f t="shared" si="161"/>
        <v>8.4000000000000075E-2</v>
      </c>
      <c r="AO150" s="621">
        <f t="shared" si="161"/>
        <v>8.4000000000000075E-2</v>
      </c>
      <c r="AP150" s="621">
        <f t="shared" si="161"/>
        <v>8.4000000000000075E-2</v>
      </c>
      <c r="AQ150" s="621">
        <f t="shared" ref="AQ150" si="162">AP150</f>
        <v>8.4000000000000075E-2</v>
      </c>
      <c r="AR150" s="621">
        <f t="shared" ref="AR150:AS150" si="163">AQ150</f>
        <v>8.4000000000000075E-2</v>
      </c>
      <c r="AS150" s="621">
        <f t="shared" si="163"/>
        <v>8.4000000000000075E-2</v>
      </c>
      <c r="AT150" s="312"/>
      <c r="AU150" s="514"/>
    </row>
    <row r="151" spans="1:47" outlineLevel="1">
      <c r="A151" s="357"/>
      <c r="B151" s="358" t="s">
        <v>1215</v>
      </c>
      <c r="C151" s="357" t="s">
        <v>772</v>
      </c>
      <c r="D151" s="357"/>
      <c r="E151" s="357"/>
      <c r="F151" s="357"/>
      <c r="G151" s="357"/>
      <c r="H151" s="357"/>
      <c r="I151" s="357"/>
      <c r="J151" s="357"/>
      <c r="K151" s="359"/>
      <c r="L151" s="525"/>
      <c r="M151" s="525"/>
      <c r="N151" s="525"/>
      <c r="O151" s="525"/>
      <c r="P151" s="525"/>
      <c r="Q151" s="525"/>
      <c r="R151" s="525"/>
      <c r="S151" s="525"/>
      <c r="T151" s="359"/>
      <c r="U151" s="359"/>
      <c r="V151" s="359"/>
      <c r="W151" s="359"/>
      <c r="X151" s="359"/>
      <c r="Y151" s="359"/>
      <c r="Z151" s="359"/>
      <c r="AA151" s="359"/>
      <c r="AB151" s="359"/>
      <c r="AC151" s="525">
        <v>22.75</v>
      </c>
      <c r="AD151" s="525">
        <v>20.76</v>
      </c>
      <c r="AE151" s="525">
        <v>19.46</v>
      </c>
      <c r="AF151" s="525">
        <v>20.83</v>
      </c>
      <c r="AG151" s="525">
        <v>23.81</v>
      </c>
      <c r="AH151" s="525">
        <v>26.04</v>
      </c>
      <c r="AI151" s="525">
        <v>27.02</v>
      </c>
      <c r="AJ151" s="525">
        <v>29.289680000000001</v>
      </c>
      <c r="AK151" s="525"/>
      <c r="AL151" s="525"/>
      <c r="AM151" s="525"/>
      <c r="AN151" s="525"/>
      <c r="AO151" s="525"/>
      <c r="AP151" s="525"/>
      <c r="AQ151" s="525"/>
      <c r="AR151" s="525"/>
      <c r="AS151" s="525"/>
      <c r="AT151" s="360"/>
      <c r="AU151" s="360"/>
    </row>
    <row r="152" spans="1:47" outlineLevel="1">
      <c r="A152" s="308"/>
      <c r="B152" s="347" t="s">
        <v>1214</v>
      </c>
      <c r="C152" s="310" t="s">
        <v>733</v>
      </c>
      <c r="D152" s="310"/>
      <c r="E152" s="310"/>
      <c r="F152" s="310"/>
      <c r="G152" s="310"/>
      <c r="H152" s="310"/>
      <c r="I152" s="310"/>
      <c r="J152" s="310"/>
      <c r="K152" s="311"/>
      <c r="L152" s="311"/>
      <c r="M152" s="311"/>
      <c r="N152" s="311"/>
      <c r="O152" s="311"/>
      <c r="P152" s="311"/>
      <c r="Q152" s="311"/>
      <c r="R152" s="311"/>
      <c r="S152" s="311"/>
      <c r="T152" s="311"/>
      <c r="U152" s="311"/>
      <c r="V152" s="311"/>
      <c r="W152" s="311"/>
      <c r="X152" s="311"/>
      <c r="Y152" s="311"/>
      <c r="Z152" s="311"/>
      <c r="AA152" s="311"/>
      <c r="AB152" s="311"/>
      <c r="AC152" s="311">
        <v>8.7891440501044471E-3</v>
      </c>
      <c r="AD152" s="311">
        <f t="shared" ref="AD152:AJ152" si="164">+AD151/AD149-1</f>
        <v>0</v>
      </c>
      <c r="AE152" s="311">
        <f t="shared" si="164"/>
        <v>0</v>
      </c>
      <c r="AF152" s="311">
        <f t="shared" si="164"/>
        <v>0</v>
      </c>
      <c r="AG152" s="311">
        <f t="shared" si="164"/>
        <v>0</v>
      </c>
      <c r="AH152" s="311">
        <f t="shared" si="164"/>
        <v>0</v>
      </c>
      <c r="AI152" s="311">
        <f t="shared" si="164"/>
        <v>0</v>
      </c>
      <c r="AJ152" s="311">
        <f t="shared" si="164"/>
        <v>0</v>
      </c>
      <c r="AK152" s="311"/>
      <c r="AL152" s="311"/>
      <c r="AM152" s="311"/>
      <c r="AN152" s="311"/>
      <c r="AO152" s="311"/>
      <c r="AP152" s="311"/>
      <c r="AQ152" s="311"/>
      <c r="AR152" s="311"/>
      <c r="AS152" s="311"/>
      <c r="AT152" s="312"/>
      <c r="AU152" s="514"/>
    </row>
    <row r="153" spans="1:47" outlineLevel="1">
      <c r="A153" s="298"/>
      <c r="B153" s="55"/>
      <c r="C153" s="18"/>
      <c r="D153" s="18"/>
      <c r="E153" s="18"/>
      <c r="F153" s="18"/>
      <c r="G153" s="18"/>
      <c r="H153" s="18"/>
      <c r="I153" s="18"/>
      <c r="J153" s="18"/>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2"/>
      <c r="AU153" s="2"/>
    </row>
    <row r="154" spans="1:47" outlineLevel="1">
      <c r="A154" s="371"/>
      <c r="B154" s="372" t="s">
        <v>1196</v>
      </c>
      <c r="C154" s="371" t="s">
        <v>732</v>
      </c>
      <c r="D154" s="371"/>
      <c r="E154" s="371"/>
      <c r="F154" s="371"/>
      <c r="G154" s="371"/>
      <c r="H154" s="371"/>
      <c r="I154" s="371"/>
      <c r="J154" s="371"/>
      <c r="K154" s="373">
        <f t="shared" ref="K154:R154" si="165">K149*K147*12</f>
        <v>175.64519999999999</v>
      </c>
      <c r="L154" s="373">
        <f t="shared" si="165"/>
        <v>129.3819</v>
      </c>
      <c r="M154" s="373">
        <f t="shared" si="165"/>
        <v>186.44759999999999</v>
      </c>
      <c r="N154" s="373">
        <f t="shared" si="165"/>
        <v>346.11071999999996</v>
      </c>
      <c r="O154" s="373">
        <f t="shared" si="165"/>
        <v>447.5856</v>
      </c>
      <c r="P154" s="373">
        <f t="shared" si="165"/>
        <v>489.99167999999997</v>
      </c>
      <c r="Q154" s="373">
        <f t="shared" si="165"/>
        <v>466.57169999999996</v>
      </c>
      <c r="R154" s="373">
        <f t="shared" si="165"/>
        <v>513.78935999999999</v>
      </c>
      <c r="S154" s="373">
        <f>S149*S147*12-17</f>
        <v>508.64715999999999</v>
      </c>
      <c r="T154" s="526">
        <v>587</v>
      </c>
      <c r="U154" s="526">
        <v>600</v>
      </c>
      <c r="V154" s="526">
        <v>637</v>
      </c>
      <c r="W154" s="526">
        <v>654</v>
      </c>
      <c r="X154" s="526">
        <v>727</v>
      </c>
      <c r="Y154" s="526">
        <v>879</v>
      </c>
      <c r="Z154" s="526">
        <v>994</v>
      </c>
      <c r="AA154" s="526">
        <v>959</v>
      </c>
      <c r="AB154" s="526">
        <v>1013</v>
      </c>
      <c r="AC154" s="526">
        <v>958</v>
      </c>
      <c r="AD154" s="526">
        <v>829</v>
      </c>
      <c r="AE154" s="526">
        <v>773</v>
      </c>
      <c r="AF154" s="526">
        <v>809</v>
      </c>
      <c r="AG154" s="526">
        <v>924</v>
      </c>
      <c r="AH154" s="526">
        <v>1076</v>
      </c>
      <c r="AI154" s="526">
        <v>1193</v>
      </c>
      <c r="AJ154" s="526">
        <v>1285</v>
      </c>
      <c r="AK154" s="373">
        <f t="shared" ref="AK154:AO154" si="166">AK149*AK147*12</f>
        <v>1410.3475207953331</v>
      </c>
      <c r="AL154" s="373">
        <f t="shared" si="166"/>
        <v>1531.8743459672255</v>
      </c>
      <c r="AM154" s="373">
        <f t="shared" si="166"/>
        <v>1663.8728946105296</v>
      </c>
      <c r="AN154" s="373">
        <f t="shared" si="166"/>
        <v>1807.2454941933295</v>
      </c>
      <c r="AO154" s="373">
        <f t="shared" si="166"/>
        <v>1962.9722239369805</v>
      </c>
      <c r="AP154" s="373">
        <f>AP149*AP147*12</f>
        <v>2132.1176145291829</v>
      </c>
      <c r="AQ154" s="373">
        <f t="shared" ref="AQ154:AR154" si="167">AQ149*AQ147*12</f>
        <v>2315.8379251379338</v>
      </c>
      <c r="AR154" s="373">
        <f t="shared" si="167"/>
        <v>2515.3890474712198</v>
      </c>
      <c r="AS154" s="373">
        <f t="shared" ref="AS154" si="168">AS149*AS147*12</f>
        <v>2732.1350909137195</v>
      </c>
      <c r="AT154" s="374"/>
      <c r="AU154" s="374"/>
    </row>
    <row r="155" spans="1:47" outlineLevel="1">
      <c r="A155" s="308"/>
      <c r="B155" s="322" t="s">
        <v>1099</v>
      </c>
      <c r="C155" s="310" t="s">
        <v>733</v>
      </c>
      <c r="D155" s="310"/>
      <c r="E155" s="310"/>
      <c r="F155" s="310"/>
      <c r="G155" s="310"/>
      <c r="H155" s="310"/>
      <c r="I155" s="310"/>
      <c r="J155" s="310"/>
      <c r="K155" s="311"/>
      <c r="L155" s="311">
        <f t="shared" ref="L155:AJ155" si="169">L154/K154-1</f>
        <v>-0.26339063065771218</v>
      </c>
      <c r="M155" s="311">
        <f t="shared" si="169"/>
        <v>0.44106401281786711</v>
      </c>
      <c r="N155" s="311">
        <f t="shared" si="169"/>
        <v>0.85634312267897239</v>
      </c>
      <c r="O155" s="311">
        <f t="shared" si="169"/>
        <v>0.29318618042226507</v>
      </c>
      <c r="P155" s="311">
        <f t="shared" si="169"/>
        <v>9.4744066833249319E-2</v>
      </c>
      <c r="Q155" s="311">
        <f t="shared" si="169"/>
        <v>-4.7796689119292801E-2</v>
      </c>
      <c r="R155" s="311">
        <f t="shared" si="169"/>
        <v>0.1012012944634233</v>
      </c>
      <c r="S155" s="311">
        <f t="shared" si="169"/>
        <v>-1.000838164496054E-2</v>
      </c>
      <c r="T155" s="311">
        <f t="shared" si="169"/>
        <v>0.15404163467658005</v>
      </c>
      <c r="U155" s="311">
        <f t="shared" si="169"/>
        <v>2.2146507666098714E-2</v>
      </c>
      <c r="V155" s="311">
        <f t="shared" si="169"/>
        <v>6.1666666666666758E-2</v>
      </c>
      <c r="W155" s="311">
        <f t="shared" si="169"/>
        <v>2.6687598116169609E-2</v>
      </c>
      <c r="X155" s="311">
        <f t="shared" si="169"/>
        <v>0.1116207951070336</v>
      </c>
      <c r="Y155" s="311">
        <f t="shared" si="169"/>
        <v>0.20907840440165071</v>
      </c>
      <c r="Z155" s="311">
        <f t="shared" si="169"/>
        <v>0.13083048919226403</v>
      </c>
      <c r="AA155" s="311">
        <f t="shared" si="169"/>
        <v>-3.5211267605633756E-2</v>
      </c>
      <c r="AB155" s="311">
        <v>5.6308654848800765E-2</v>
      </c>
      <c r="AC155" s="311">
        <v>-5.4294175715695947E-2</v>
      </c>
      <c r="AD155" s="311">
        <f t="shared" si="169"/>
        <v>-0.13465553235908145</v>
      </c>
      <c r="AE155" s="311">
        <f t="shared" si="169"/>
        <v>-6.7551266586248437E-2</v>
      </c>
      <c r="AF155" s="311">
        <f t="shared" si="169"/>
        <v>4.6571798188874469E-2</v>
      </c>
      <c r="AG155" s="311">
        <f t="shared" si="169"/>
        <v>0.14215080346106301</v>
      </c>
      <c r="AH155" s="311">
        <f t="shared" si="169"/>
        <v>0.16450216450216448</v>
      </c>
      <c r="AI155" s="311">
        <f t="shared" si="169"/>
        <v>0.10873605947955389</v>
      </c>
      <c r="AJ155" s="311">
        <f t="shared" si="169"/>
        <v>7.7116512992456032E-2</v>
      </c>
      <c r="AK155" s="311">
        <f t="shared" ref="AK155:AP155" si="170">AK154/AJ154-1</f>
        <v>9.7546708790142489E-2</v>
      </c>
      <c r="AL155" s="311">
        <f t="shared" si="170"/>
        <v>8.6168000000000022E-2</v>
      </c>
      <c r="AM155" s="311">
        <f t="shared" si="170"/>
        <v>8.6168000000000022E-2</v>
      </c>
      <c r="AN155" s="311">
        <f t="shared" si="170"/>
        <v>8.61679999999998E-2</v>
      </c>
      <c r="AO155" s="311">
        <f t="shared" si="170"/>
        <v>8.6168000000000022E-2</v>
      </c>
      <c r="AP155" s="311">
        <f t="shared" si="170"/>
        <v>8.6168000000000244E-2</v>
      </c>
      <c r="AQ155" s="311">
        <f t="shared" ref="AQ155" si="171">AQ154/AP154-1</f>
        <v>8.6168000000000022E-2</v>
      </c>
      <c r="AR155" s="311">
        <f t="shared" ref="AR155:AS155" si="172">AR154/AQ154-1</f>
        <v>8.6168000000000244E-2</v>
      </c>
      <c r="AS155" s="311">
        <f t="shared" si="172"/>
        <v>8.61679999999998E-2</v>
      </c>
      <c r="AT155" s="312"/>
      <c r="AU155" s="514"/>
    </row>
    <row r="156" spans="1:47" outlineLevel="1">
      <c r="A156" s="298"/>
      <c r="B156" s="2"/>
      <c r="C156" s="18"/>
      <c r="D156" s="18"/>
      <c r="E156" s="18"/>
      <c r="F156" s="18"/>
      <c r="G156" s="18"/>
      <c r="H156" s="18"/>
      <c r="I156" s="18"/>
      <c r="J156" s="18"/>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2"/>
      <c r="AU156" s="2"/>
    </row>
    <row r="157" spans="1:47" ht="14.4" outlineLevel="1">
      <c r="A157" s="298"/>
      <c r="B157" s="348" t="s">
        <v>267</v>
      </c>
      <c r="C157" s="349"/>
      <c r="D157" s="349"/>
      <c r="E157" s="349"/>
      <c r="F157" s="349"/>
      <c r="G157" s="349"/>
      <c r="H157" s="349"/>
      <c r="I157" s="349"/>
      <c r="J157" s="349"/>
      <c r="K157" s="350"/>
      <c r="L157" s="350"/>
      <c r="M157" s="350"/>
      <c r="N157" s="350"/>
      <c r="O157" s="350"/>
      <c r="P157" s="350"/>
      <c r="Q157" s="350"/>
      <c r="R157" s="350"/>
      <c r="S157" s="350"/>
      <c r="T157" s="350"/>
      <c r="U157" s="350"/>
      <c r="V157" s="350"/>
      <c r="W157" s="351"/>
      <c r="X157" s="352"/>
      <c r="Y157" s="352"/>
      <c r="Z157" s="351"/>
      <c r="AA157" s="350"/>
      <c r="AB157" s="353"/>
      <c r="AC157" s="353"/>
      <c r="AD157" s="353"/>
      <c r="AE157" s="353"/>
      <c r="AF157" s="353"/>
      <c r="AG157" s="353"/>
      <c r="AH157" s="353"/>
      <c r="AI157" s="353"/>
      <c r="AJ157" s="353"/>
      <c r="AK157" s="353"/>
      <c r="AL157" s="353"/>
      <c r="AM157" s="353"/>
      <c r="AN157" s="353"/>
      <c r="AO157" s="353"/>
      <c r="AP157" s="353"/>
      <c r="AQ157" s="353"/>
      <c r="AR157" s="353"/>
      <c r="AS157" s="353"/>
      <c r="AT157" s="2"/>
      <c r="AU157" s="2"/>
    </row>
    <row r="158" spans="1:47" outlineLevel="1">
      <c r="A158" s="298"/>
      <c r="B158" s="2"/>
      <c r="C158" s="18"/>
      <c r="D158" s="18"/>
      <c r="E158" s="18"/>
      <c r="F158" s="18"/>
      <c r="G158" s="18"/>
      <c r="H158" s="18"/>
      <c r="I158" s="18"/>
      <c r="J158" s="18"/>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c r="AL158" s="7"/>
      <c r="AM158" s="7"/>
      <c r="AN158" s="7"/>
      <c r="AO158" s="7"/>
      <c r="AP158" s="7"/>
      <c r="AQ158" s="7"/>
      <c r="AR158" s="7"/>
      <c r="AS158" s="7"/>
      <c r="AT158" s="2"/>
      <c r="AU158" s="2"/>
    </row>
    <row r="159" spans="1:47" outlineLevel="1">
      <c r="A159" s="368"/>
      <c r="B159" s="367" t="s">
        <v>260</v>
      </c>
      <c r="C159" s="368" t="s">
        <v>180</v>
      </c>
      <c r="D159" s="368"/>
      <c r="E159" s="368"/>
      <c r="F159" s="368"/>
      <c r="G159" s="368"/>
      <c r="H159" s="368"/>
      <c r="I159" s="368"/>
      <c r="J159" s="368"/>
      <c r="K159" s="369"/>
      <c r="L159" s="369"/>
      <c r="M159" s="369"/>
      <c r="N159" s="369"/>
      <c r="O159" s="369"/>
      <c r="P159" s="369"/>
      <c r="Q159" s="369"/>
      <c r="R159" s="369"/>
      <c r="S159" s="525">
        <v>0.52600000000000002</v>
      </c>
      <c r="T159" s="525">
        <v>1.046</v>
      </c>
      <c r="U159" s="525">
        <v>1.498</v>
      </c>
      <c r="V159" s="525">
        <v>2.31</v>
      </c>
      <c r="W159" s="525">
        <v>3.1179999999999999</v>
      </c>
      <c r="X159" s="525">
        <v>3.57</v>
      </c>
      <c r="Y159" s="525">
        <v>3.6789999999999998</v>
      </c>
      <c r="Z159" s="525">
        <v>3.8660000000000001</v>
      </c>
      <c r="AA159" s="525">
        <v>3.9590000000000001</v>
      </c>
      <c r="AB159" s="525">
        <v>3.93</v>
      </c>
      <c r="AC159" s="525">
        <v>3.8929999999999998</v>
      </c>
      <c r="AD159" s="525">
        <v>3.6269999999999998</v>
      </c>
      <c r="AE159" s="525">
        <v>3.1579999999999999</v>
      </c>
      <c r="AF159" s="525">
        <v>3.0230000000000001</v>
      </c>
      <c r="AG159" s="525">
        <v>3.0350000000000001</v>
      </c>
      <c r="AH159" s="525">
        <v>2.9350000000000001</v>
      </c>
      <c r="AI159" s="525">
        <v>2.823</v>
      </c>
      <c r="AJ159" s="525">
        <v>2.6507970000000003</v>
      </c>
      <c r="AK159" s="369">
        <f t="shared" ref="AK159:AP159" si="173">AJ159*(1+AK160)</f>
        <v>2.6242890300000004</v>
      </c>
      <c r="AL159" s="369">
        <f t="shared" si="173"/>
        <v>2.5980461397000005</v>
      </c>
      <c r="AM159" s="369">
        <f t="shared" si="173"/>
        <v>2.5720656783030007</v>
      </c>
      <c r="AN159" s="369">
        <f t="shared" si="173"/>
        <v>2.5463450215199708</v>
      </c>
      <c r="AO159" s="369">
        <f t="shared" si="173"/>
        <v>2.5208815713047712</v>
      </c>
      <c r="AP159" s="369">
        <f t="shared" si="173"/>
        <v>2.4956727555917233</v>
      </c>
      <c r="AQ159" s="369">
        <f t="shared" ref="AQ159" si="174">AP159*(1+AQ160)</f>
        <v>2.470716028035806</v>
      </c>
      <c r="AR159" s="369">
        <f t="shared" ref="AR159:AS159" si="175">AQ159*(1+AR160)</f>
        <v>2.4460088677554479</v>
      </c>
      <c r="AS159" s="369">
        <f t="shared" si="175"/>
        <v>2.4215487790778933</v>
      </c>
      <c r="AT159" s="367"/>
      <c r="AU159" s="367"/>
    </row>
    <row r="160" spans="1:47" outlineLevel="1">
      <c r="A160" s="308"/>
      <c r="B160" s="347" t="s">
        <v>1099</v>
      </c>
      <c r="C160" s="310" t="s">
        <v>733</v>
      </c>
      <c r="D160" s="310"/>
      <c r="E160" s="310"/>
      <c r="F160" s="310"/>
      <c r="G160" s="310"/>
      <c r="H160" s="310"/>
      <c r="I160" s="310"/>
      <c r="J160" s="310"/>
      <c r="K160" s="311"/>
      <c r="L160" s="311"/>
      <c r="M160" s="311"/>
      <c r="N160" s="311"/>
      <c r="O160" s="311"/>
      <c r="P160" s="311"/>
      <c r="Q160" s="311"/>
      <c r="R160" s="311"/>
      <c r="S160" s="311"/>
      <c r="T160" s="311">
        <f t="shared" ref="T160:AJ160" si="176">T159/S159-1</f>
        <v>0.98859315589353614</v>
      </c>
      <c r="U160" s="311">
        <f t="shared" si="176"/>
        <v>0.43212237093690242</v>
      </c>
      <c r="V160" s="311">
        <f t="shared" si="176"/>
        <v>0.5420560747663552</v>
      </c>
      <c r="W160" s="311">
        <f t="shared" si="176"/>
        <v>0.34978354978354975</v>
      </c>
      <c r="X160" s="311">
        <f t="shared" si="176"/>
        <v>0.14496472097498403</v>
      </c>
      <c r="Y160" s="311">
        <f t="shared" si="176"/>
        <v>3.0532212885153953E-2</v>
      </c>
      <c r="Z160" s="311">
        <f t="shared" si="176"/>
        <v>5.0829029627616373E-2</v>
      </c>
      <c r="AA160" s="311">
        <f t="shared" si="176"/>
        <v>2.4055871702017617E-2</v>
      </c>
      <c r="AB160" s="311">
        <v>-7.3250820914372294E-3</v>
      </c>
      <c r="AC160" s="311">
        <v>-9.4147582697201582E-3</v>
      </c>
      <c r="AD160" s="311">
        <f t="shared" si="176"/>
        <v>-6.8327767788338045E-2</v>
      </c>
      <c r="AE160" s="311">
        <f t="shared" si="176"/>
        <v>-0.12930796801764544</v>
      </c>
      <c r="AF160" s="311">
        <f t="shared" si="176"/>
        <v>-4.2748575047498405E-2</v>
      </c>
      <c r="AG160" s="311">
        <f t="shared" si="176"/>
        <v>3.9695666556400777E-3</v>
      </c>
      <c r="AH160" s="311">
        <f t="shared" si="176"/>
        <v>-3.2948929159802298E-2</v>
      </c>
      <c r="AI160" s="311">
        <f t="shared" si="176"/>
        <v>-3.8160136286201074E-2</v>
      </c>
      <c r="AJ160" s="311">
        <f t="shared" si="176"/>
        <v>-6.0999999999999832E-2</v>
      </c>
      <c r="AK160" s="621">
        <v>-0.01</v>
      </c>
      <c r="AL160" s="621">
        <v>-0.01</v>
      </c>
      <c r="AM160" s="621">
        <v>-0.01</v>
      </c>
      <c r="AN160" s="621">
        <v>-0.01</v>
      </c>
      <c r="AO160" s="621">
        <v>-0.01</v>
      </c>
      <c r="AP160" s="621">
        <v>-0.01</v>
      </c>
      <c r="AQ160" s="621">
        <v>-0.01</v>
      </c>
      <c r="AR160" s="621">
        <v>-0.01</v>
      </c>
      <c r="AS160" s="621">
        <v>-0.01</v>
      </c>
      <c r="AT160" s="312"/>
      <c r="AU160" s="514"/>
    </row>
    <row r="161" spans="1:47" outlineLevel="1">
      <c r="A161" s="357"/>
      <c r="B161" s="370" t="s">
        <v>261</v>
      </c>
      <c r="C161" s="357" t="s">
        <v>180</v>
      </c>
      <c r="D161" s="357"/>
      <c r="E161" s="357"/>
      <c r="F161" s="357"/>
      <c r="G161" s="357"/>
      <c r="H161" s="357"/>
      <c r="I161" s="357"/>
      <c r="J161" s="357"/>
      <c r="K161" s="359"/>
      <c r="L161" s="359"/>
      <c r="M161" s="359"/>
      <c r="N161" s="359"/>
      <c r="O161" s="359"/>
      <c r="P161" s="359"/>
      <c r="Q161" s="359"/>
      <c r="R161" s="359"/>
      <c r="S161" s="359">
        <f t="shared" ref="S161:AJ161" si="177">AVERAGE(R159:S159)</f>
        <v>0.52600000000000002</v>
      </c>
      <c r="T161" s="359">
        <f t="shared" si="177"/>
        <v>0.78600000000000003</v>
      </c>
      <c r="U161" s="359">
        <f t="shared" si="177"/>
        <v>1.272</v>
      </c>
      <c r="V161" s="359">
        <f t="shared" si="177"/>
        <v>1.9039999999999999</v>
      </c>
      <c r="W161" s="359">
        <f t="shared" si="177"/>
        <v>2.714</v>
      </c>
      <c r="X161" s="359">
        <f t="shared" si="177"/>
        <v>3.3439999999999999</v>
      </c>
      <c r="Y161" s="359">
        <f t="shared" si="177"/>
        <v>3.6244999999999998</v>
      </c>
      <c r="Z161" s="359">
        <f t="shared" si="177"/>
        <v>3.7725</v>
      </c>
      <c r="AA161" s="359">
        <f t="shared" si="177"/>
        <v>3.9125000000000001</v>
      </c>
      <c r="AB161" s="359">
        <v>3.9445000000000001</v>
      </c>
      <c r="AC161" s="359">
        <v>3.9115000000000002</v>
      </c>
      <c r="AD161" s="359">
        <f>AVERAGE(AC159:AD159)</f>
        <v>3.76</v>
      </c>
      <c r="AE161" s="359">
        <f t="shared" si="177"/>
        <v>3.3925000000000001</v>
      </c>
      <c r="AF161" s="359">
        <f t="shared" si="177"/>
        <v>3.0905</v>
      </c>
      <c r="AG161" s="359">
        <f t="shared" si="177"/>
        <v>3.0289999999999999</v>
      </c>
      <c r="AH161" s="359">
        <f t="shared" si="177"/>
        <v>2.9850000000000003</v>
      </c>
      <c r="AI161" s="359">
        <f t="shared" si="177"/>
        <v>2.879</v>
      </c>
      <c r="AJ161" s="359">
        <f t="shared" si="177"/>
        <v>2.7368985000000001</v>
      </c>
      <c r="AK161" s="359">
        <f t="shared" ref="AK161:AP161" si="178">AVERAGE(AJ159:AK159)</f>
        <v>2.6375430150000003</v>
      </c>
      <c r="AL161" s="359">
        <f t="shared" si="178"/>
        <v>2.6111675848500004</v>
      </c>
      <c r="AM161" s="359">
        <f t="shared" si="178"/>
        <v>2.5850559090015004</v>
      </c>
      <c r="AN161" s="359">
        <f t="shared" si="178"/>
        <v>2.559205349911486</v>
      </c>
      <c r="AO161" s="359">
        <f t="shared" si="178"/>
        <v>2.533613296412371</v>
      </c>
      <c r="AP161" s="359">
        <f t="shared" si="178"/>
        <v>2.5082771634482475</v>
      </c>
      <c r="AQ161" s="359">
        <f t="shared" ref="AQ161" si="179">AVERAGE(AP159:AQ159)</f>
        <v>2.4831943918137647</v>
      </c>
      <c r="AR161" s="359">
        <f t="shared" ref="AR161:AS161" si="180">AVERAGE(AQ159:AR159)</f>
        <v>2.458362447895627</v>
      </c>
      <c r="AS161" s="359">
        <f t="shared" si="180"/>
        <v>2.4337788234166706</v>
      </c>
      <c r="AT161" s="360"/>
      <c r="AU161" s="360"/>
    </row>
    <row r="162" spans="1:47" outlineLevel="1">
      <c r="A162" s="298"/>
      <c r="B162" s="8"/>
      <c r="C162" s="18"/>
      <c r="D162" s="18"/>
      <c r="E162" s="18"/>
      <c r="F162" s="18"/>
      <c r="G162" s="18"/>
      <c r="H162" s="18"/>
      <c r="I162" s="18"/>
      <c r="J162" s="18"/>
      <c r="K162" s="7"/>
      <c r="L162" s="7"/>
      <c r="M162" s="7"/>
      <c r="N162" s="7"/>
      <c r="O162" s="7"/>
      <c r="P162" s="7"/>
      <c r="Q162" s="7"/>
      <c r="R162" s="7"/>
      <c r="S162" s="42"/>
      <c r="T162" s="42"/>
      <c r="U162" s="42"/>
      <c r="V162" s="42"/>
      <c r="W162" s="42"/>
      <c r="X162" s="42"/>
      <c r="Y162" s="42"/>
      <c r="Z162" s="42"/>
      <c r="AA162" s="42"/>
      <c r="AB162" s="42"/>
      <c r="AC162" s="42"/>
      <c r="AD162" s="42"/>
      <c r="AE162" s="42"/>
      <c r="AF162" s="42"/>
      <c r="AG162" s="42"/>
      <c r="AH162" s="42"/>
      <c r="AI162" s="42"/>
      <c r="AJ162" s="42"/>
      <c r="AK162" s="42"/>
      <c r="AL162" s="42"/>
      <c r="AM162" s="42"/>
      <c r="AN162" s="42"/>
      <c r="AO162" s="42"/>
      <c r="AP162" s="42"/>
      <c r="AQ162" s="42"/>
      <c r="AR162" s="42"/>
      <c r="AS162" s="42"/>
      <c r="AT162" s="2"/>
      <c r="AU162" s="2"/>
    </row>
    <row r="163" spans="1:47" outlineLevel="1">
      <c r="A163" s="357"/>
      <c r="B163" s="358" t="s">
        <v>1193</v>
      </c>
      <c r="C163" s="357" t="s">
        <v>772</v>
      </c>
      <c r="D163" s="357"/>
      <c r="E163" s="357"/>
      <c r="F163" s="357"/>
      <c r="G163" s="357"/>
      <c r="H163" s="357"/>
      <c r="I163" s="357"/>
      <c r="J163" s="357"/>
      <c r="K163" s="359"/>
      <c r="L163" s="359"/>
      <c r="M163" s="359"/>
      <c r="N163" s="359"/>
      <c r="O163" s="359"/>
      <c r="P163" s="359"/>
      <c r="Q163" s="359"/>
      <c r="R163" s="359"/>
      <c r="S163" s="359"/>
      <c r="T163" s="359">
        <f t="shared" ref="T163:AE163" si="181">T168/(T161*12)</f>
        <v>64.355385920271416</v>
      </c>
      <c r="U163" s="359">
        <f t="shared" si="181"/>
        <v>52.083333333333336</v>
      </c>
      <c r="V163" s="359">
        <f t="shared" si="181"/>
        <v>40.222338935574228</v>
      </c>
      <c r="W163" s="359">
        <f t="shared" si="181"/>
        <v>31.257676246622452</v>
      </c>
      <c r="X163" s="359">
        <f t="shared" si="181"/>
        <v>29.804625199362043</v>
      </c>
      <c r="Y163" s="359">
        <f t="shared" si="181"/>
        <v>29.590288315629742</v>
      </c>
      <c r="Z163" s="419">
        <f t="shared" si="181"/>
        <v>28.495692511597088</v>
      </c>
      <c r="AA163" s="419">
        <f t="shared" si="181"/>
        <v>24.494142705005324</v>
      </c>
      <c r="AB163" s="419">
        <v>20.957451303502765</v>
      </c>
      <c r="AC163" s="419">
        <v>16.68157995653841</v>
      </c>
      <c r="AD163" s="419">
        <f t="shared" si="181"/>
        <v>14.915780141843973</v>
      </c>
      <c r="AE163" s="419">
        <f t="shared" si="181"/>
        <v>15.720953082780643</v>
      </c>
      <c r="AF163" s="419">
        <f>AF168/(AF161*12)</f>
        <v>16.502184112603139</v>
      </c>
      <c r="AG163" s="419">
        <f>AG168/(AG161*12)</f>
        <v>18.020248706943985</v>
      </c>
      <c r="AH163" s="419">
        <f>AH168/(AH161*12)</f>
        <v>18.537130094919036</v>
      </c>
      <c r="AI163" s="419">
        <f>AI168/(AI161*12)</f>
        <v>18.756512678013198</v>
      </c>
      <c r="AJ163" s="419">
        <f>AJ168/(AJ161*12)</f>
        <v>18.116613872722475</v>
      </c>
      <c r="AK163" s="419">
        <f t="shared" ref="AK163:AP163" si="182">AJ163*(1+AK164)</f>
        <v>17.498545910299065</v>
      </c>
      <c r="AL163" s="419">
        <f t="shared" si="182"/>
        <v>16.901564007823612</v>
      </c>
      <c r="AM163" s="419">
        <f t="shared" si="182"/>
        <v>16.324948791455117</v>
      </c>
      <c r="AN163" s="419">
        <f t="shared" si="182"/>
        <v>15.76800542957262</v>
      </c>
      <c r="AO163" s="419">
        <f t="shared" si="182"/>
        <v>15.23006279549071</v>
      </c>
      <c r="AP163" s="419">
        <f t="shared" si="182"/>
        <v>14.710472658739899</v>
      </c>
      <c r="AQ163" s="419">
        <f t="shared" ref="AQ163" si="183">AP163*(1+AQ164)</f>
        <v>14.208608903937339</v>
      </c>
      <c r="AR163" s="419">
        <f t="shared" ref="AR163:AS163" si="184">AQ163*(1+AR164)</f>
        <v>13.723866776306622</v>
      </c>
      <c r="AS163" s="419">
        <f t="shared" si="184"/>
        <v>13.255662152937482</v>
      </c>
      <c r="AT163" s="360"/>
      <c r="AU163" s="360"/>
    </row>
    <row r="164" spans="1:47" outlineLevel="1">
      <c r="A164" s="308"/>
      <c r="B164" s="347" t="s">
        <v>1099</v>
      </c>
      <c r="C164" s="310" t="s">
        <v>733</v>
      </c>
      <c r="D164" s="310"/>
      <c r="E164" s="310"/>
      <c r="F164" s="310"/>
      <c r="G164" s="310"/>
      <c r="H164" s="310"/>
      <c r="I164" s="310"/>
      <c r="J164" s="310"/>
      <c r="K164" s="311"/>
      <c r="L164" s="311"/>
      <c r="M164" s="311"/>
      <c r="N164" s="311"/>
      <c r="O164" s="311"/>
      <c r="P164" s="311"/>
      <c r="Q164" s="311"/>
      <c r="R164" s="311"/>
      <c r="S164" s="311"/>
      <c r="T164" s="311"/>
      <c r="U164" s="311">
        <f t="shared" ref="U164:Z164" si="185">U163/T163-1</f>
        <v>-0.19069192751235586</v>
      </c>
      <c r="V164" s="311">
        <f t="shared" si="185"/>
        <v>-0.22773109243697487</v>
      </c>
      <c r="W164" s="311">
        <f t="shared" si="185"/>
        <v>-0.2228777074180307</v>
      </c>
      <c r="X164" s="311">
        <f t="shared" si="185"/>
        <v>-4.6486214643592372E-2</v>
      </c>
      <c r="Y164" s="311">
        <f t="shared" si="185"/>
        <v>-7.1913967143893975E-3</v>
      </c>
      <c r="Z164" s="311">
        <f t="shared" si="185"/>
        <v>-3.6991724864488096E-2</v>
      </c>
      <c r="AA164" s="311">
        <f t="shared" ref="AA164:AJ164" si="186">AA163/Z163-1</f>
        <v>-0.14042648042202266</v>
      </c>
      <c r="AB164" s="311">
        <v>-0.14438927069612617</v>
      </c>
      <c r="AC164" s="311">
        <v>-0.20402630477541406</v>
      </c>
      <c r="AD164" s="311">
        <f t="shared" si="186"/>
        <v>-0.10585327165022673</v>
      </c>
      <c r="AE164" s="311">
        <f t="shared" si="186"/>
        <v>5.3981282459231172E-2</v>
      </c>
      <c r="AF164" s="311">
        <f t="shared" si="186"/>
        <v>4.9693617537615475E-2</v>
      </c>
      <c r="AG164" s="311">
        <f t="shared" si="186"/>
        <v>9.1991737819811403E-2</v>
      </c>
      <c r="AH164" s="311">
        <f t="shared" si="186"/>
        <v>2.8683365939110139E-2</v>
      </c>
      <c r="AI164" s="311">
        <f t="shared" si="186"/>
        <v>1.183476525065208E-2</v>
      </c>
      <c r="AJ164" s="311">
        <f t="shared" si="186"/>
        <v>-3.4116086304296189E-2</v>
      </c>
      <c r="AK164" s="621">
        <f t="shared" ref="AK164:AP164" si="187">AJ164</f>
        <v>-3.4116086304296189E-2</v>
      </c>
      <c r="AL164" s="621">
        <f t="shared" si="187"/>
        <v>-3.4116086304296189E-2</v>
      </c>
      <c r="AM164" s="621">
        <f t="shared" si="187"/>
        <v>-3.4116086304296189E-2</v>
      </c>
      <c r="AN164" s="621">
        <f t="shared" si="187"/>
        <v>-3.4116086304296189E-2</v>
      </c>
      <c r="AO164" s="621">
        <f t="shared" si="187"/>
        <v>-3.4116086304296189E-2</v>
      </c>
      <c r="AP164" s="621">
        <f t="shared" si="187"/>
        <v>-3.4116086304296189E-2</v>
      </c>
      <c r="AQ164" s="621">
        <f t="shared" ref="AQ164" si="188">AP164</f>
        <v>-3.4116086304296189E-2</v>
      </c>
      <c r="AR164" s="621">
        <f t="shared" ref="AR164:AS164" si="189">AQ164</f>
        <v>-3.4116086304296189E-2</v>
      </c>
      <c r="AS164" s="621">
        <f t="shared" si="189"/>
        <v>-3.4116086304296189E-2</v>
      </c>
      <c r="AT164" s="312"/>
      <c r="AU164" s="514"/>
    </row>
    <row r="165" spans="1:47" outlineLevel="1">
      <c r="A165" s="357"/>
      <c r="B165" s="358" t="s">
        <v>1216</v>
      </c>
      <c r="C165" s="357" t="s">
        <v>772</v>
      </c>
      <c r="D165" s="357"/>
      <c r="E165" s="357"/>
      <c r="F165" s="357"/>
      <c r="G165" s="357"/>
      <c r="H165" s="357"/>
      <c r="I165" s="357"/>
      <c r="J165" s="357"/>
      <c r="K165" s="359"/>
      <c r="L165" s="525"/>
      <c r="M165" s="525"/>
      <c r="N165" s="525"/>
      <c r="O165" s="525"/>
      <c r="P165" s="525"/>
      <c r="Q165" s="525"/>
      <c r="R165" s="525"/>
      <c r="S165" s="525"/>
      <c r="T165" s="359"/>
      <c r="U165" s="359"/>
      <c r="V165" s="359"/>
      <c r="W165" s="359"/>
      <c r="X165" s="359"/>
      <c r="Y165" s="359"/>
      <c r="Z165" s="359"/>
      <c r="AA165" s="359"/>
      <c r="AB165" s="359"/>
      <c r="AC165" s="525">
        <v>16.690000000000001</v>
      </c>
      <c r="AD165" s="525">
        <v>14.92</v>
      </c>
      <c r="AE165" s="525">
        <v>16.62</v>
      </c>
      <c r="AF165" s="525">
        <v>16.489999999999998</v>
      </c>
      <c r="AG165" s="525">
        <v>18.03</v>
      </c>
      <c r="AH165" s="525">
        <v>18.53</v>
      </c>
      <c r="AI165" s="525">
        <v>18.760000000000002</v>
      </c>
      <c r="AJ165" s="525">
        <v>18.12</v>
      </c>
      <c r="AK165" s="525"/>
      <c r="AL165" s="525"/>
      <c r="AM165" s="525"/>
      <c r="AN165" s="525"/>
      <c r="AO165" s="525"/>
      <c r="AP165" s="525"/>
      <c r="AQ165" s="525"/>
      <c r="AR165" s="525"/>
      <c r="AS165" s="525"/>
      <c r="AT165" s="360"/>
      <c r="AU165" s="360"/>
    </row>
    <row r="166" spans="1:47" outlineLevel="1">
      <c r="A166" s="308"/>
      <c r="B166" s="347" t="s">
        <v>1214</v>
      </c>
      <c r="C166" s="310" t="s">
        <v>733</v>
      </c>
      <c r="D166" s="310"/>
      <c r="E166" s="310"/>
      <c r="F166" s="310"/>
      <c r="G166" s="310"/>
      <c r="H166" s="310"/>
      <c r="I166" s="310"/>
      <c r="J166" s="310"/>
      <c r="K166" s="311"/>
      <c r="L166" s="311"/>
      <c r="M166" s="311"/>
      <c r="N166" s="311"/>
      <c r="O166" s="311"/>
      <c r="P166" s="311"/>
      <c r="Q166" s="311"/>
      <c r="R166" s="311"/>
      <c r="S166" s="311"/>
      <c r="T166" s="311"/>
      <c r="U166" s="311"/>
      <c r="V166" s="311"/>
      <c r="W166" s="311"/>
      <c r="X166" s="311"/>
      <c r="Y166" s="311"/>
      <c r="Z166" s="311"/>
      <c r="AA166" s="311"/>
      <c r="AB166" s="311"/>
      <c r="AC166" s="311">
        <v>5.047509578546272E-4</v>
      </c>
      <c r="AD166" s="311">
        <f t="shared" ref="AD166:AI166" si="190">+AD165/AD163-1</f>
        <v>2.8291233283805894E-4</v>
      </c>
      <c r="AE166" s="311">
        <f t="shared" si="190"/>
        <v>5.7187812500000046E-2</v>
      </c>
      <c r="AF166" s="311">
        <f t="shared" si="190"/>
        <v>-7.3833333333339635E-4</v>
      </c>
      <c r="AG166" s="311">
        <f t="shared" si="190"/>
        <v>5.4112977099252113E-4</v>
      </c>
      <c r="AH166" s="311">
        <f t="shared" si="190"/>
        <v>-3.8463855421655424E-4</v>
      </c>
      <c r="AI166" s="311">
        <f t="shared" si="190"/>
        <v>1.8592592592603374E-4</v>
      </c>
      <c r="AJ166" s="311">
        <f t="shared" ref="AJ166" si="191">+AJ165/AJ163-1</f>
        <v>1.8690729411763307E-4</v>
      </c>
      <c r="AK166" s="311"/>
      <c r="AL166" s="311"/>
      <c r="AM166" s="311"/>
      <c r="AN166" s="311"/>
      <c r="AO166" s="311"/>
      <c r="AP166" s="311"/>
      <c r="AQ166" s="311"/>
      <c r="AR166" s="311"/>
      <c r="AS166" s="311"/>
      <c r="AT166" s="312"/>
      <c r="AU166" s="514"/>
    </row>
    <row r="167" spans="1:47" outlineLevel="1">
      <c r="A167" s="298"/>
      <c r="B167" s="55"/>
      <c r="C167" s="18"/>
      <c r="D167" s="18"/>
      <c r="E167" s="18"/>
      <c r="F167" s="18"/>
      <c r="G167" s="18"/>
      <c r="H167" s="18"/>
      <c r="I167" s="18"/>
      <c r="J167" s="18"/>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c r="AL167" s="7"/>
      <c r="AM167" s="7"/>
      <c r="AN167" s="7"/>
      <c r="AO167" s="7"/>
      <c r="AP167" s="7"/>
      <c r="AQ167" s="7"/>
      <c r="AR167" s="7"/>
      <c r="AS167" s="7"/>
      <c r="AT167" s="2"/>
      <c r="AU167" s="2"/>
    </row>
    <row r="168" spans="1:47" outlineLevel="1">
      <c r="A168" s="371"/>
      <c r="B168" s="372" t="s">
        <v>1197</v>
      </c>
      <c r="C168" s="371" t="s">
        <v>732</v>
      </c>
      <c r="D168" s="371"/>
      <c r="E168" s="371"/>
      <c r="F168" s="371"/>
      <c r="G168" s="371"/>
      <c r="H168" s="371"/>
      <c r="I168" s="371"/>
      <c r="J168" s="371"/>
      <c r="K168" s="526">
        <v>7</v>
      </c>
      <c r="L168" s="526">
        <v>208</v>
      </c>
      <c r="M168" s="526">
        <v>169</v>
      </c>
      <c r="N168" s="526">
        <v>224</v>
      </c>
      <c r="O168" s="526">
        <v>838</v>
      </c>
      <c r="P168" s="373"/>
      <c r="Q168" s="373"/>
      <c r="R168" s="373"/>
      <c r="S168" s="373"/>
      <c r="T168" s="526">
        <v>607</v>
      </c>
      <c r="U168" s="526">
        <v>795</v>
      </c>
      <c r="V168" s="526">
        <v>919</v>
      </c>
      <c r="W168" s="526">
        <v>1018</v>
      </c>
      <c r="X168" s="526">
        <v>1196</v>
      </c>
      <c r="Y168" s="526">
        <v>1287</v>
      </c>
      <c r="Z168" s="526">
        <v>1290</v>
      </c>
      <c r="AA168" s="526">
        <v>1150</v>
      </c>
      <c r="AB168" s="526">
        <v>992</v>
      </c>
      <c r="AC168" s="526">
        <v>783</v>
      </c>
      <c r="AD168" s="526">
        <v>673</v>
      </c>
      <c r="AE168" s="526">
        <v>640</v>
      </c>
      <c r="AF168" s="526">
        <v>612</v>
      </c>
      <c r="AG168" s="526">
        <v>655</v>
      </c>
      <c r="AH168" s="526">
        <v>664</v>
      </c>
      <c r="AI168" s="526">
        <v>648</v>
      </c>
      <c r="AJ168" s="526">
        <v>595</v>
      </c>
      <c r="AK168" s="373">
        <f t="shared" ref="AK168:AO168" si="192">AK163*AK161*12</f>
        <v>553.83801046039343</v>
      </c>
      <c r="AL168" s="373">
        <f t="shared" si="192"/>
        <v>529.59379284595775</v>
      </c>
      <c r="AM168" s="373">
        <f t="shared" si="192"/>
        <v>506.41086404997549</v>
      </c>
      <c r="AN168" s="373">
        <f t="shared" si="192"/>
        <v>484.24276623354729</v>
      </c>
      <c r="AO168" s="373">
        <f t="shared" si="192"/>
        <v>463.04507524620755</v>
      </c>
      <c r="AP168" s="373">
        <f>AP163*AP161*12</f>
        <v>442.77531160136539</v>
      </c>
      <c r="AQ168" s="373">
        <f t="shared" ref="AQ168:AR168" si="193">AQ163*AQ161*12</f>
        <v>423.39285534878786</v>
      </c>
      <c r="AR168" s="373">
        <f t="shared" si="193"/>
        <v>404.85886467353532</v>
      </c>
      <c r="AS168" s="373">
        <f t="shared" ref="AS168" si="194">AS163*AS161*12</f>
        <v>387.13619805822088</v>
      </c>
      <c r="AT168" s="374"/>
      <c r="AU168" s="374"/>
    </row>
    <row r="169" spans="1:47" outlineLevel="1">
      <c r="A169" s="308"/>
      <c r="B169" s="322" t="s">
        <v>1099</v>
      </c>
      <c r="C169" s="310" t="s">
        <v>733</v>
      </c>
      <c r="D169" s="310"/>
      <c r="E169" s="310"/>
      <c r="F169" s="310"/>
      <c r="G169" s="310"/>
      <c r="H169" s="310"/>
      <c r="I169" s="310"/>
      <c r="J169" s="310"/>
      <c r="K169" s="311"/>
      <c r="L169" s="311"/>
      <c r="M169" s="311"/>
      <c r="N169" s="311"/>
      <c r="O169" s="311"/>
      <c r="P169" s="311"/>
      <c r="Q169" s="311"/>
      <c r="R169" s="311"/>
      <c r="S169" s="311"/>
      <c r="T169" s="311"/>
      <c r="U169" s="311">
        <f t="shared" ref="U169:AP169" si="195">U168/T168-1</f>
        <v>0.30971993410214171</v>
      </c>
      <c r="V169" s="311">
        <f t="shared" si="195"/>
        <v>0.15597484276729556</v>
      </c>
      <c r="W169" s="311">
        <f t="shared" si="195"/>
        <v>0.10772578890097928</v>
      </c>
      <c r="X169" s="311">
        <f t="shared" si="195"/>
        <v>0.17485265225933211</v>
      </c>
      <c r="Y169" s="311">
        <f t="shared" si="195"/>
        <v>7.6086956521739024E-2</v>
      </c>
      <c r="Z169" s="311">
        <f t="shared" si="195"/>
        <v>2.3310023310023631E-3</v>
      </c>
      <c r="AA169" s="311">
        <f t="shared" si="195"/>
        <v>-0.10852713178294571</v>
      </c>
      <c r="AB169" s="311">
        <v>-0.13739130434782609</v>
      </c>
      <c r="AC169" s="311">
        <v>-0.21068548387096775</v>
      </c>
      <c r="AD169" s="311">
        <f t="shared" si="195"/>
        <v>-0.14048531289910604</v>
      </c>
      <c r="AE169" s="311">
        <f t="shared" si="195"/>
        <v>-4.9034175334323971E-2</v>
      </c>
      <c r="AF169" s="311">
        <f t="shared" si="195"/>
        <v>-4.3749999999999956E-2</v>
      </c>
      <c r="AG169" s="311">
        <f t="shared" si="195"/>
        <v>7.0261437908496704E-2</v>
      </c>
      <c r="AH169" s="311">
        <f t="shared" si="195"/>
        <v>1.3740458015267132E-2</v>
      </c>
      <c r="AI169" s="311">
        <f t="shared" si="195"/>
        <v>-2.4096385542168641E-2</v>
      </c>
      <c r="AJ169" s="311">
        <f t="shared" si="195"/>
        <v>-8.1790123456790154E-2</v>
      </c>
      <c r="AK169" s="311">
        <f t="shared" si="195"/>
        <v>-6.9179814352279934E-2</v>
      </c>
      <c r="AL169" s="311">
        <f t="shared" si="195"/>
        <v>-4.3774925441253165E-2</v>
      </c>
      <c r="AM169" s="311">
        <f t="shared" si="195"/>
        <v>-4.3774925441253165E-2</v>
      </c>
      <c r="AN169" s="311">
        <f t="shared" si="195"/>
        <v>-4.3774925441253054E-2</v>
      </c>
      <c r="AO169" s="311">
        <f t="shared" si="195"/>
        <v>-4.3774925441253165E-2</v>
      </c>
      <c r="AP169" s="311">
        <f t="shared" si="195"/>
        <v>-4.3774925441253054E-2</v>
      </c>
      <c r="AQ169" s="311">
        <f t="shared" ref="AQ169" si="196">AQ168/AP168-1</f>
        <v>-4.3774925441253387E-2</v>
      </c>
      <c r="AR169" s="311">
        <f t="shared" ref="AR169:AS169" si="197">AR168/AQ168-1</f>
        <v>-4.3774925441253276E-2</v>
      </c>
      <c r="AS169" s="311">
        <f t="shared" si="197"/>
        <v>-4.3774925441253276E-2</v>
      </c>
      <c r="AT169" s="312"/>
      <c r="AU169" s="514"/>
    </row>
    <row r="170" spans="1:47" outlineLevel="1">
      <c r="A170" s="298"/>
      <c r="B170" s="2"/>
      <c r="C170" s="18"/>
      <c r="D170" s="18"/>
      <c r="E170" s="18"/>
      <c r="F170" s="18"/>
      <c r="G170" s="18"/>
      <c r="H170" s="18"/>
      <c r="I170" s="18"/>
      <c r="J170" s="18"/>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c r="AL170" s="7"/>
      <c r="AM170" s="7"/>
      <c r="AN170" s="7"/>
      <c r="AO170" s="7"/>
      <c r="AP170" s="7"/>
      <c r="AQ170" s="7"/>
      <c r="AR170" s="7"/>
      <c r="AS170" s="7"/>
      <c r="AT170" s="2"/>
      <c r="AU170" s="2"/>
    </row>
    <row r="171" spans="1:47" ht="14.4" outlineLevel="1">
      <c r="A171" s="298"/>
      <c r="B171" s="348" t="s">
        <v>1219</v>
      </c>
      <c r="C171" s="349"/>
      <c r="D171" s="349"/>
      <c r="E171" s="349"/>
      <c r="F171" s="349"/>
      <c r="G171" s="349"/>
      <c r="H171" s="349"/>
      <c r="I171" s="349"/>
      <c r="J171" s="349"/>
      <c r="K171" s="350"/>
      <c r="L171" s="350"/>
      <c r="M171" s="350"/>
      <c r="N171" s="350"/>
      <c r="O171" s="350"/>
      <c r="P171" s="350"/>
      <c r="Q171" s="350"/>
      <c r="R171" s="350"/>
      <c r="S171" s="350"/>
      <c r="T171" s="350"/>
      <c r="U171" s="350"/>
      <c r="V171" s="350"/>
      <c r="W171" s="351"/>
      <c r="X171" s="352"/>
      <c r="Y171" s="352"/>
      <c r="Z171" s="351"/>
      <c r="AA171" s="350"/>
      <c r="AB171" s="353"/>
      <c r="AC171" s="353"/>
      <c r="AD171" s="353"/>
      <c r="AE171" s="353"/>
      <c r="AF171" s="353"/>
      <c r="AG171" s="353"/>
      <c r="AH171" s="353"/>
      <c r="AI171" s="353"/>
      <c r="AJ171" s="353"/>
      <c r="AK171" s="353"/>
      <c r="AL171" s="353"/>
      <c r="AM171" s="353"/>
      <c r="AN171" s="353"/>
      <c r="AO171" s="353"/>
      <c r="AP171" s="353"/>
      <c r="AQ171" s="353"/>
      <c r="AR171" s="353"/>
      <c r="AS171" s="353"/>
      <c r="AT171" s="2"/>
      <c r="AU171" s="2"/>
    </row>
    <row r="172" spans="1:47" outlineLevel="1">
      <c r="A172" s="298"/>
      <c r="B172" s="2"/>
      <c r="C172" s="18"/>
      <c r="D172" s="18"/>
      <c r="E172" s="18"/>
      <c r="F172" s="18"/>
      <c r="G172" s="18"/>
      <c r="H172" s="18"/>
      <c r="I172" s="18"/>
      <c r="J172" s="18"/>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c r="AL172" s="7"/>
      <c r="AM172" s="7"/>
      <c r="AN172" s="7"/>
      <c r="AO172" s="7"/>
      <c r="AP172" s="7"/>
      <c r="AQ172" s="7"/>
      <c r="AR172" s="7"/>
      <c r="AS172" s="7"/>
      <c r="AT172" s="2"/>
      <c r="AU172" s="2"/>
    </row>
    <row r="173" spans="1:47" outlineLevel="1">
      <c r="A173" s="368"/>
      <c r="B173" s="367" t="s">
        <v>1211</v>
      </c>
      <c r="C173" s="368" t="s">
        <v>180</v>
      </c>
      <c r="D173" s="368"/>
      <c r="E173" s="368"/>
      <c r="F173" s="368"/>
      <c r="G173" s="368"/>
      <c r="H173" s="368"/>
      <c r="I173" s="368"/>
      <c r="J173" s="368"/>
      <c r="K173" s="369"/>
      <c r="L173" s="369"/>
      <c r="M173" s="369"/>
      <c r="N173" s="369"/>
      <c r="O173" s="369"/>
      <c r="P173" s="369"/>
      <c r="Q173" s="369"/>
      <c r="R173" s="369"/>
      <c r="S173" s="369"/>
      <c r="T173" s="369"/>
      <c r="U173" s="525">
        <v>0.53900000000000003</v>
      </c>
      <c r="V173" s="525">
        <v>0.65800000000000003</v>
      </c>
      <c r="W173" s="525">
        <v>0.80900000000000005</v>
      </c>
      <c r="X173" s="525">
        <v>0.97</v>
      </c>
      <c r="Y173" s="525">
        <v>1.2609999999999999</v>
      </c>
      <c r="Z173" s="525">
        <v>1.5469999999999999</v>
      </c>
      <c r="AA173" s="525">
        <v>1.9379999999999999</v>
      </c>
      <c r="AB173" s="525">
        <v>2.1880000000000002</v>
      </c>
      <c r="AC173" s="525">
        <v>2.5710000000000002</v>
      </c>
      <c r="AD173" s="525">
        <v>3.1320000000000001</v>
      </c>
      <c r="AE173" s="525">
        <v>3.7839999999999998</v>
      </c>
      <c r="AF173" s="525">
        <v>4.6760000000000002</v>
      </c>
      <c r="AG173" s="525">
        <v>5.7</v>
      </c>
      <c r="AH173" s="525">
        <v>7.1239999999999997</v>
      </c>
      <c r="AI173" s="525">
        <v>8.6</v>
      </c>
      <c r="AJ173" s="525">
        <v>9.6</v>
      </c>
      <c r="AK173" s="369">
        <f t="shared" ref="AK173:AP173" si="198">AJ173*(1+AK174)</f>
        <v>10.524279069767442</v>
      </c>
      <c r="AL173" s="369">
        <f t="shared" si="198"/>
        <v>11.050493023255815</v>
      </c>
      <c r="AM173" s="369">
        <f t="shared" si="198"/>
        <v>11.603017674418606</v>
      </c>
      <c r="AN173" s="369">
        <f t="shared" si="198"/>
        <v>12.183168558139537</v>
      </c>
      <c r="AO173" s="369">
        <f t="shared" si="198"/>
        <v>12.792326986046515</v>
      </c>
      <c r="AP173" s="369">
        <f t="shared" si="198"/>
        <v>13.431943335348841</v>
      </c>
      <c r="AQ173" s="369">
        <f t="shared" ref="AQ173" si="199">AP173*(1+AQ174)</f>
        <v>14.103540502116283</v>
      </c>
      <c r="AR173" s="369">
        <f t="shared" ref="AR173:AS173" si="200">AQ173*(1+AR174)</f>
        <v>14.808717527222099</v>
      </c>
      <c r="AS173" s="369">
        <f t="shared" si="200"/>
        <v>15.549153403583205</v>
      </c>
      <c r="AT173" s="367"/>
      <c r="AU173" s="367"/>
    </row>
    <row r="174" spans="1:47" outlineLevel="1">
      <c r="A174" s="308"/>
      <c r="B174" s="347" t="s">
        <v>1099</v>
      </c>
      <c r="C174" s="310" t="s">
        <v>733</v>
      </c>
      <c r="D174" s="310"/>
      <c r="E174" s="310"/>
      <c r="F174" s="310"/>
      <c r="G174" s="310"/>
      <c r="H174" s="310"/>
      <c r="I174" s="310"/>
      <c r="J174" s="310"/>
      <c r="K174" s="311"/>
      <c r="L174" s="311"/>
      <c r="M174" s="311"/>
      <c r="N174" s="311"/>
      <c r="O174" s="311"/>
      <c r="P174" s="311"/>
      <c r="Q174" s="311"/>
      <c r="R174" s="311"/>
      <c r="S174" s="311"/>
      <c r="T174" s="311"/>
      <c r="U174" s="311"/>
      <c r="V174" s="311">
        <f t="shared" ref="V174:AJ174" si="201">V173/U173-1</f>
        <v>0.22077922077922074</v>
      </c>
      <c r="W174" s="311">
        <f t="shared" si="201"/>
        <v>0.22948328267477214</v>
      </c>
      <c r="X174" s="311">
        <f t="shared" si="201"/>
        <v>0.19901112484548822</v>
      </c>
      <c r="Y174" s="311">
        <f t="shared" si="201"/>
        <v>0.29999999999999982</v>
      </c>
      <c r="Z174" s="311">
        <f t="shared" si="201"/>
        <v>0.22680412371134029</v>
      </c>
      <c r="AA174" s="311">
        <f t="shared" si="201"/>
        <v>0.25274725274725274</v>
      </c>
      <c r="AB174" s="311">
        <v>0.12899896800825594</v>
      </c>
      <c r="AC174" s="311">
        <v>0.17504570383912244</v>
      </c>
      <c r="AD174" s="311">
        <f t="shared" si="201"/>
        <v>0.2182030338389731</v>
      </c>
      <c r="AE174" s="311">
        <f t="shared" si="201"/>
        <v>0.20817369093231153</v>
      </c>
      <c r="AF174" s="311">
        <f t="shared" si="201"/>
        <v>0.23572938689217771</v>
      </c>
      <c r="AG174" s="311">
        <f t="shared" si="201"/>
        <v>0.21899059024807532</v>
      </c>
      <c r="AH174" s="311">
        <f t="shared" si="201"/>
        <v>0.24982456140350862</v>
      </c>
      <c r="AI174" s="311">
        <f t="shared" si="201"/>
        <v>0.20718697361033134</v>
      </c>
      <c r="AJ174" s="311">
        <f t="shared" si="201"/>
        <v>0.11627906976744184</v>
      </c>
      <c r="AK174" s="621">
        <f>+AJ174-2%</f>
        <v>9.6279069767441841E-2</v>
      </c>
      <c r="AL174" s="621">
        <v>0.05</v>
      </c>
      <c r="AM174" s="621">
        <v>0.05</v>
      </c>
      <c r="AN174" s="621">
        <v>0.05</v>
      </c>
      <c r="AO174" s="621">
        <v>0.05</v>
      </c>
      <c r="AP174" s="621">
        <v>0.05</v>
      </c>
      <c r="AQ174" s="621">
        <v>0.05</v>
      </c>
      <c r="AR174" s="621">
        <v>0.05</v>
      </c>
      <c r="AS174" s="621">
        <v>0.05</v>
      </c>
      <c r="AT174" s="312"/>
      <c r="AU174" s="514"/>
    </row>
    <row r="175" spans="1:47" outlineLevel="1">
      <c r="A175" s="357"/>
      <c r="B175" s="370" t="s">
        <v>1212</v>
      </c>
      <c r="C175" s="357" t="s">
        <v>180</v>
      </c>
      <c r="D175" s="357"/>
      <c r="E175" s="357"/>
      <c r="F175" s="357"/>
      <c r="G175" s="357"/>
      <c r="H175" s="357"/>
      <c r="I175" s="357"/>
      <c r="J175" s="357"/>
      <c r="K175" s="359"/>
      <c r="L175" s="359"/>
      <c r="M175" s="359"/>
      <c r="N175" s="359"/>
      <c r="O175" s="359"/>
      <c r="P175" s="359"/>
      <c r="Q175" s="359"/>
      <c r="R175" s="359"/>
      <c r="S175" s="359"/>
      <c r="T175" s="359"/>
      <c r="U175" s="359">
        <f t="shared" ref="U175:AJ175" si="202">AVERAGE(T173:U173)</f>
        <v>0.53900000000000003</v>
      </c>
      <c r="V175" s="359">
        <f t="shared" si="202"/>
        <v>0.59850000000000003</v>
      </c>
      <c r="W175" s="359">
        <f t="shared" si="202"/>
        <v>0.73350000000000004</v>
      </c>
      <c r="X175" s="359">
        <f t="shared" si="202"/>
        <v>0.88949999999999996</v>
      </c>
      <c r="Y175" s="359">
        <f t="shared" si="202"/>
        <v>1.1154999999999999</v>
      </c>
      <c r="Z175" s="359">
        <f t="shared" si="202"/>
        <v>1.4039999999999999</v>
      </c>
      <c r="AA175" s="359">
        <f t="shared" si="202"/>
        <v>1.7424999999999999</v>
      </c>
      <c r="AB175" s="359">
        <v>2.0630000000000002</v>
      </c>
      <c r="AC175" s="359">
        <v>2.3795000000000002</v>
      </c>
      <c r="AD175" s="359">
        <f t="shared" si="202"/>
        <v>2.8515000000000001</v>
      </c>
      <c r="AE175" s="359">
        <f t="shared" si="202"/>
        <v>3.4580000000000002</v>
      </c>
      <c r="AF175" s="359">
        <f t="shared" si="202"/>
        <v>4.2300000000000004</v>
      </c>
      <c r="AG175" s="359">
        <f t="shared" si="202"/>
        <v>5.1880000000000006</v>
      </c>
      <c r="AH175" s="359">
        <f t="shared" si="202"/>
        <v>6.4119999999999999</v>
      </c>
      <c r="AI175" s="359">
        <f t="shared" si="202"/>
        <v>7.8620000000000001</v>
      </c>
      <c r="AJ175" s="359">
        <f t="shared" si="202"/>
        <v>9.1</v>
      </c>
      <c r="AK175" s="359">
        <f t="shared" ref="AK175:AP175" si="203">AVERAGE(AJ173:AK173)</f>
        <v>10.06213953488372</v>
      </c>
      <c r="AL175" s="359">
        <f t="shared" si="203"/>
        <v>10.787386046511628</v>
      </c>
      <c r="AM175" s="359">
        <f t="shared" si="203"/>
        <v>11.32675534883721</v>
      </c>
      <c r="AN175" s="359">
        <f t="shared" si="203"/>
        <v>11.893093116279072</v>
      </c>
      <c r="AO175" s="359">
        <f t="shared" si="203"/>
        <v>12.487747772093027</v>
      </c>
      <c r="AP175" s="359">
        <f t="shared" si="203"/>
        <v>13.112135160697678</v>
      </c>
      <c r="AQ175" s="359">
        <f t="shared" ref="AQ175" si="204">AVERAGE(AP173:AQ173)</f>
        <v>13.767741918732561</v>
      </c>
      <c r="AR175" s="359">
        <f t="shared" ref="AR175:AS175" si="205">AVERAGE(AQ173:AR173)</f>
        <v>14.456129014669191</v>
      </c>
      <c r="AS175" s="359">
        <f t="shared" si="205"/>
        <v>15.178935465402652</v>
      </c>
      <c r="AT175" s="360"/>
      <c r="AU175" s="360"/>
    </row>
    <row r="176" spans="1:47" outlineLevel="1">
      <c r="A176" s="298"/>
      <c r="B176" s="8"/>
      <c r="C176" s="18"/>
      <c r="D176" s="18"/>
      <c r="E176" s="18"/>
      <c r="F176" s="18"/>
      <c r="G176" s="18"/>
      <c r="H176" s="18"/>
      <c r="I176" s="18"/>
      <c r="J176" s="18"/>
      <c r="K176" s="7"/>
      <c r="L176" s="7"/>
      <c r="M176" s="7"/>
      <c r="N176" s="7"/>
      <c r="O176" s="7"/>
      <c r="P176" s="7"/>
      <c r="Q176" s="7"/>
      <c r="R176" s="7"/>
      <c r="S176" s="42"/>
      <c r="T176" s="42"/>
      <c r="U176" s="42"/>
      <c r="V176" s="42"/>
      <c r="W176" s="42"/>
      <c r="X176" s="42"/>
      <c r="Y176" s="42"/>
      <c r="Z176" s="42"/>
      <c r="AA176" s="42"/>
      <c r="AB176" s="42"/>
      <c r="AC176" s="42"/>
      <c r="AD176" s="42"/>
      <c r="AE176" s="42"/>
      <c r="AF176" s="42"/>
      <c r="AG176" s="42"/>
      <c r="AH176" s="42"/>
      <c r="AI176" s="42"/>
      <c r="AJ176" s="42"/>
      <c r="AK176" s="42"/>
      <c r="AL176" s="42"/>
      <c r="AM176" s="42"/>
      <c r="AN176" s="42"/>
      <c r="AO176" s="42"/>
      <c r="AP176" s="42"/>
      <c r="AQ176" s="42"/>
      <c r="AR176" s="42"/>
      <c r="AS176" s="42"/>
      <c r="AT176" s="2"/>
      <c r="AU176" s="2"/>
    </row>
    <row r="177" spans="1:47" outlineLevel="1">
      <c r="A177" s="357"/>
      <c r="B177" s="358" t="s">
        <v>1210</v>
      </c>
      <c r="C177" s="357" t="s">
        <v>772</v>
      </c>
      <c r="D177" s="357"/>
      <c r="E177" s="357"/>
      <c r="F177" s="357"/>
      <c r="G177" s="357"/>
      <c r="H177" s="357"/>
      <c r="I177" s="357"/>
      <c r="J177" s="357"/>
      <c r="K177" s="359"/>
      <c r="L177" s="359"/>
      <c r="M177" s="359"/>
      <c r="N177" s="359"/>
      <c r="O177" s="359"/>
      <c r="P177" s="359"/>
      <c r="Q177" s="359"/>
      <c r="R177" s="359"/>
      <c r="S177" s="359"/>
      <c r="T177" s="359"/>
      <c r="U177" s="359">
        <f t="shared" ref="U177:AE177" si="206">U180/(U175*12)</f>
        <v>9.5856524427953005</v>
      </c>
      <c r="V177" s="359">
        <f t="shared" si="206"/>
        <v>9.6073517126148698</v>
      </c>
      <c r="W177" s="359">
        <f t="shared" si="206"/>
        <v>9.0888434446716655</v>
      </c>
      <c r="X177" s="359">
        <f t="shared" si="206"/>
        <v>8.4317032040472171</v>
      </c>
      <c r="Y177" s="359">
        <f t="shared" si="206"/>
        <v>7.5451964739279846</v>
      </c>
      <c r="Z177" s="419">
        <f t="shared" si="206"/>
        <v>6.7070275403608743</v>
      </c>
      <c r="AA177" s="419">
        <f t="shared" si="206"/>
        <v>6.3127690100430414</v>
      </c>
      <c r="AB177" s="419">
        <v>5.8975601874293098</v>
      </c>
      <c r="AC177" s="419">
        <v>6.6190376129438953</v>
      </c>
      <c r="AD177" s="419">
        <f t="shared" si="206"/>
        <v>6.5462622011806646</v>
      </c>
      <c r="AE177" s="419">
        <f t="shared" si="206"/>
        <v>5.8559861191440135</v>
      </c>
      <c r="AF177" s="419">
        <f>AF180/(AF175*12)</f>
        <v>4.8463356973995264</v>
      </c>
      <c r="AG177" s="419">
        <f>AG180/(AG175*12)</f>
        <v>4.3048059624775119</v>
      </c>
      <c r="AH177" s="419">
        <f>AH180/(AH175*12)</f>
        <v>3.6779995841131212</v>
      </c>
      <c r="AI177" s="419">
        <f>AI180/(AI175*12)</f>
        <v>3.0632578648350717</v>
      </c>
      <c r="AJ177" s="419">
        <f>AJ180/(AJ175*12)</f>
        <v>2.6831501831501834</v>
      </c>
      <c r="AK177" s="419">
        <f t="shared" ref="AK177:AP177" si="207">AJ177*(1+AK178)</f>
        <v>2.6294871794871795</v>
      </c>
      <c r="AL177" s="419">
        <f t="shared" si="207"/>
        <v>2.5768974358974357</v>
      </c>
      <c r="AM177" s="419">
        <f t="shared" si="207"/>
        <v>2.5768974358974357</v>
      </c>
      <c r="AN177" s="419">
        <f t="shared" si="207"/>
        <v>2.5768974358974357</v>
      </c>
      <c r="AO177" s="419">
        <f t="shared" si="207"/>
        <v>2.5768974358974357</v>
      </c>
      <c r="AP177" s="419">
        <f t="shared" si="207"/>
        <v>2.5768974358974357</v>
      </c>
      <c r="AQ177" s="419">
        <f t="shared" ref="AQ177" si="208">AP177*(1+AQ178)</f>
        <v>2.5768974358974357</v>
      </c>
      <c r="AR177" s="419">
        <f t="shared" ref="AR177:AS177" si="209">AQ177*(1+AR178)</f>
        <v>2.5768974358974357</v>
      </c>
      <c r="AS177" s="419">
        <f t="shared" si="209"/>
        <v>2.5768974358974357</v>
      </c>
      <c r="AT177" s="360"/>
      <c r="AU177" s="360"/>
    </row>
    <row r="178" spans="1:47" outlineLevel="1">
      <c r="A178" s="308"/>
      <c r="B178" s="347" t="s">
        <v>1099</v>
      </c>
      <c r="C178" s="310" t="s">
        <v>733</v>
      </c>
      <c r="D178" s="310"/>
      <c r="E178" s="310"/>
      <c r="F178" s="310"/>
      <c r="G178" s="310"/>
      <c r="H178" s="310"/>
      <c r="I178" s="310"/>
      <c r="J178" s="310"/>
      <c r="K178" s="311"/>
      <c r="L178" s="311"/>
      <c r="M178" s="311"/>
      <c r="N178" s="311"/>
      <c r="O178" s="311"/>
      <c r="P178" s="311"/>
      <c r="Q178" s="311"/>
      <c r="R178" s="311"/>
      <c r="S178" s="311"/>
      <c r="T178" s="311"/>
      <c r="U178" s="311"/>
      <c r="V178" s="311">
        <f t="shared" ref="V178:AJ178" si="210">V177/U177-1</f>
        <v>2.2637238256930647E-3</v>
      </c>
      <c r="W178" s="311">
        <f t="shared" si="210"/>
        <v>-5.3969947541566587E-2</v>
      </c>
      <c r="X178" s="311">
        <f t="shared" si="210"/>
        <v>-7.2301854974704982E-2</v>
      </c>
      <c r="Y178" s="311">
        <f t="shared" si="210"/>
        <v>-0.10513969819214097</v>
      </c>
      <c r="Z178" s="311">
        <f t="shared" si="210"/>
        <v>-0.11108642915573608</v>
      </c>
      <c r="AA178" s="311">
        <f t="shared" si="210"/>
        <v>-5.8782900166326146E-2</v>
      </c>
      <c r="AB178" s="311">
        <v>-6.5772852127675252E-2</v>
      </c>
      <c r="AC178" s="311">
        <v>0.12233489826054167</v>
      </c>
      <c r="AD178" s="311">
        <f t="shared" si="210"/>
        <v>-1.0994863002578237E-2</v>
      </c>
      <c r="AE178" s="311">
        <f t="shared" si="210"/>
        <v>-0.10544583471040236</v>
      </c>
      <c r="AF178" s="311">
        <f t="shared" si="210"/>
        <v>-0.17241339053789806</v>
      </c>
      <c r="AG178" s="311">
        <f t="shared" si="210"/>
        <v>-0.11174003798634735</v>
      </c>
      <c r="AH178" s="311">
        <f t="shared" si="210"/>
        <v>-0.14560618616213994</v>
      </c>
      <c r="AI178" s="311">
        <f t="shared" si="210"/>
        <v>-0.16714023621247431</v>
      </c>
      <c r="AJ178" s="311">
        <f t="shared" si="210"/>
        <v>-0.12408608692345713</v>
      </c>
      <c r="AK178" s="621">
        <v>-0.02</v>
      </c>
      <c r="AL178" s="621">
        <v>-0.02</v>
      </c>
      <c r="AM178" s="621">
        <v>0</v>
      </c>
      <c r="AN178" s="621">
        <f t="shared" ref="AN178:AP178" si="211">AM178</f>
        <v>0</v>
      </c>
      <c r="AO178" s="621">
        <f t="shared" si="211"/>
        <v>0</v>
      </c>
      <c r="AP178" s="621">
        <f t="shared" si="211"/>
        <v>0</v>
      </c>
      <c r="AQ178" s="621">
        <f t="shared" ref="AQ178" si="212">AP178</f>
        <v>0</v>
      </c>
      <c r="AR178" s="621">
        <f t="shared" ref="AR178:AS178" si="213">AQ178</f>
        <v>0</v>
      </c>
      <c r="AS178" s="621">
        <f t="shared" si="213"/>
        <v>0</v>
      </c>
      <c r="AT178" s="312"/>
      <c r="AU178" s="514"/>
    </row>
    <row r="179" spans="1:47" outlineLevel="1">
      <c r="A179" s="298"/>
      <c r="B179" s="55"/>
      <c r="C179" s="18"/>
      <c r="D179" s="18"/>
      <c r="E179" s="18"/>
      <c r="F179" s="18"/>
      <c r="G179" s="18"/>
      <c r="H179" s="18"/>
      <c r="I179" s="18"/>
      <c r="J179" s="18"/>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c r="AL179" s="7"/>
      <c r="AM179" s="7"/>
      <c r="AN179" s="7"/>
      <c r="AO179" s="7"/>
      <c r="AP179" s="7"/>
      <c r="AQ179" s="7"/>
      <c r="AR179" s="7"/>
      <c r="AS179" s="7"/>
      <c r="AT179" s="2"/>
      <c r="AU179" s="2"/>
    </row>
    <row r="180" spans="1:47" outlineLevel="1">
      <c r="A180" s="371"/>
      <c r="B180" s="372" t="s">
        <v>1209</v>
      </c>
      <c r="C180" s="371" t="s">
        <v>732</v>
      </c>
      <c r="D180" s="371"/>
      <c r="E180" s="371"/>
      <c r="F180" s="371"/>
      <c r="G180" s="371"/>
      <c r="H180" s="371"/>
      <c r="I180" s="371"/>
      <c r="J180" s="371"/>
      <c r="K180" s="373"/>
      <c r="L180" s="373"/>
      <c r="M180" s="373"/>
      <c r="N180" s="373"/>
      <c r="O180" s="373"/>
      <c r="P180" s="373"/>
      <c r="Q180" s="373"/>
      <c r="R180" s="373"/>
      <c r="S180" s="373"/>
      <c r="T180" s="373"/>
      <c r="U180" s="526">
        <v>62</v>
      </c>
      <c r="V180" s="526">
        <v>69</v>
      </c>
      <c r="W180" s="526">
        <v>80</v>
      </c>
      <c r="X180" s="526">
        <v>90</v>
      </c>
      <c r="Y180" s="526">
        <v>101</v>
      </c>
      <c r="Z180" s="526">
        <v>113</v>
      </c>
      <c r="AA180" s="526">
        <v>132</v>
      </c>
      <c r="AB180" s="526">
        <v>146</v>
      </c>
      <c r="AC180" s="526">
        <v>189</v>
      </c>
      <c r="AD180" s="526">
        <v>224</v>
      </c>
      <c r="AE180" s="526">
        <v>243</v>
      </c>
      <c r="AF180" s="526">
        <v>246</v>
      </c>
      <c r="AG180" s="526">
        <v>268</v>
      </c>
      <c r="AH180" s="526">
        <v>283</v>
      </c>
      <c r="AI180" s="526">
        <v>289</v>
      </c>
      <c r="AJ180" s="526">
        <v>293</v>
      </c>
      <c r="AK180" s="373">
        <f t="shared" ref="AK180:AO180" si="214">AK177*AK175*12</f>
        <v>317.49920286225398</v>
      </c>
      <c r="AL180" s="373">
        <f t="shared" si="214"/>
        <v>333.57584931949907</v>
      </c>
      <c r="AM180" s="373">
        <f t="shared" si="214"/>
        <v>350.25464178547406</v>
      </c>
      <c r="AN180" s="373">
        <f t="shared" si="214"/>
        <v>367.76737387474782</v>
      </c>
      <c r="AO180" s="373">
        <f t="shared" si="214"/>
        <v>386.15574256848521</v>
      </c>
      <c r="AP180" s="373">
        <f>AP177*AP175*12</f>
        <v>405.46352969690946</v>
      </c>
      <c r="AQ180" s="373">
        <f t="shared" ref="AQ180:AR180" si="215">AQ177*AQ175*12</f>
        <v>425.73670618175493</v>
      </c>
      <c r="AR180" s="373">
        <f t="shared" si="215"/>
        <v>447.02354149084277</v>
      </c>
      <c r="AS180" s="373">
        <f t="shared" ref="AS180" si="216">AS177*AS175*12</f>
        <v>469.37471856538491</v>
      </c>
      <c r="AT180" s="374"/>
      <c r="AU180" s="374"/>
    </row>
    <row r="181" spans="1:47" outlineLevel="1">
      <c r="A181" s="308"/>
      <c r="B181" s="322" t="s">
        <v>1099</v>
      </c>
      <c r="C181" s="310" t="s">
        <v>733</v>
      </c>
      <c r="D181" s="310"/>
      <c r="E181" s="310"/>
      <c r="F181" s="310"/>
      <c r="G181" s="310"/>
      <c r="H181" s="310"/>
      <c r="I181" s="310"/>
      <c r="J181" s="310"/>
      <c r="K181" s="311"/>
      <c r="L181" s="311"/>
      <c r="M181" s="311"/>
      <c r="N181" s="311"/>
      <c r="O181" s="311"/>
      <c r="P181" s="311"/>
      <c r="Q181" s="311"/>
      <c r="R181" s="311"/>
      <c r="S181" s="311"/>
      <c r="T181" s="311"/>
      <c r="U181" s="311"/>
      <c r="V181" s="311">
        <f t="shared" ref="V181:AJ181" si="217">V180/U180-1</f>
        <v>0.11290322580645151</v>
      </c>
      <c r="W181" s="311">
        <f t="shared" si="217"/>
        <v>0.15942028985507251</v>
      </c>
      <c r="X181" s="311">
        <f t="shared" si="217"/>
        <v>0.125</v>
      </c>
      <c r="Y181" s="311">
        <f t="shared" si="217"/>
        <v>0.12222222222222223</v>
      </c>
      <c r="Z181" s="311">
        <f t="shared" si="217"/>
        <v>0.11881188118811892</v>
      </c>
      <c r="AA181" s="311">
        <f t="shared" si="217"/>
        <v>0.16814159292035402</v>
      </c>
      <c r="AB181" s="311">
        <v>0.10606060606060597</v>
      </c>
      <c r="AC181" s="311">
        <v>0.29452054794520555</v>
      </c>
      <c r="AD181" s="311">
        <f t="shared" si="217"/>
        <v>0.18518518518518512</v>
      </c>
      <c r="AE181" s="311">
        <f t="shared" si="217"/>
        <v>8.4821428571428603E-2</v>
      </c>
      <c r="AF181" s="311">
        <f t="shared" si="217"/>
        <v>1.2345679012345734E-2</v>
      </c>
      <c r="AG181" s="311">
        <f t="shared" si="217"/>
        <v>8.9430894308943021E-2</v>
      </c>
      <c r="AH181" s="311">
        <f t="shared" si="217"/>
        <v>5.5970149253731449E-2</v>
      </c>
      <c r="AI181" s="311">
        <f t="shared" si="217"/>
        <v>2.1201413427561766E-2</v>
      </c>
      <c r="AJ181" s="311">
        <f t="shared" si="217"/>
        <v>1.384083044982698E-2</v>
      </c>
      <c r="AK181" s="311">
        <f t="shared" ref="AK181:AP181" si="218">AK180/AJ180-1</f>
        <v>8.3615026833631312E-2</v>
      </c>
      <c r="AL181" s="311">
        <f t="shared" si="218"/>
        <v>5.0635234080319558E-2</v>
      </c>
      <c r="AM181" s="311">
        <f t="shared" si="218"/>
        <v>5.0000000000000044E-2</v>
      </c>
      <c r="AN181" s="311">
        <f t="shared" si="218"/>
        <v>5.0000000000000044E-2</v>
      </c>
      <c r="AO181" s="311">
        <f t="shared" si="218"/>
        <v>5.0000000000000044E-2</v>
      </c>
      <c r="AP181" s="311">
        <f t="shared" si="218"/>
        <v>5.0000000000000044E-2</v>
      </c>
      <c r="AQ181" s="311">
        <f t="shared" ref="AQ181" si="219">AQ180/AP180-1</f>
        <v>5.0000000000000044E-2</v>
      </c>
      <c r="AR181" s="311">
        <f t="shared" ref="AR181:AS181" si="220">AR180/AQ180-1</f>
        <v>5.0000000000000266E-2</v>
      </c>
      <c r="AS181" s="311">
        <f t="shared" si="220"/>
        <v>5.0000000000000044E-2</v>
      </c>
      <c r="AT181" s="312"/>
      <c r="AU181" s="514"/>
    </row>
    <row r="182" spans="1:47" outlineLevel="1">
      <c r="A182" s="298"/>
      <c r="B182" s="2"/>
      <c r="C182" s="18"/>
      <c r="D182" s="18"/>
      <c r="E182" s="18"/>
      <c r="F182" s="18"/>
      <c r="G182" s="18"/>
      <c r="H182" s="18"/>
      <c r="I182" s="18"/>
      <c r="J182" s="18"/>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c r="AL182" s="7"/>
      <c r="AM182" s="7"/>
      <c r="AN182" s="7"/>
      <c r="AO182" s="7"/>
      <c r="AP182" s="7"/>
      <c r="AQ182" s="7"/>
      <c r="AR182" s="7"/>
      <c r="AS182" s="7"/>
      <c r="AT182" s="2"/>
      <c r="AU182" s="2"/>
    </row>
    <row r="183" spans="1:47" ht="14.4" outlineLevel="1">
      <c r="A183" s="298"/>
      <c r="B183" s="348" t="s">
        <v>1227</v>
      </c>
      <c r="C183" s="349"/>
      <c r="D183" s="349"/>
      <c r="E183" s="349"/>
      <c r="F183" s="349"/>
      <c r="G183" s="349"/>
      <c r="H183" s="349"/>
      <c r="I183" s="349"/>
      <c r="J183" s="349"/>
      <c r="K183" s="350"/>
      <c r="L183" s="350"/>
      <c r="M183" s="350"/>
      <c r="N183" s="350"/>
      <c r="O183" s="350"/>
      <c r="P183" s="350"/>
      <c r="Q183" s="350"/>
      <c r="R183" s="350"/>
      <c r="S183" s="350"/>
      <c r="T183" s="350"/>
      <c r="U183" s="350"/>
      <c r="V183" s="350"/>
      <c r="W183" s="351"/>
      <c r="X183" s="352"/>
      <c r="Y183" s="352"/>
      <c r="Z183" s="351"/>
      <c r="AA183" s="350"/>
      <c r="AB183" s="353"/>
      <c r="AC183" s="353"/>
      <c r="AD183" s="353"/>
      <c r="AE183" s="353"/>
      <c r="AF183" s="353"/>
      <c r="AG183" s="353"/>
      <c r="AH183" s="353"/>
      <c r="AI183" s="353"/>
      <c r="AJ183" s="353"/>
      <c r="AK183" s="353"/>
      <c r="AL183" s="353"/>
      <c r="AM183" s="353"/>
      <c r="AN183" s="353"/>
      <c r="AO183" s="353"/>
      <c r="AP183" s="353"/>
      <c r="AQ183" s="353"/>
      <c r="AR183" s="353"/>
      <c r="AS183" s="353"/>
      <c r="AT183" s="2"/>
      <c r="AU183" s="2"/>
    </row>
    <row r="184" spans="1:47" outlineLevel="1">
      <c r="A184" s="298"/>
      <c r="B184" s="2"/>
      <c r="C184" s="18"/>
      <c r="D184" s="18"/>
      <c r="E184" s="18"/>
      <c r="F184" s="18"/>
      <c r="G184" s="18"/>
      <c r="H184" s="18"/>
      <c r="I184" s="18"/>
      <c r="J184" s="18"/>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c r="AL184" s="7"/>
      <c r="AM184" s="7"/>
      <c r="AN184" s="7"/>
      <c r="AO184" s="7"/>
      <c r="AP184" s="7"/>
      <c r="AQ184" s="7"/>
      <c r="AR184" s="7"/>
      <c r="AS184" s="7"/>
      <c r="AT184" s="2"/>
      <c r="AU184" s="2"/>
    </row>
    <row r="185" spans="1:47" outlineLevel="1">
      <c r="A185" s="368"/>
      <c r="B185" s="367" t="s">
        <v>1226</v>
      </c>
      <c r="C185" s="368" t="s">
        <v>180</v>
      </c>
      <c r="D185" s="368"/>
      <c r="E185" s="368"/>
      <c r="F185" s="368"/>
      <c r="G185" s="368"/>
      <c r="H185" s="368"/>
      <c r="I185" s="368"/>
      <c r="J185" s="368"/>
      <c r="K185" s="369">
        <f t="shared" ref="K185:AO185" si="221">+K131+K145+K159+K173</f>
        <v>4.1260000000000003</v>
      </c>
      <c r="L185" s="369">
        <f t="shared" si="221"/>
        <v>5.1760000000000002</v>
      </c>
      <c r="M185" s="369">
        <f t="shared" si="221"/>
        <v>5.9420000000000002</v>
      </c>
      <c r="N185" s="369">
        <f t="shared" si="221"/>
        <v>6.5689999999999991</v>
      </c>
      <c r="O185" s="369">
        <f t="shared" si="221"/>
        <v>7.6039999999999992</v>
      </c>
      <c r="P185" s="369">
        <f t="shared" si="221"/>
        <v>8.2270000000000003</v>
      </c>
      <c r="Q185" s="369">
        <f t="shared" si="221"/>
        <v>8.5289999999999999</v>
      </c>
      <c r="R185" s="369">
        <f t="shared" si="221"/>
        <v>9.2119999999999997</v>
      </c>
      <c r="S185" s="369">
        <f t="shared" si="221"/>
        <v>9.2729999999999997</v>
      </c>
      <c r="T185" s="369">
        <f t="shared" si="221"/>
        <v>10.190999999999999</v>
      </c>
      <c r="U185" s="369">
        <f t="shared" si="221"/>
        <v>10.561999999999998</v>
      </c>
      <c r="V185" s="369">
        <f t="shared" si="221"/>
        <v>12.222000000000001</v>
      </c>
      <c r="W185" s="369">
        <f t="shared" si="221"/>
        <v>13.79</v>
      </c>
      <c r="X185" s="369">
        <f t="shared" si="221"/>
        <v>15.045000000000002</v>
      </c>
      <c r="Y185" s="369">
        <f t="shared" si="221"/>
        <v>15.978999999999999</v>
      </c>
      <c r="Z185" s="369">
        <f t="shared" si="221"/>
        <v>16.672999999999998</v>
      </c>
      <c r="AA185" s="369">
        <f t="shared" si="221"/>
        <v>17.233000000000001</v>
      </c>
      <c r="AB185" s="369">
        <v>17.373999999999999</v>
      </c>
      <c r="AC185" s="369">
        <v>17.716000000000005</v>
      </c>
      <c r="AD185" s="369">
        <f t="shared" si="221"/>
        <v>18.338000000000001</v>
      </c>
      <c r="AE185" s="369">
        <f>+AE131+AE145+AE159+AE173</f>
        <v>18.744999999999997</v>
      </c>
      <c r="AF185" s="369">
        <f t="shared" si="221"/>
        <v>19.442875000000001</v>
      </c>
      <c r="AG185" s="369">
        <f>+AG131+AG145+AG159+AG173</f>
        <v>22.0911328125</v>
      </c>
      <c r="AH185" s="369">
        <f>+AH131+AH145+AH159+AH173</f>
        <v>22.624000000000002</v>
      </c>
      <c r="AI185" s="369">
        <f>+AI131+AI145+AI159+AI173</f>
        <v>24.139000000000003</v>
      </c>
      <c r="AJ185" s="369">
        <f>+AJ131+AJ145+AJ159+AJ173</f>
        <v>24.834797000000002</v>
      </c>
      <c r="AK185" s="369">
        <f t="shared" si="221"/>
        <v>25.828824099767445</v>
      </c>
      <c r="AL185" s="369">
        <f t="shared" si="221"/>
        <v>26.425954554955815</v>
      </c>
      <c r="AM185" s="369">
        <f t="shared" si="221"/>
        <v>27.050570444305606</v>
      </c>
      <c r="AN185" s="369">
        <f t="shared" si="221"/>
        <v>27.703993682914678</v>
      </c>
      <c r="AO185" s="369">
        <f t="shared" si="221"/>
        <v>28.387612078675847</v>
      </c>
      <c r="AP185" s="369">
        <f>+AP131+AP145+AP159+AP173</f>
        <v>29.102882621749281</v>
      </c>
      <c r="AQ185" s="369">
        <f t="shared" ref="AQ185:AR185" si="222">+AQ131+AQ145+AQ159+AQ173</f>
        <v>29.85133493848835</v>
      </c>
      <c r="AR185" s="369">
        <f t="shared" si="222"/>
        <v>30.634574918041061</v>
      </c>
      <c r="AS185" s="369">
        <f t="shared" ref="AS185" si="223">+AS131+AS145+AS159+AS173</f>
        <v>31.454288520260427</v>
      </c>
      <c r="AT185" s="367"/>
      <c r="AU185" s="367"/>
    </row>
    <row r="186" spans="1:47" outlineLevel="1">
      <c r="A186" s="308"/>
      <c r="B186" s="347" t="s">
        <v>1099</v>
      </c>
      <c r="C186" s="310" t="s">
        <v>733</v>
      </c>
      <c r="D186" s="310"/>
      <c r="E186" s="310"/>
      <c r="F186" s="310"/>
      <c r="G186" s="310"/>
      <c r="H186" s="310"/>
      <c r="I186" s="310"/>
      <c r="J186" s="310"/>
      <c r="K186" s="311"/>
      <c r="L186" s="311">
        <f t="shared" ref="L186:AP186" si="224">L185/K185-1</f>
        <v>0.25448376151236052</v>
      </c>
      <c r="M186" s="311">
        <f t="shared" si="224"/>
        <v>0.14799072642967537</v>
      </c>
      <c r="N186" s="311">
        <f t="shared" si="224"/>
        <v>0.1055200269269605</v>
      </c>
      <c r="O186" s="311">
        <f t="shared" si="224"/>
        <v>0.15755822804079767</v>
      </c>
      <c r="P186" s="311">
        <f t="shared" si="224"/>
        <v>8.1930562861652012E-2</v>
      </c>
      <c r="Q186" s="311">
        <f t="shared" si="224"/>
        <v>3.6708399173453143E-2</v>
      </c>
      <c r="R186" s="311">
        <f t="shared" si="224"/>
        <v>8.0079727986868354E-2</v>
      </c>
      <c r="S186" s="311">
        <f t="shared" si="224"/>
        <v>6.6217976552322977E-3</v>
      </c>
      <c r="T186" s="311">
        <f t="shared" si="224"/>
        <v>9.8997088320931681E-2</v>
      </c>
      <c r="U186" s="311">
        <f t="shared" si="224"/>
        <v>3.6404670787949955E-2</v>
      </c>
      <c r="V186" s="311">
        <f t="shared" si="224"/>
        <v>0.15716720318121613</v>
      </c>
      <c r="W186" s="311">
        <f t="shared" si="224"/>
        <v>0.12829324169530332</v>
      </c>
      <c r="X186" s="311">
        <f t="shared" si="224"/>
        <v>9.1007976794779122E-2</v>
      </c>
      <c r="Y186" s="311">
        <f t="shared" si="224"/>
        <v>6.2080425390494964E-2</v>
      </c>
      <c r="Z186" s="311">
        <f t="shared" si="224"/>
        <v>4.3432004505914001E-2</v>
      </c>
      <c r="AA186" s="311">
        <f t="shared" si="224"/>
        <v>3.3587236849997204E-2</v>
      </c>
      <c r="AB186" s="311">
        <v>8.1819764405499651E-3</v>
      </c>
      <c r="AC186" s="311">
        <v>1.9684586163232654E-2</v>
      </c>
      <c r="AD186" s="311">
        <f t="shared" si="224"/>
        <v>3.510950553172254E-2</v>
      </c>
      <c r="AE186" s="311">
        <f t="shared" si="224"/>
        <v>2.219435052895613E-2</v>
      </c>
      <c r="AF186" s="311">
        <f t="shared" si="224"/>
        <v>3.7229927980795052E-2</v>
      </c>
      <c r="AG186" s="311">
        <f t="shared" si="224"/>
        <v>0.13620710993101581</v>
      </c>
      <c r="AH186" s="311">
        <f t="shared" si="224"/>
        <v>2.4121315643826469E-2</v>
      </c>
      <c r="AI186" s="311">
        <f t="shared" si="224"/>
        <v>6.6964285714285809E-2</v>
      </c>
      <c r="AJ186" s="311">
        <f t="shared" si="224"/>
        <v>2.8824599196321188E-2</v>
      </c>
      <c r="AK186" s="311">
        <f t="shared" si="224"/>
        <v>4.0025577811948487E-2</v>
      </c>
      <c r="AL186" s="311">
        <f t="shared" si="224"/>
        <v>2.3118762700224726E-2</v>
      </c>
      <c r="AM186" s="311">
        <f t="shared" si="224"/>
        <v>2.3636455139239398E-2</v>
      </c>
      <c r="AN186" s="311">
        <f t="shared" si="224"/>
        <v>2.4155617714399114E-2</v>
      </c>
      <c r="AO186" s="311">
        <f t="shared" si="224"/>
        <v>2.4675806801918387E-2</v>
      </c>
      <c r="AP186" s="311">
        <f t="shared" si="224"/>
        <v>2.5196573106997189E-2</v>
      </c>
      <c r="AQ186" s="311">
        <f t="shared" ref="AQ186" si="225">AQ185/AP185-1</f>
        <v>2.5717463334018031E-2</v>
      </c>
      <c r="AR186" s="311">
        <f t="shared" ref="AR186:AS186" si="226">AR185/AQ185-1</f>
        <v>2.6238021889696261E-2</v>
      </c>
      <c r="AS186" s="311">
        <f t="shared" si="226"/>
        <v>2.6757792605655695E-2</v>
      </c>
      <c r="AT186" s="312"/>
      <c r="AU186" s="514"/>
    </row>
    <row r="187" spans="1:47" outlineLevel="1">
      <c r="A187" s="357"/>
      <c r="B187" s="403" t="s">
        <v>1228</v>
      </c>
      <c r="C187" s="357" t="s">
        <v>180</v>
      </c>
      <c r="D187" s="357"/>
      <c r="E187" s="357"/>
      <c r="F187" s="357"/>
      <c r="G187" s="357"/>
      <c r="H187" s="357"/>
      <c r="I187" s="357"/>
      <c r="J187" s="357"/>
      <c r="K187" s="359">
        <f t="shared" ref="K187:AP187" si="227">AVERAGE(J185:K185)</f>
        <v>4.1260000000000003</v>
      </c>
      <c r="L187" s="359">
        <f t="shared" si="227"/>
        <v>4.6509999999999998</v>
      </c>
      <c r="M187" s="359">
        <f t="shared" si="227"/>
        <v>5.5590000000000002</v>
      </c>
      <c r="N187" s="359">
        <f t="shared" si="227"/>
        <v>6.2554999999999996</v>
      </c>
      <c r="O187" s="359">
        <f t="shared" si="227"/>
        <v>7.0864999999999991</v>
      </c>
      <c r="P187" s="359">
        <f t="shared" si="227"/>
        <v>7.9154999999999998</v>
      </c>
      <c r="Q187" s="359">
        <f t="shared" si="227"/>
        <v>8.3780000000000001</v>
      </c>
      <c r="R187" s="359">
        <f t="shared" si="227"/>
        <v>8.8704999999999998</v>
      </c>
      <c r="S187" s="359">
        <f t="shared" si="227"/>
        <v>9.2424999999999997</v>
      </c>
      <c r="T187" s="359">
        <f t="shared" si="227"/>
        <v>9.7319999999999993</v>
      </c>
      <c r="U187" s="359">
        <f t="shared" si="227"/>
        <v>10.376499999999998</v>
      </c>
      <c r="V187" s="359">
        <f t="shared" si="227"/>
        <v>11.391999999999999</v>
      </c>
      <c r="W187" s="359">
        <f t="shared" si="227"/>
        <v>13.006</v>
      </c>
      <c r="X187" s="359">
        <f t="shared" si="227"/>
        <v>14.4175</v>
      </c>
      <c r="Y187" s="359">
        <f t="shared" si="227"/>
        <v>15.512</v>
      </c>
      <c r="Z187" s="359">
        <f t="shared" si="227"/>
        <v>16.326000000000001</v>
      </c>
      <c r="AA187" s="359">
        <f t="shared" si="227"/>
        <v>16.952999999999999</v>
      </c>
      <c r="AB187" s="359">
        <v>17.3035</v>
      </c>
      <c r="AC187" s="359">
        <v>17.545000000000002</v>
      </c>
      <c r="AD187" s="359">
        <f t="shared" si="227"/>
        <v>18.027000000000001</v>
      </c>
      <c r="AE187" s="359">
        <f t="shared" si="227"/>
        <v>18.541499999999999</v>
      </c>
      <c r="AF187" s="359">
        <f t="shared" si="227"/>
        <v>19.093937499999999</v>
      </c>
      <c r="AG187" s="359">
        <f t="shared" si="227"/>
        <v>20.76700390625</v>
      </c>
      <c r="AH187" s="359">
        <f t="shared" si="227"/>
        <v>22.357566406250001</v>
      </c>
      <c r="AI187" s="359">
        <f t="shared" si="227"/>
        <v>23.381500000000003</v>
      </c>
      <c r="AJ187" s="359">
        <f t="shared" si="227"/>
        <v>24.486898500000002</v>
      </c>
      <c r="AK187" s="359">
        <f t="shared" si="227"/>
        <v>25.331810549883723</v>
      </c>
      <c r="AL187" s="359">
        <f t="shared" si="227"/>
        <v>26.12738932736163</v>
      </c>
      <c r="AM187" s="359">
        <f t="shared" si="227"/>
        <v>26.738262499630711</v>
      </c>
      <c r="AN187" s="359">
        <f t="shared" si="227"/>
        <v>27.377282063610142</v>
      </c>
      <c r="AO187" s="359">
        <f t="shared" si="227"/>
        <v>28.045802880795264</v>
      </c>
      <c r="AP187" s="359">
        <f t="shared" si="227"/>
        <v>28.745247350212566</v>
      </c>
      <c r="AQ187" s="359">
        <f t="shared" ref="AQ187" si="228">AVERAGE(AP185:AQ185)</f>
        <v>29.477108780118815</v>
      </c>
      <c r="AR187" s="359">
        <f t="shared" ref="AR187:AS187" si="229">AVERAGE(AQ185:AR185)</f>
        <v>30.242954928264705</v>
      </c>
      <c r="AS187" s="359">
        <f t="shared" si="229"/>
        <v>31.044431719150744</v>
      </c>
      <c r="AT187" s="360"/>
      <c r="AU187" s="360"/>
    </row>
    <row r="188" spans="1:47" outlineLevel="1">
      <c r="A188" s="308"/>
      <c r="B188" s="347" t="s">
        <v>1099</v>
      </c>
      <c r="C188" s="310" t="s">
        <v>733</v>
      </c>
      <c r="D188" s="310"/>
      <c r="E188" s="310"/>
      <c r="F188" s="310"/>
      <c r="G188" s="310"/>
      <c r="H188" s="310"/>
      <c r="I188" s="310"/>
      <c r="J188" s="310"/>
      <c r="K188" s="311"/>
      <c r="L188" s="311"/>
      <c r="M188" s="311">
        <f t="shared" ref="M188:AP188" si="230">M187/L187-1</f>
        <v>0.19522683293915288</v>
      </c>
      <c r="N188" s="311">
        <f t="shared" si="230"/>
        <v>0.12529231876236713</v>
      </c>
      <c r="O188" s="311">
        <f t="shared" si="230"/>
        <v>0.13284309807369499</v>
      </c>
      <c r="P188" s="311">
        <f t="shared" si="230"/>
        <v>0.11698299583715532</v>
      </c>
      <c r="Q188" s="311">
        <f t="shared" si="230"/>
        <v>5.8429663318804836E-2</v>
      </c>
      <c r="R188" s="311">
        <f t="shared" si="230"/>
        <v>5.8784912867032579E-2</v>
      </c>
      <c r="S188" s="311">
        <f t="shared" si="230"/>
        <v>4.193675666535146E-2</v>
      </c>
      <c r="T188" s="311">
        <f t="shared" si="230"/>
        <v>5.2961860968352648E-2</v>
      </c>
      <c r="U188" s="311">
        <f t="shared" si="230"/>
        <v>6.6224825318536684E-2</v>
      </c>
      <c r="V188" s="311">
        <f t="shared" si="230"/>
        <v>9.7865368862333213E-2</v>
      </c>
      <c r="W188" s="311">
        <f t="shared" si="230"/>
        <v>0.14167837078651702</v>
      </c>
      <c r="X188" s="311">
        <f t="shared" si="230"/>
        <v>0.10852683376902972</v>
      </c>
      <c r="Y188" s="311">
        <f t="shared" si="230"/>
        <v>7.5914687012311521E-2</v>
      </c>
      <c r="Z188" s="311">
        <f t="shared" si="230"/>
        <v>5.2475502836513588E-2</v>
      </c>
      <c r="AA188" s="311">
        <f t="shared" si="230"/>
        <v>3.840499816244014E-2</v>
      </c>
      <c r="AB188" s="311">
        <v>2.0674806818852032E-2</v>
      </c>
      <c r="AC188" s="311">
        <v>1.3956713959603739E-2</v>
      </c>
      <c r="AD188" s="311">
        <f t="shared" si="230"/>
        <v>2.7472214306070164E-2</v>
      </c>
      <c r="AE188" s="311">
        <f t="shared" si="230"/>
        <v>2.8540522549509006E-2</v>
      </c>
      <c r="AF188" s="311">
        <f t="shared" si="230"/>
        <v>2.9794649839549159E-2</v>
      </c>
      <c r="AG188" s="311">
        <f t="shared" si="230"/>
        <v>8.7622912049963642E-2</v>
      </c>
      <c r="AH188" s="311">
        <f t="shared" si="230"/>
        <v>7.6590850908508257E-2</v>
      </c>
      <c r="AI188" s="311">
        <f t="shared" si="230"/>
        <v>4.5798079054962137E-2</v>
      </c>
      <c r="AJ188" s="311">
        <f t="shared" si="230"/>
        <v>4.7276628958792255E-2</v>
      </c>
      <c r="AK188" s="311">
        <f t="shared" si="230"/>
        <v>3.4504657659430338E-2</v>
      </c>
      <c r="AL188" s="311">
        <f t="shared" si="230"/>
        <v>3.1406313256260976E-2</v>
      </c>
      <c r="AM188" s="311">
        <f t="shared" si="230"/>
        <v>2.3380566830278449E-2</v>
      </c>
      <c r="AN188" s="311">
        <f t="shared" si="230"/>
        <v>2.3899068385174971E-2</v>
      </c>
      <c r="AO188" s="311">
        <f t="shared" si="230"/>
        <v>2.4418816142224742E-2</v>
      </c>
      <c r="AP188" s="311">
        <f t="shared" si="230"/>
        <v>2.4939363383184032E-2</v>
      </c>
      <c r="AQ188" s="311">
        <f t="shared" ref="AQ188" si="231">AQ187/AP187-1</f>
        <v>2.5460258559954152E-2</v>
      </c>
      <c r="AR188" s="311">
        <f t="shared" ref="AR188:AS188" si="232">AR187/AQ187-1</f>
        <v>2.5981046983224676E-2</v>
      </c>
      <c r="AS188" s="311">
        <f t="shared" si="232"/>
        <v>2.6501272537260867E-2</v>
      </c>
      <c r="AT188" s="312"/>
      <c r="AU188" s="514"/>
    </row>
    <row r="189" spans="1:47" outlineLevel="1">
      <c r="A189" s="308"/>
      <c r="B189" s="346"/>
      <c r="C189" s="310"/>
      <c r="D189" s="310"/>
      <c r="E189" s="310"/>
      <c r="F189" s="310"/>
      <c r="G189" s="310"/>
      <c r="H189" s="310"/>
      <c r="I189" s="310"/>
      <c r="J189" s="310"/>
      <c r="K189" s="311"/>
      <c r="L189" s="311"/>
      <c r="M189" s="311"/>
      <c r="N189" s="311"/>
      <c r="O189" s="311"/>
      <c r="P189" s="311"/>
      <c r="Q189" s="311"/>
      <c r="R189" s="311"/>
      <c r="S189" s="311"/>
      <c r="T189" s="311"/>
      <c r="U189" s="311"/>
      <c r="V189" s="311"/>
      <c r="W189" s="311"/>
      <c r="X189" s="311"/>
      <c r="Y189" s="311"/>
      <c r="Z189" s="311"/>
      <c r="AA189" s="311"/>
      <c r="AB189" s="311"/>
      <c r="AC189" s="311"/>
      <c r="AD189" s="311"/>
      <c r="AE189" s="311"/>
      <c r="AF189" s="311"/>
      <c r="AG189" s="311"/>
      <c r="AH189" s="311"/>
      <c r="AI189" s="311"/>
      <c r="AJ189" s="311"/>
      <c r="AK189" s="311"/>
      <c r="AL189" s="311"/>
      <c r="AM189" s="311"/>
      <c r="AN189" s="311"/>
      <c r="AO189" s="311"/>
      <c r="AP189" s="311"/>
      <c r="AQ189" s="311"/>
      <c r="AR189" s="311"/>
      <c r="AS189" s="311"/>
      <c r="AT189" s="312"/>
      <c r="AU189" s="514"/>
    </row>
    <row r="190" spans="1:47" outlineLevel="1">
      <c r="A190" s="368"/>
      <c r="B190" s="358" t="s">
        <v>1229</v>
      </c>
      <c r="C190" s="368" t="s">
        <v>180</v>
      </c>
      <c r="D190" s="527">
        <v>0.56000000000000005</v>
      </c>
      <c r="E190" s="527">
        <v>0.8</v>
      </c>
      <c r="F190" s="527">
        <v>1.52</v>
      </c>
      <c r="G190" s="527">
        <v>2.2799999999999998</v>
      </c>
      <c r="H190" s="527">
        <v>2.78</v>
      </c>
      <c r="I190" s="527">
        <v>3.07</v>
      </c>
      <c r="J190" s="527">
        <v>3.44</v>
      </c>
      <c r="K190" s="527">
        <v>4.1260000000000003</v>
      </c>
      <c r="L190" s="527">
        <v>5.1760000000000002</v>
      </c>
      <c r="M190" s="527">
        <v>5.9420000000000002</v>
      </c>
      <c r="N190" s="527">
        <v>6.569</v>
      </c>
      <c r="O190" s="527">
        <v>7.6039999999999992</v>
      </c>
      <c r="P190" s="527">
        <v>8.2270000000000003</v>
      </c>
      <c r="Q190" s="527">
        <v>8.5289999999999999</v>
      </c>
      <c r="R190" s="527">
        <v>9.2119999999999997</v>
      </c>
      <c r="S190" s="527">
        <v>9.3350000000000009</v>
      </c>
      <c r="T190" s="527">
        <v>10.191000000000001</v>
      </c>
      <c r="U190" s="527">
        <v>10.555</v>
      </c>
      <c r="V190" s="527">
        <v>12.223000000000001</v>
      </c>
      <c r="W190" s="527">
        <v>13.815</v>
      </c>
      <c r="X190" s="527">
        <v>15.071999999999999</v>
      </c>
      <c r="Y190" s="527">
        <v>15.910337953333121</v>
      </c>
      <c r="Z190" s="527">
        <v>16.672999999999998</v>
      </c>
      <c r="AA190" s="527">
        <v>17.233000000000001</v>
      </c>
      <c r="AB190" s="527">
        <v>17.373999999999999</v>
      </c>
      <c r="AC190" s="527">
        <v>17.716000000000001</v>
      </c>
      <c r="AD190" s="527">
        <v>18.338000000000001</v>
      </c>
      <c r="AE190" s="527">
        <v>18.774999999999999</v>
      </c>
      <c r="AF190" s="527">
        <v>19.471</v>
      </c>
      <c r="AG190" s="925">
        <f>AH190*0.983</f>
        <v>22.1175</v>
      </c>
      <c r="AH190" s="527">
        <v>22.5</v>
      </c>
      <c r="AI190" s="527">
        <v>24.186</v>
      </c>
      <c r="AJ190" s="527">
        <v>24.948</v>
      </c>
      <c r="AK190" s="367">
        <f t="shared" ref="AK190:AP190" si="233">+AK131+AK145+AK159+AK173</f>
        <v>25.828824099767445</v>
      </c>
      <c r="AL190" s="367">
        <f t="shared" si="233"/>
        <v>26.425954554955815</v>
      </c>
      <c r="AM190" s="367">
        <f t="shared" si="233"/>
        <v>27.050570444305606</v>
      </c>
      <c r="AN190" s="367">
        <f t="shared" si="233"/>
        <v>27.703993682914678</v>
      </c>
      <c r="AO190" s="367">
        <f t="shared" si="233"/>
        <v>28.387612078675847</v>
      </c>
      <c r="AP190" s="367">
        <f t="shared" si="233"/>
        <v>29.102882621749281</v>
      </c>
      <c r="AQ190" s="367">
        <f t="shared" ref="AQ190:AR190" si="234">+AQ131+AQ145+AQ159+AQ173</f>
        <v>29.85133493848835</v>
      </c>
      <c r="AR190" s="367">
        <f t="shared" si="234"/>
        <v>30.634574918041061</v>
      </c>
      <c r="AS190" s="367">
        <f t="shared" ref="AS190" si="235">+AS131+AS145+AS159+AS173</f>
        <v>31.454288520260427</v>
      </c>
      <c r="AT190" s="367"/>
      <c r="AU190" s="367"/>
    </row>
    <row r="191" spans="1:47" outlineLevel="1">
      <c r="A191" s="308"/>
      <c r="B191" s="322" t="s">
        <v>1099</v>
      </c>
      <c r="C191" s="310" t="s">
        <v>733</v>
      </c>
      <c r="D191" s="310"/>
      <c r="E191" s="311">
        <f t="shared" ref="E191:K191" si="236">E190/D190-1</f>
        <v>0.4285714285714286</v>
      </c>
      <c r="F191" s="311">
        <f t="shared" si="236"/>
        <v>0.89999999999999991</v>
      </c>
      <c r="G191" s="311">
        <f t="shared" si="236"/>
        <v>0.49999999999999978</v>
      </c>
      <c r="H191" s="311">
        <f t="shared" si="236"/>
        <v>0.2192982456140351</v>
      </c>
      <c r="I191" s="311">
        <f t="shared" si="236"/>
        <v>0.10431654676258995</v>
      </c>
      <c r="J191" s="311">
        <f t="shared" si="236"/>
        <v>0.12052117263843654</v>
      </c>
      <c r="K191" s="311">
        <f t="shared" si="236"/>
        <v>0.19941860465116301</v>
      </c>
      <c r="L191" s="311">
        <f t="shared" ref="L191:AE191" si="237">L190/K190-1</f>
        <v>0.25448376151236052</v>
      </c>
      <c r="M191" s="311">
        <f t="shared" si="237"/>
        <v>0.14799072642967537</v>
      </c>
      <c r="N191" s="311">
        <f t="shared" si="237"/>
        <v>0.1055200269269605</v>
      </c>
      <c r="O191" s="311">
        <f t="shared" si="237"/>
        <v>0.15755822804079767</v>
      </c>
      <c r="P191" s="311">
        <f t="shared" si="237"/>
        <v>8.1930562861652012E-2</v>
      </c>
      <c r="Q191" s="311">
        <f t="shared" si="237"/>
        <v>3.6708399173453143E-2</v>
      </c>
      <c r="R191" s="311">
        <f t="shared" si="237"/>
        <v>8.0079727986868354E-2</v>
      </c>
      <c r="S191" s="311">
        <f t="shared" si="237"/>
        <v>1.3352149370386535E-2</v>
      </c>
      <c r="T191" s="311">
        <f t="shared" si="237"/>
        <v>9.1697911087305739E-2</v>
      </c>
      <c r="U191" s="311">
        <f t="shared" si="237"/>
        <v>3.5717790207045352E-2</v>
      </c>
      <c r="V191" s="311">
        <f t="shared" si="237"/>
        <v>0.15802936996684047</v>
      </c>
      <c r="W191" s="311">
        <f t="shared" si="237"/>
        <v>0.13024625705636894</v>
      </c>
      <c r="X191" s="311">
        <f t="shared" si="237"/>
        <v>9.0988056460369116E-2</v>
      </c>
      <c r="Y191" s="311">
        <f t="shared" si="237"/>
        <v>5.5622210279532958E-2</v>
      </c>
      <c r="Z191" s="311">
        <f t="shared" si="237"/>
        <v>4.7934999803514788E-2</v>
      </c>
      <c r="AA191" s="311">
        <f t="shared" si="237"/>
        <v>3.3587236849997204E-2</v>
      </c>
      <c r="AB191" s="311">
        <v>8.1819764405499651E-3</v>
      </c>
      <c r="AC191" s="311">
        <v>1.9684586163232654E-2</v>
      </c>
      <c r="AD191" s="311">
        <f t="shared" si="237"/>
        <v>3.5109505531722762E-2</v>
      </c>
      <c r="AE191" s="311">
        <f t="shared" si="237"/>
        <v>2.3830297742392759E-2</v>
      </c>
      <c r="AF191" s="311">
        <f t="shared" ref="AF191:AP191" si="238">AF190/AE190-1</f>
        <v>3.7070572569906979E-2</v>
      </c>
      <c r="AG191" s="311">
        <f t="shared" si="238"/>
        <v>0.13592008628216323</v>
      </c>
      <c r="AH191" s="311">
        <f t="shared" si="238"/>
        <v>1.7293997965412089E-2</v>
      </c>
      <c r="AI191" s="311">
        <f t="shared" si="238"/>
        <v>7.4933333333333296E-2</v>
      </c>
      <c r="AJ191" s="311">
        <f t="shared" si="238"/>
        <v>3.1505829818903486E-2</v>
      </c>
      <c r="AK191" s="311">
        <f t="shared" si="238"/>
        <v>3.530640130541296E-2</v>
      </c>
      <c r="AL191" s="311">
        <f t="shared" si="238"/>
        <v>2.3118762700224726E-2</v>
      </c>
      <c r="AM191" s="311">
        <f t="shared" si="238"/>
        <v>2.3636455139239398E-2</v>
      </c>
      <c r="AN191" s="311">
        <f t="shared" si="238"/>
        <v>2.4155617714399114E-2</v>
      </c>
      <c r="AO191" s="311">
        <f t="shared" si="238"/>
        <v>2.4675806801918387E-2</v>
      </c>
      <c r="AP191" s="311">
        <f t="shared" si="238"/>
        <v>2.5196573106997189E-2</v>
      </c>
      <c r="AQ191" s="311">
        <f t="shared" ref="AQ191" si="239">AQ190/AP190-1</f>
        <v>2.5717463334018031E-2</v>
      </c>
      <c r="AR191" s="311">
        <f t="shared" ref="AR191:AS191" si="240">AR190/AQ190-1</f>
        <v>2.6238021889696261E-2</v>
      </c>
      <c r="AS191" s="311">
        <f t="shared" si="240"/>
        <v>2.6757792605655695E-2</v>
      </c>
      <c r="AT191" s="312"/>
      <c r="AU191" s="514"/>
    </row>
    <row r="192" spans="1:47" outlineLevel="1">
      <c r="A192" s="308"/>
      <c r="B192" s="347" t="s">
        <v>1214</v>
      </c>
      <c r="C192" s="310" t="s">
        <v>733</v>
      </c>
      <c r="D192" s="311"/>
      <c r="E192" s="311"/>
      <c r="F192" s="311"/>
      <c r="G192" s="311"/>
      <c r="H192" s="311"/>
      <c r="I192" s="311"/>
      <c r="J192" s="311"/>
      <c r="K192" s="311">
        <f t="shared" ref="K192:AA192" si="241">+K190/K185-1</f>
        <v>0</v>
      </c>
      <c r="L192" s="311">
        <f t="shared" si="241"/>
        <v>0</v>
      </c>
      <c r="M192" s="311">
        <f t="shared" si="241"/>
        <v>0</v>
      </c>
      <c r="N192" s="311">
        <f t="shared" si="241"/>
        <v>0</v>
      </c>
      <c r="O192" s="311">
        <f t="shared" si="241"/>
        <v>0</v>
      </c>
      <c r="P192" s="311">
        <f t="shared" si="241"/>
        <v>0</v>
      </c>
      <c r="Q192" s="311">
        <f t="shared" si="241"/>
        <v>0</v>
      </c>
      <c r="R192" s="311">
        <f t="shared" si="241"/>
        <v>0</v>
      </c>
      <c r="S192" s="311">
        <f t="shared" si="241"/>
        <v>6.6860778604551641E-3</v>
      </c>
      <c r="T192" s="311">
        <f t="shared" si="241"/>
        <v>0</v>
      </c>
      <c r="U192" s="311">
        <f t="shared" si="241"/>
        <v>-6.6275326642661891E-4</v>
      </c>
      <c r="V192" s="311">
        <f t="shared" si="241"/>
        <v>8.1819669448535137E-5</v>
      </c>
      <c r="W192" s="311">
        <f t="shared" si="241"/>
        <v>1.8129079042785712E-3</v>
      </c>
      <c r="X192" s="311">
        <f t="shared" si="241"/>
        <v>1.7946161515451919E-3</v>
      </c>
      <c r="Y192" s="311">
        <f t="shared" si="241"/>
        <v>-4.2970177524800368E-3</v>
      </c>
      <c r="Z192" s="311">
        <f t="shared" si="241"/>
        <v>0</v>
      </c>
      <c r="AA192" s="311">
        <f t="shared" si="241"/>
        <v>0</v>
      </c>
      <c r="AB192" s="311">
        <v>0</v>
      </c>
      <c r="AC192" s="311">
        <v>0</v>
      </c>
      <c r="AD192" s="311">
        <f t="shared" ref="AD192:AI192" si="242">+AD190/AD185-1</f>
        <v>0</v>
      </c>
      <c r="AE192" s="311">
        <f t="shared" si="242"/>
        <v>1.600426780474784E-3</v>
      </c>
      <c r="AF192" s="311">
        <f t="shared" si="242"/>
        <v>1.4465453283014629E-3</v>
      </c>
      <c r="AG192" s="311">
        <f t="shared" si="242"/>
        <v>1.1935643012874753E-3</v>
      </c>
      <c r="AH192" s="311">
        <f t="shared" si="242"/>
        <v>-5.4809052333806285E-3</v>
      </c>
      <c r="AI192" s="311">
        <f t="shared" si="242"/>
        <v>1.9470566303489978E-3</v>
      </c>
      <c r="AJ192" s="311">
        <f t="shared" ref="AJ192" si="243">+AJ190/AJ185-1</f>
        <v>4.5582414062010912E-3</v>
      </c>
      <c r="AK192" s="311"/>
      <c r="AL192" s="311"/>
      <c r="AM192" s="311"/>
      <c r="AN192" s="311"/>
      <c r="AO192" s="311"/>
      <c r="AP192" s="311"/>
      <c r="AQ192" s="311"/>
      <c r="AR192" s="311"/>
      <c r="AS192" s="311"/>
      <c r="AT192" s="312"/>
      <c r="AU192" s="514"/>
    </row>
    <row r="193" spans="1:47" outlineLevel="1">
      <c r="A193" s="357"/>
      <c r="B193" s="375" t="s">
        <v>1191</v>
      </c>
      <c r="C193" s="368" t="s">
        <v>180</v>
      </c>
      <c r="D193" s="357"/>
      <c r="E193" s="357"/>
      <c r="F193" s="357"/>
      <c r="G193" s="357"/>
      <c r="H193" s="357"/>
      <c r="I193" s="357"/>
      <c r="J193" s="357"/>
      <c r="K193" s="525">
        <v>0.69099999999999995</v>
      </c>
      <c r="L193" s="359">
        <f t="shared" ref="L193:AP193" si="244">L190-K190</f>
        <v>1.0499999999999998</v>
      </c>
      <c r="M193" s="359">
        <f t="shared" si="244"/>
        <v>0.76600000000000001</v>
      </c>
      <c r="N193" s="359">
        <f t="shared" si="244"/>
        <v>0.62699999999999978</v>
      </c>
      <c r="O193" s="359">
        <f t="shared" si="244"/>
        <v>1.0349999999999993</v>
      </c>
      <c r="P193" s="359">
        <f t="shared" si="244"/>
        <v>0.62300000000000111</v>
      </c>
      <c r="Q193" s="359">
        <f t="shared" si="244"/>
        <v>0.3019999999999996</v>
      </c>
      <c r="R193" s="359">
        <f t="shared" si="244"/>
        <v>0.68299999999999983</v>
      </c>
      <c r="S193" s="359">
        <f t="shared" si="244"/>
        <v>0.12300000000000111</v>
      </c>
      <c r="T193" s="359">
        <f t="shared" si="244"/>
        <v>0.85599999999999987</v>
      </c>
      <c r="U193" s="359">
        <f t="shared" si="244"/>
        <v>0.36399999999999899</v>
      </c>
      <c r="V193" s="359">
        <f t="shared" si="244"/>
        <v>1.668000000000001</v>
      </c>
      <c r="W193" s="359">
        <f t="shared" si="244"/>
        <v>1.5919999999999987</v>
      </c>
      <c r="X193" s="359">
        <f t="shared" si="244"/>
        <v>1.2569999999999997</v>
      </c>
      <c r="Y193" s="359">
        <f t="shared" si="244"/>
        <v>0.83833795333312189</v>
      </c>
      <c r="Z193" s="359">
        <f t="shared" si="244"/>
        <v>0.7626620466668772</v>
      </c>
      <c r="AA193" s="359">
        <f t="shared" si="244"/>
        <v>0.56000000000000227</v>
      </c>
      <c r="AB193" s="359">
        <v>0.14099999999999824</v>
      </c>
      <c r="AC193" s="359">
        <v>0.3420000000000023</v>
      </c>
      <c r="AD193" s="359">
        <f t="shared" si="244"/>
        <v>0.62199999999999989</v>
      </c>
      <c r="AE193" s="359">
        <f t="shared" si="244"/>
        <v>0.43699999999999761</v>
      </c>
      <c r="AF193" s="359">
        <f t="shared" si="244"/>
        <v>0.69600000000000151</v>
      </c>
      <c r="AG193" s="359">
        <f t="shared" si="244"/>
        <v>2.6464999999999996</v>
      </c>
      <c r="AH193" s="359">
        <f t="shared" si="244"/>
        <v>0.38250000000000028</v>
      </c>
      <c r="AI193" s="359">
        <f t="shared" si="244"/>
        <v>1.6859999999999999</v>
      </c>
      <c r="AJ193" s="359">
        <f t="shared" si="244"/>
        <v>0.76200000000000045</v>
      </c>
      <c r="AK193" s="359">
        <f t="shared" si="244"/>
        <v>0.88082409976744458</v>
      </c>
      <c r="AL193" s="359">
        <f t="shared" si="244"/>
        <v>0.59713045518837049</v>
      </c>
      <c r="AM193" s="359">
        <f t="shared" si="244"/>
        <v>0.62461588934979062</v>
      </c>
      <c r="AN193" s="359">
        <f t="shared" si="244"/>
        <v>0.65342323860907214</v>
      </c>
      <c r="AO193" s="359">
        <f t="shared" si="244"/>
        <v>0.68361839576116878</v>
      </c>
      <c r="AP193" s="359">
        <f t="shared" si="244"/>
        <v>0.71527054307343363</v>
      </c>
      <c r="AQ193" s="359">
        <f t="shared" ref="AQ193" si="245">AQ190-AP190</f>
        <v>0.74845231673906909</v>
      </c>
      <c r="AR193" s="359">
        <f t="shared" ref="AR193:AS193" si="246">AR190-AQ190</f>
        <v>0.78323997955271096</v>
      </c>
      <c r="AS193" s="359">
        <f t="shared" si="246"/>
        <v>0.81971360221936607</v>
      </c>
      <c r="AT193" s="360"/>
      <c r="AU193" s="360"/>
    </row>
    <row r="194" spans="1:47" outlineLevel="1">
      <c r="A194" s="308"/>
      <c r="B194" s="347" t="s">
        <v>901</v>
      </c>
      <c r="C194" s="397" t="s">
        <v>733</v>
      </c>
      <c r="D194" s="310"/>
      <c r="E194" s="310"/>
      <c r="F194" s="310"/>
      <c r="G194" s="310"/>
      <c r="H194" s="310"/>
      <c r="I194" s="310"/>
      <c r="J194" s="310"/>
      <c r="K194" s="528">
        <v>0.156</v>
      </c>
      <c r="L194" s="528">
        <v>0.16</v>
      </c>
      <c r="M194" s="528">
        <v>0.22</v>
      </c>
      <c r="N194" s="528">
        <v>0.184</v>
      </c>
      <c r="O194" s="528">
        <v>0.17100000000000001</v>
      </c>
      <c r="P194" s="528">
        <v>0.192</v>
      </c>
      <c r="Q194" s="528">
        <v>0.23400000000000001</v>
      </c>
      <c r="R194" s="528">
        <v>0.20399999999999999</v>
      </c>
      <c r="S194" s="528">
        <v>0.28999999999999998</v>
      </c>
      <c r="T194" s="528">
        <v>0.23</v>
      </c>
      <c r="U194" s="528">
        <v>0.25900000000000001</v>
      </c>
      <c r="V194" s="528">
        <v>0.23</v>
      </c>
      <c r="W194" s="528">
        <v>0.122</v>
      </c>
      <c r="X194" s="528">
        <v>0.109</v>
      </c>
      <c r="Y194" s="528">
        <v>0.105</v>
      </c>
      <c r="Z194" s="528">
        <v>0.115</v>
      </c>
      <c r="AA194" s="528">
        <v>0.105</v>
      </c>
      <c r="AB194" s="528">
        <v>0.11</v>
      </c>
      <c r="AC194" s="528">
        <v>0.109</v>
      </c>
      <c r="AD194" s="621">
        <v>0.109</v>
      </c>
      <c r="AE194" s="621">
        <f t="shared" ref="AE194" si="247">AD194</f>
        <v>0.109</v>
      </c>
      <c r="AF194" s="621">
        <v>0.11</v>
      </c>
      <c r="AG194" s="621">
        <v>0.11</v>
      </c>
      <c r="AH194" s="621">
        <v>0.11</v>
      </c>
      <c r="AI194" s="621">
        <v>0.11</v>
      </c>
      <c r="AJ194" s="621">
        <v>0.11</v>
      </c>
      <c r="AK194" s="621">
        <v>0.11</v>
      </c>
      <c r="AL194" s="621">
        <v>0.11</v>
      </c>
      <c r="AM194" s="621">
        <v>0.11</v>
      </c>
      <c r="AN194" s="621">
        <v>0.11</v>
      </c>
      <c r="AO194" s="621">
        <v>0.11</v>
      </c>
      <c r="AP194" s="621">
        <v>0.11</v>
      </c>
      <c r="AQ194" s="621">
        <v>0.11</v>
      </c>
      <c r="AR194" s="621">
        <v>0.11</v>
      </c>
      <c r="AS194" s="621">
        <v>0.11</v>
      </c>
      <c r="AT194" s="312"/>
      <c r="AU194" s="514"/>
    </row>
    <row r="195" spans="1:47" outlineLevel="1">
      <c r="A195" s="368"/>
      <c r="B195" s="375" t="s">
        <v>1192</v>
      </c>
      <c r="C195" s="368" t="s">
        <v>180</v>
      </c>
      <c r="D195" s="368"/>
      <c r="E195" s="368"/>
      <c r="F195" s="368"/>
      <c r="G195" s="368"/>
      <c r="H195" s="368"/>
      <c r="I195" s="368"/>
      <c r="J195" s="368"/>
      <c r="K195" s="369">
        <f t="shared" ref="K195:AA195" si="248">(K194*K187)+K193</f>
        <v>1.3346559999999998</v>
      </c>
      <c r="L195" s="369">
        <f t="shared" si="248"/>
        <v>1.7941599999999998</v>
      </c>
      <c r="M195" s="369">
        <f t="shared" si="248"/>
        <v>1.98898</v>
      </c>
      <c r="N195" s="369">
        <f t="shared" si="248"/>
        <v>1.7780119999999997</v>
      </c>
      <c r="O195" s="369">
        <f t="shared" si="248"/>
        <v>2.2467914999999992</v>
      </c>
      <c r="P195" s="369">
        <f t="shared" si="248"/>
        <v>2.1427760000000013</v>
      </c>
      <c r="Q195" s="369">
        <f t="shared" si="248"/>
        <v>2.2624519999999997</v>
      </c>
      <c r="R195" s="369">
        <f t="shared" si="248"/>
        <v>2.4925819999999996</v>
      </c>
      <c r="S195" s="369">
        <f t="shared" si="248"/>
        <v>2.803325000000001</v>
      </c>
      <c r="T195" s="369">
        <f t="shared" si="248"/>
        <v>3.09436</v>
      </c>
      <c r="U195" s="369">
        <f t="shared" si="248"/>
        <v>3.0515134999999987</v>
      </c>
      <c r="V195" s="369">
        <f t="shared" si="248"/>
        <v>4.2881600000000013</v>
      </c>
      <c r="W195" s="369">
        <f t="shared" si="248"/>
        <v>3.1787319999999988</v>
      </c>
      <c r="X195" s="369">
        <f t="shared" si="248"/>
        <v>2.8285074999999997</v>
      </c>
      <c r="Y195" s="369">
        <f t="shared" si="248"/>
        <v>2.4670979533331217</v>
      </c>
      <c r="Z195" s="369">
        <f t="shared" si="248"/>
        <v>2.6401520466668771</v>
      </c>
      <c r="AA195" s="369">
        <f t="shared" si="248"/>
        <v>2.3400650000000018</v>
      </c>
      <c r="AB195" s="369">
        <v>2.0443849999999983</v>
      </c>
      <c r="AC195" s="369">
        <v>2.2544050000000024</v>
      </c>
      <c r="AD195" s="369">
        <f t="shared" ref="AD195:AO195" si="249">(AD194*AD187)+AD193</f>
        <v>2.5869429999999998</v>
      </c>
      <c r="AE195" s="369">
        <f t="shared" si="249"/>
        <v>2.4580234999999977</v>
      </c>
      <c r="AF195" s="369">
        <f t="shared" si="249"/>
        <v>2.7963331250000016</v>
      </c>
      <c r="AG195" s="369">
        <f>(AG194*AG187)+AG193</f>
        <v>4.9308704296875003</v>
      </c>
      <c r="AH195" s="369">
        <f>(AH194*AH187)+AH193</f>
        <v>2.8418323046875003</v>
      </c>
      <c r="AI195" s="369">
        <f>(AI194*AI187)+AI193</f>
        <v>4.2579650000000004</v>
      </c>
      <c r="AJ195" s="369">
        <f>(AJ194*AJ187)+AJ193</f>
        <v>3.4555588350000006</v>
      </c>
      <c r="AK195" s="369">
        <f t="shared" si="249"/>
        <v>3.6673232602546544</v>
      </c>
      <c r="AL195" s="369">
        <f t="shared" si="249"/>
        <v>3.4711432811981497</v>
      </c>
      <c r="AM195" s="369">
        <f t="shared" si="249"/>
        <v>3.5658247643091689</v>
      </c>
      <c r="AN195" s="369">
        <f t="shared" si="249"/>
        <v>3.6649242656061878</v>
      </c>
      <c r="AO195" s="369">
        <f t="shared" si="249"/>
        <v>3.7686567126486481</v>
      </c>
      <c r="AP195" s="369">
        <f>(AP194*AP187)+AP193</f>
        <v>3.877247751596816</v>
      </c>
      <c r="AQ195" s="369">
        <f t="shared" ref="AQ195:AR195" si="250">(AQ194*AQ187)+AQ193</f>
        <v>3.9909342825521388</v>
      </c>
      <c r="AR195" s="369">
        <f t="shared" si="250"/>
        <v>4.1099650216618286</v>
      </c>
      <c r="AS195" s="369">
        <f t="shared" ref="AS195" si="251">(AS194*AS187)+AS193</f>
        <v>4.2346010913259473</v>
      </c>
      <c r="AT195" s="367"/>
      <c r="AU195" s="367"/>
    </row>
    <row r="196" spans="1:47" outlineLevel="1">
      <c r="A196" s="298"/>
      <c r="B196" s="55"/>
      <c r="C196" s="18"/>
      <c r="D196" s="18"/>
      <c r="E196" s="18"/>
      <c r="F196" s="18"/>
      <c r="G196" s="18"/>
      <c r="H196" s="18"/>
      <c r="I196" s="18"/>
      <c r="J196" s="18"/>
      <c r="K196" s="7"/>
      <c r="L196" s="7"/>
      <c r="M196" s="7"/>
      <c r="N196" s="7"/>
      <c r="O196" s="7"/>
      <c r="P196" s="7"/>
      <c r="Q196" s="7"/>
      <c r="R196" s="7"/>
      <c r="S196" s="7"/>
      <c r="T196" s="7"/>
      <c r="U196" s="7"/>
      <c r="V196" s="7"/>
      <c r="W196" s="117"/>
      <c r="X196" s="28"/>
      <c r="Y196" s="28"/>
      <c r="Z196" s="117"/>
      <c r="AA196" s="7"/>
      <c r="AB196" s="31"/>
      <c r="AC196" s="31"/>
      <c r="AD196" s="31"/>
      <c r="AE196" s="31"/>
      <c r="AF196" s="31"/>
      <c r="AG196" s="31"/>
      <c r="AH196" s="31"/>
      <c r="AI196" s="31"/>
      <c r="AJ196" s="31"/>
      <c r="AK196" s="31"/>
      <c r="AL196" s="31"/>
      <c r="AM196" s="31"/>
      <c r="AN196" s="31"/>
      <c r="AO196" s="31"/>
      <c r="AP196" s="31"/>
      <c r="AQ196" s="31"/>
      <c r="AR196" s="31"/>
      <c r="AS196" s="31"/>
      <c r="AT196" s="2"/>
      <c r="AU196" s="2"/>
    </row>
    <row r="197" spans="1:47" outlineLevel="1">
      <c r="A197" s="357"/>
      <c r="B197" s="358" t="s">
        <v>1224</v>
      </c>
      <c r="C197" s="357" t="s">
        <v>772</v>
      </c>
      <c r="D197" s="357"/>
      <c r="E197" s="357"/>
      <c r="F197" s="357"/>
      <c r="G197" s="357"/>
      <c r="H197" s="357"/>
      <c r="I197" s="357"/>
      <c r="J197" s="357"/>
      <c r="K197" s="359"/>
      <c r="L197" s="359">
        <f t="shared" ref="L197:AE197" si="252">L200/(L187*12)</f>
        <v>52.684440622088431</v>
      </c>
      <c r="M197" s="359">
        <f t="shared" si="252"/>
        <v>48.60586136595311</v>
      </c>
      <c r="N197" s="359">
        <f t="shared" si="252"/>
        <v>42.99135907068446</v>
      </c>
      <c r="O197" s="359">
        <f t="shared" si="252"/>
        <v>47.162435381829305</v>
      </c>
      <c r="P197" s="359">
        <f t="shared" si="252"/>
        <v>39.327636914913782</v>
      </c>
      <c r="Q197" s="359">
        <f t="shared" si="252"/>
        <v>38.467876581523036</v>
      </c>
      <c r="R197" s="359">
        <f t="shared" si="252"/>
        <v>40.346913928188933</v>
      </c>
      <c r="S197" s="359">
        <f t="shared" si="252"/>
        <v>43.931842755387258</v>
      </c>
      <c r="T197" s="359">
        <f t="shared" si="252"/>
        <v>46.059391697492813</v>
      </c>
      <c r="U197" s="359">
        <f t="shared" si="252"/>
        <v>45.864854880418903</v>
      </c>
      <c r="V197" s="359">
        <f t="shared" si="252"/>
        <v>44.139161985018724</v>
      </c>
      <c r="W197" s="359">
        <f t="shared" si="252"/>
        <v>41.16049003024245</v>
      </c>
      <c r="X197" s="359">
        <f t="shared" si="252"/>
        <v>39.402346685162712</v>
      </c>
      <c r="Y197" s="359">
        <f t="shared" si="252"/>
        <v>39.071901323706378</v>
      </c>
      <c r="Z197" s="419">
        <f t="shared" si="252"/>
        <v>39.742333292498671</v>
      </c>
      <c r="AA197" s="419">
        <f t="shared" si="252"/>
        <v>37.790754831986476</v>
      </c>
      <c r="AB197" s="419">
        <v>36.596642297801026</v>
      </c>
      <c r="AC197" s="419">
        <v>33.599316044457105</v>
      </c>
      <c r="AD197" s="419">
        <f t="shared" si="252"/>
        <v>31.933581109816753</v>
      </c>
      <c r="AE197" s="419">
        <f t="shared" si="252"/>
        <v>29.523860888637202</v>
      </c>
      <c r="AF197" s="419">
        <f>AF200/(AF187*12)</f>
        <v>28.355422587230457</v>
      </c>
      <c r="AG197" s="419">
        <f>AG200/(AG187*12)</f>
        <v>27.656051683049135</v>
      </c>
      <c r="AH197" s="419">
        <f>AH200/(AH187*12)</f>
        <v>27.634194263675298</v>
      </c>
      <c r="AI197" s="419">
        <f>AI200/(AI187*12)</f>
        <v>27.6714496503646</v>
      </c>
      <c r="AJ197" s="419">
        <f>AJ200/(AJ187*12)</f>
        <v>27.109735164432244</v>
      </c>
      <c r="AK197" s="419">
        <f t="shared" ref="AK197:AP197" si="253">AK200/(AK187*12)</f>
        <v>27.359532356561587</v>
      </c>
      <c r="AL197" s="419">
        <f t="shared" si="253"/>
        <v>27.663728951215813</v>
      </c>
      <c r="AM197" s="419">
        <f t="shared" si="253"/>
        <v>28.211391939369122</v>
      </c>
      <c r="AN197" s="419">
        <f t="shared" si="253"/>
        <v>28.776333746034243</v>
      </c>
      <c r="AO197" s="419">
        <f t="shared" si="253"/>
        <v>29.358379121502857</v>
      </c>
      <c r="AP197" s="419">
        <f t="shared" si="253"/>
        <v>29.957389464586779</v>
      </c>
      <c r="AQ197" s="419">
        <f t="shared" ref="AQ197:AR197" si="254">AQ200/(AQ187*12)</f>
        <v>30.573264208645245</v>
      </c>
      <c r="AR197" s="419">
        <f t="shared" si="254"/>
        <v>31.205942210632617</v>
      </c>
      <c r="AS197" s="419">
        <f t="shared" ref="AS197" si="255">AS200/(AS187*12)</f>
        <v>31.855403132045861</v>
      </c>
      <c r="AT197" s="360"/>
      <c r="AU197" s="360"/>
    </row>
    <row r="198" spans="1:47" outlineLevel="1">
      <c r="A198" s="308"/>
      <c r="B198" s="347" t="s">
        <v>1099</v>
      </c>
      <c r="C198" s="310" t="s">
        <v>733</v>
      </c>
      <c r="D198" s="310"/>
      <c r="E198" s="310"/>
      <c r="F198" s="310"/>
      <c r="G198" s="310"/>
      <c r="H198" s="310"/>
      <c r="I198" s="310"/>
      <c r="J198" s="310"/>
      <c r="K198" s="311"/>
      <c r="L198" s="311"/>
      <c r="M198" s="311">
        <f t="shared" ref="M198:AJ198" si="256">M197/L197-1</f>
        <v>-7.7415252168879234E-2</v>
      </c>
      <c r="N198" s="311">
        <f t="shared" si="256"/>
        <v>-0.11551080749288878</v>
      </c>
      <c r="O198" s="311">
        <f t="shared" si="256"/>
        <v>9.7021271281211297E-2</v>
      </c>
      <c r="P198" s="311">
        <f t="shared" si="256"/>
        <v>-0.1661237042464967</v>
      </c>
      <c r="Q198" s="311">
        <f t="shared" si="256"/>
        <v>-2.18614796320169E-2</v>
      </c>
      <c r="R198" s="311">
        <f t="shared" si="256"/>
        <v>4.8846921474434479E-2</v>
      </c>
      <c r="S198" s="311">
        <f t="shared" si="256"/>
        <v>8.8852615433708815E-2</v>
      </c>
      <c r="T198" s="311">
        <f t="shared" si="256"/>
        <v>4.8428402012448135E-2</v>
      </c>
      <c r="U198" s="311">
        <f t="shared" si="256"/>
        <v>-4.2236080396280684E-3</v>
      </c>
      <c r="V198" s="311">
        <f t="shared" si="256"/>
        <v>-3.7625604613804819E-2</v>
      </c>
      <c r="W198" s="311">
        <f t="shared" si="256"/>
        <v>-6.7483654442448748E-2</v>
      </c>
      <c r="X198" s="311">
        <f t="shared" si="256"/>
        <v>-4.2714344357609679E-2</v>
      </c>
      <c r="Y198" s="311">
        <f t="shared" si="256"/>
        <v>-8.3864386072407537E-3</v>
      </c>
      <c r="Z198" s="311">
        <f t="shared" si="256"/>
        <v>1.7158928695018894E-2</v>
      </c>
      <c r="AA198" s="311">
        <f t="shared" si="256"/>
        <v>-4.9105784659114415E-2</v>
      </c>
      <c r="AB198" s="311">
        <v>-3.1598006959489E-2</v>
      </c>
      <c r="AC198" s="311">
        <v>-8.1901673627692961E-2</v>
      </c>
      <c r="AD198" s="311">
        <f t="shared" si="256"/>
        <v>-4.9576453652697139E-2</v>
      </c>
      <c r="AE198" s="311">
        <f t="shared" si="256"/>
        <v>-7.5460381749630212E-2</v>
      </c>
      <c r="AF198" s="311">
        <f t="shared" si="256"/>
        <v>-3.9576067161881223E-2</v>
      </c>
      <c r="AG198" s="311">
        <f t="shared" si="256"/>
        <v>-2.4664450054652898E-2</v>
      </c>
      <c r="AH198" s="311">
        <f t="shared" si="256"/>
        <v>-7.903304356071672E-4</v>
      </c>
      <c r="AI198" s="311">
        <f t="shared" si="256"/>
        <v>1.3481625819744547E-3</v>
      </c>
      <c r="AJ198" s="311">
        <f t="shared" si="256"/>
        <v>-2.0299423883813561E-2</v>
      </c>
      <c r="AK198" s="311">
        <f t="shared" ref="AK198:AP198" si="257">AK197/AJ197-1</f>
        <v>9.2142985025200908E-3</v>
      </c>
      <c r="AL198" s="311">
        <f t="shared" si="257"/>
        <v>1.1118486627980317E-2</v>
      </c>
      <c r="AM198" s="311">
        <f t="shared" si="257"/>
        <v>1.9797149875170339E-2</v>
      </c>
      <c r="AN198" s="311">
        <f t="shared" si="257"/>
        <v>2.0025307786275537E-2</v>
      </c>
      <c r="AO198" s="311">
        <f t="shared" si="257"/>
        <v>2.0226529918837555E-2</v>
      </c>
      <c r="AP198" s="311">
        <f t="shared" si="257"/>
        <v>2.0403386052235906E-2</v>
      </c>
      <c r="AQ198" s="311">
        <f t="shared" ref="AQ198" si="258">AQ197/AP197-1</f>
        <v>2.0558358223653039E-2</v>
      </c>
      <c r="AR198" s="311">
        <f t="shared" ref="AR198:AS198" si="259">AR197/AQ197-1</f>
        <v>2.0693832286592162E-2</v>
      </c>
      <c r="AS198" s="311">
        <f t="shared" si="259"/>
        <v>2.0812091396873678E-2</v>
      </c>
      <c r="AT198" s="312"/>
      <c r="AU198" s="514"/>
    </row>
    <row r="199" spans="1:47" outlineLevel="1">
      <c r="A199" s="298"/>
      <c r="B199" s="2"/>
      <c r="C199" s="18"/>
      <c r="D199" s="18"/>
      <c r="E199" s="18"/>
      <c r="F199" s="18"/>
      <c r="G199" s="18"/>
      <c r="H199" s="18"/>
      <c r="I199" s="18"/>
      <c r="J199" s="18"/>
      <c r="K199" s="6"/>
      <c r="L199" s="6"/>
      <c r="M199" s="6"/>
      <c r="N199" s="6"/>
      <c r="O199" s="6"/>
      <c r="P199" s="6"/>
      <c r="Q199" s="6"/>
      <c r="R199" s="6"/>
      <c r="S199" s="6"/>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row>
    <row r="200" spans="1:47" outlineLevel="1">
      <c r="A200" s="371"/>
      <c r="B200" s="372" t="s">
        <v>1225</v>
      </c>
      <c r="C200" s="371" t="s">
        <v>732</v>
      </c>
      <c r="D200" s="371"/>
      <c r="E200" s="371"/>
      <c r="F200" s="371"/>
      <c r="G200" s="371"/>
      <c r="H200" s="371"/>
      <c r="I200" s="371"/>
      <c r="J200" s="371"/>
      <c r="K200" s="373">
        <f t="shared" ref="K200:AO200" si="260">+K140+K154+K168+K180</f>
        <v>2666.6451999999999</v>
      </c>
      <c r="L200" s="373">
        <f t="shared" si="260"/>
        <v>2940.4239999999995</v>
      </c>
      <c r="M200" s="373">
        <f t="shared" si="260"/>
        <v>3242.3998000000001</v>
      </c>
      <c r="N200" s="373">
        <f t="shared" si="260"/>
        <v>3227.1893599999999</v>
      </c>
      <c r="O200" s="373">
        <f t="shared" si="260"/>
        <v>4010.5991799999997</v>
      </c>
      <c r="P200" s="373">
        <f t="shared" si="260"/>
        <v>3735.57492</v>
      </c>
      <c r="Q200" s="373">
        <f t="shared" si="260"/>
        <v>3867.4064400000002</v>
      </c>
      <c r="R200" s="373">
        <f t="shared" si="260"/>
        <v>4294.7675999999992</v>
      </c>
      <c r="S200" s="373">
        <f t="shared" si="260"/>
        <v>4872.4806800000006</v>
      </c>
      <c r="T200" s="373">
        <f t="shared" si="260"/>
        <v>5379</v>
      </c>
      <c r="U200" s="373">
        <f t="shared" si="260"/>
        <v>5711</v>
      </c>
      <c r="V200" s="373">
        <f t="shared" si="260"/>
        <v>6034</v>
      </c>
      <c r="W200" s="373">
        <f t="shared" si="260"/>
        <v>6424</v>
      </c>
      <c r="X200" s="373">
        <f t="shared" si="260"/>
        <v>6817</v>
      </c>
      <c r="Y200" s="373">
        <f t="shared" si="260"/>
        <v>7273</v>
      </c>
      <c r="Z200" s="373">
        <f t="shared" si="260"/>
        <v>7786</v>
      </c>
      <c r="AA200" s="373">
        <f t="shared" si="260"/>
        <v>7688</v>
      </c>
      <c r="AB200" s="373">
        <v>7599</v>
      </c>
      <c r="AC200" s="373">
        <v>7074</v>
      </c>
      <c r="AD200" s="373">
        <f t="shared" si="260"/>
        <v>6908</v>
      </c>
      <c r="AE200" s="373">
        <f t="shared" si="260"/>
        <v>6569</v>
      </c>
      <c r="AF200" s="373">
        <f t="shared" si="260"/>
        <v>6497</v>
      </c>
      <c r="AG200" s="373">
        <f>+AG140+AG154+AG168+AG180</f>
        <v>6892</v>
      </c>
      <c r="AH200" s="373">
        <f>+AH140+AH154+AH168+AH180</f>
        <v>7414</v>
      </c>
      <c r="AI200" s="373">
        <f>+AI140+AI154+AI168+AI180</f>
        <v>7764</v>
      </c>
      <c r="AJ200" s="373">
        <f t="shared" si="260"/>
        <v>7966</v>
      </c>
      <c r="AK200" s="373">
        <f t="shared" si="260"/>
        <v>8316.7978846779824</v>
      </c>
      <c r="AL200" s="373">
        <f t="shared" si="260"/>
        <v>8673.3721986602523</v>
      </c>
      <c r="AM200" s="373">
        <f t="shared" si="260"/>
        <v>9051.8832378578099</v>
      </c>
      <c r="AN200" s="373">
        <f t="shared" si="260"/>
        <v>9453.8136686611506</v>
      </c>
      <c r="AO200" s="373">
        <f t="shared" si="260"/>
        <v>9880.5517648958921</v>
      </c>
      <c r="AP200" s="373">
        <f>+AP140+AP154+AP168+AP180</f>
        <v>10333.590841514388</v>
      </c>
      <c r="AQ200" s="373">
        <f t="shared" ref="AQ200:AR200" si="261">+AQ140+AQ154+AQ168+AQ180</f>
        <v>10814.537218098589</v>
      </c>
      <c r="AR200" s="373">
        <f t="shared" si="261"/>
        <v>11325.118845242343</v>
      </c>
      <c r="AS200" s="373">
        <f t="shared" ref="AS200" si="262">+AS140+AS154+AS168+AS180</f>
        <v>11867.194649025823</v>
      </c>
      <c r="AT200" s="374"/>
      <c r="AU200" s="374"/>
    </row>
    <row r="201" spans="1:47" outlineLevel="1">
      <c r="A201" s="308"/>
      <c r="B201" s="322" t="s">
        <v>1099</v>
      </c>
      <c r="C201" s="310" t="s">
        <v>733</v>
      </c>
      <c r="D201" s="310"/>
      <c r="E201" s="310"/>
      <c r="F201" s="310"/>
      <c r="G201" s="310"/>
      <c r="H201" s="310"/>
      <c r="I201" s="310"/>
      <c r="J201" s="310"/>
      <c r="K201" s="311"/>
      <c r="L201" s="311">
        <f t="shared" ref="L201:U201" si="263">L200/K200-1</f>
        <v>0.10266787647640552</v>
      </c>
      <c r="M201" s="311">
        <f t="shared" si="263"/>
        <v>0.10269804626815748</v>
      </c>
      <c r="N201" s="311">
        <f t="shared" si="263"/>
        <v>-4.6911056434189025E-3</v>
      </c>
      <c r="O201" s="311">
        <f t="shared" si="263"/>
        <v>0.24275297561095077</v>
      </c>
      <c r="P201" s="311">
        <f t="shared" si="263"/>
        <v>-6.8574357011662257E-2</v>
      </c>
      <c r="Q201" s="311">
        <f t="shared" si="263"/>
        <v>3.5290824792238551E-2</v>
      </c>
      <c r="R201" s="311">
        <f t="shared" si="263"/>
        <v>0.11050329636416456</v>
      </c>
      <c r="S201" s="311">
        <f t="shared" si="263"/>
        <v>0.13451556261158371</v>
      </c>
      <c r="T201" s="311">
        <f t="shared" si="263"/>
        <v>0.10395512127510353</v>
      </c>
      <c r="U201" s="311">
        <f t="shared" si="263"/>
        <v>6.172150957427025E-2</v>
      </c>
      <c r="V201" s="311">
        <f t="shared" ref="V201:AP201" si="264">V200/U200-1</f>
        <v>5.6557520574330278E-2</v>
      </c>
      <c r="W201" s="311">
        <f t="shared" si="264"/>
        <v>6.4633742127941707E-2</v>
      </c>
      <c r="X201" s="311">
        <f t="shared" si="264"/>
        <v>6.1176836861768447E-2</v>
      </c>
      <c r="Y201" s="311">
        <f t="shared" si="264"/>
        <v>6.6891594543054156E-2</v>
      </c>
      <c r="Z201" s="311">
        <f t="shared" si="264"/>
        <v>7.0534854942939651E-2</v>
      </c>
      <c r="AA201" s="311">
        <f t="shared" si="264"/>
        <v>-1.2586694066272774E-2</v>
      </c>
      <c r="AB201" s="311">
        <v>-1.1576482830385038E-2</v>
      </c>
      <c r="AC201" s="311">
        <v>-6.908803789972362E-2</v>
      </c>
      <c r="AD201" s="311">
        <f t="shared" si="264"/>
        <v>-2.3466214305909006E-2</v>
      </c>
      <c r="AE201" s="311">
        <f t="shared" si="264"/>
        <v>-4.9073537927041166E-2</v>
      </c>
      <c r="AF201" s="311">
        <f t="shared" si="264"/>
        <v>-1.0960572385446787E-2</v>
      </c>
      <c r="AG201" s="311">
        <f t="shared" si="264"/>
        <v>6.0797291057411051E-2</v>
      </c>
      <c r="AH201" s="311">
        <f t="shared" si="264"/>
        <v>7.5739988392338864E-2</v>
      </c>
      <c r="AI201" s="311">
        <f t="shared" si="264"/>
        <v>4.7207984893444799E-2</v>
      </c>
      <c r="AJ201" s="311">
        <f t="shared" si="264"/>
        <v>2.6017516743946478E-2</v>
      </c>
      <c r="AK201" s="311">
        <f t="shared" si="264"/>
        <v>4.4036892377351533E-2</v>
      </c>
      <c r="AL201" s="311">
        <f t="shared" si="264"/>
        <v>4.2873990558215391E-2</v>
      </c>
      <c r="AM201" s="311">
        <f t="shared" si="264"/>
        <v>4.364058529115411E-2</v>
      </c>
      <c r="AN201" s="311">
        <f t="shared" si="264"/>
        <v>4.4402962371668853E-2</v>
      </c>
      <c r="AO201" s="311">
        <f t="shared" si="264"/>
        <v>4.5139253976345328E-2</v>
      </c>
      <c r="AP201" s="311">
        <f t="shared" si="264"/>
        <v>4.5851596894423974E-2</v>
      </c>
      <c r="AQ201" s="311">
        <f t="shared" ref="AQ201" si="265">AQ200/AP200-1</f>
        <v>4.6542037899549582E-2</v>
      </c>
      <c r="AR201" s="311">
        <f t="shared" ref="AR201:AS201" si="266">AR200/AQ200-1</f>
        <v>4.7212526698717561E-2</v>
      </c>
      <c r="AS201" s="311">
        <f t="shared" si="266"/>
        <v>4.7864910840313524E-2</v>
      </c>
      <c r="AT201" s="312"/>
      <c r="AU201" s="514"/>
    </row>
    <row r="202" spans="1:47" outlineLevel="1">
      <c r="A202" s="298"/>
      <c r="B202" s="2"/>
      <c r="C202" s="18"/>
      <c r="D202" s="18"/>
      <c r="E202" s="18"/>
      <c r="F202" s="18"/>
      <c r="G202" s="18"/>
      <c r="H202" s="18"/>
      <c r="I202" s="18"/>
      <c r="J202" s="18"/>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c r="AL202" s="7"/>
      <c r="AM202" s="7"/>
      <c r="AN202" s="7"/>
      <c r="AO202" s="7"/>
      <c r="AP202" s="7"/>
      <c r="AQ202" s="7"/>
      <c r="AR202" s="7"/>
      <c r="AS202" s="7"/>
      <c r="AT202" s="2"/>
      <c r="AU202" s="2"/>
    </row>
    <row r="203" spans="1:47" ht="14.4" outlineLevel="1">
      <c r="A203" s="298"/>
      <c r="B203" s="348" t="s">
        <v>683</v>
      </c>
      <c r="C203" s="349"/>
      <c r="D203" s="349"/>
      <c r="E203" s="349"/>
      <c r="F203" s="349"/>
      <c r="G203" s="349"/>
      <c r="H203" s="349"/>
      <c r="I203" s="349"/>
      <c r="J203" s="349"/>
      <c r="K203" s="350"/>
      <c r="L203" s="350"/>
      <c r="M203" s="350"/>
      <c r="N203" s="350"/>
      <c r="O203" s="350"/>
      <c r="P203" s="350"/>
      <c r="Q203" s="350"/>
      <c r="R203" s="350"/>
      <c r="S203" s="350"/>
      <c r="T203" s="350"/>
      <c r="U203" s="350"/>
      <c r="V203" s="350"/>
      <c r="W203" s="351"/>
      <c r="X203" s="352"/>
      <c r="Y203" s="352"/>
      <c r="Z203" s="351"/>
      <c r="AA203" s="350"/>
      <c r="AB203" s="353"/>
      <c r="AC203" s="353"/>
      <c r="AD203" s="353"/>
      <c r="AE203" s="353"/>
      <c r="AF203" s="353"/>
      <c r="AG203" s="353"/>
      <c r="AH203" s="353"/>
      <c r="AI203" s="353"/>
      <c r="AJ203" s="353"/>
      <c r="AK203" s="353"/>
      <c r="AL203" s="353"/>
      <c r="AM203" s="353"/>
      <c r="AN203" s="353"/>
      <c r="AO203" s="353"/>
      <c r="AP203" s="353"/>
      <c r="AQ203" s="353"/>
      <c r="AR203" s="353"/>
      <c r="AS203" s="353"/>
      <c r="AT203" s="2"/>
      <c r="AU203" s="2"/>
    </row>
    <row r="204" spans="1:47" outlineLevel="1">
      <c r="A204" s="298"/>
      <c r="B204" s="2"/>
      <c r="C204" s="18"/>
      <c r="D204" s="18"/>
      <c r="E204" s="18"/>
      <c r="F204" s="18"/>
      <c r="G204" s="18"/>
      <c r="H204" s="18"/>
      <c r="I204" s="18"/>
      <c r="J204" s="18"/>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1208"/>
      <c r="AK204" s="7"/>
      <c r="AL204" s="7"/>
      <c r="AM204" s="7"/>
      <c r="AN204" s="7"/>
      <c r="AO204" s="7"/>
      <c r="AP204" s="7"/>
      <c r="AQ204" s="7"/>
      <c r="AR204" s="7"/>
      <c r="AS204" s="7"/>
      <c r="AT204" s="2"/>
      <c r="AU204" s="2"/>
    </row>
    <row r="205" spans="1:47" outlineLevel="1">
      <c r="A205" s="368"/>
      <c r="B205" s="367" t="s">
        <v>487</v>
      </c>
      <c r="C205" s="368" t="s">
        <v>180</v>
      </c>
      <c r="D205" s="368"/>
      <c r="E205" s="368"/>
      <c r="F205" s="368"/>
      <c r="G205" s="368"/>
      <c r="H205" s="368"/>
      <c r="I205" s="368"/>
      <c r="J205" s="368"/>
      <c r="K205" s="369"/>
      <c r="L205" s="369"/>
      <c r="M205" s="369"/>
      <c r="N205" s="369"/>
      <c r="O205" s="527">
        <v>6.0999999999999999E-2</v>
      </c>
      <c r="P205" s="527">
        <v>8.3000000000000004E-2</v>
      </c>
      <c r="Q205" s="527">
        <v>0.11899999999999999</v>
      </c>
      <c r="R205" s="527">
        <v>0.13100000000000001</v>
      </c>
      <c r="S205" s="527">
        <v>7.3999999999999996E-2</v>
      </c>
      <c r="T205" s="527">
        <v>7.1999999999999995E-2</v>
      </c>
      <c r="U205" s="527">
        <v>8.1000000000000003E-2</v>
      </c>
      <c r="V205" s="527">
        <v>7.3999999999999996E-2</v>
      </c>
      <c r="W205" s="527">
        <v>5.7000000000000002E-2</v>
      </c>
      <c r="X205" s="527">
        <v>0.24099999999999999</v>
      </c>
      <c r="Y205" s="525">
        <v>0.379</v>
      </c>
      <c r="Z205" s="525">
        <v>0.46500000000000002</v>
      </c>
      <c r="AA205" s="525">
        <v>0.53</v>
      </c>
      <c r="AB205" s="525">
        <v>0.74399999999999999</v>
      </c>
      <c r="AC205" s="525">
        <v>0.97299999999999998</v>
      </c>
      <c r="AD205" s="525">
        <v>1.2030000000000001</v>
      </c>
      <c r="AE205" s="525">
        <v>1.5069999999999999</v>
      </c>
      <c r="AF205" s="525">
        <v>1.7470000000000001</v>
      </c>
      <c r="AG205" s="525">
        <v>1.9650000000000001</v>
      </c>
      <c r="AH205" s="525">
        <v>2.04</v>
      </c>
      <c r="AI205" s="525">
        <v>2.4079999999999999</v>
      </c>
      <c r="AJ205" s="525">
        <v>2.625</v>
      </c>
      <c r="AK205" s="369">
        <f t="shared" ref="AK205:AP205" si="267">AJ205*(1+AK206)</f>
        <v>2.8615552325581395</v>
      </c>
      <c r="AL205" s="369">
        <f t="shared" si="267"/>
        <v>3.119427942468902</v>
      </c>
      <c r="AM205" s="369">
        <f t="shared" si="267"/>
        <v>3.4005391814704597</v>
      </c>
      <c r="AN205" s="369">
        <f t="shared" si="267"/>
        <v>3.70698311933553</v>
      </c>
      <c r="AO205" s="369">
        <f t="shared" si="267"/>
        <v>4.0410426446244871</v>
      </c>
      <c r="AP205" s="369">
        <f t="shared" si="267"/>
        <v>4.4052063713202978</v>
      </c>
      <c r="AQ205" s="369">
        <f t="shared" ref="AQ205" si="268">AP205*(1+AQ206)</f>
        <v>4.8021871780381149</v>
      </c>
      <c r="AR205" s="369">
        <f t="shared" ref="AR205:AS205" si="269">AQ205*(1+AR206)</f>
        <v>5.2349424179194566</v>
      </c>
      <c r="AS205" s="369">
        <f t="shared" si="269"/>
        <v>5.706695949766849</v>
      </c>
      <c r="AT205" s="367"/>
      <c r="AU205" s="367"/>
    </row>
    <row r="206" spans="1:47" outlineLevel="1">
      <c r="A206" s="308"/>
      <c r="B206" s="322" t="s">
        <v>1099</v>
      </c>
      <c r="C206" s="310" t="s">
        <v>733</v>
      </c>
      <c r="D206" s="323"/>
      <c r="E206" s="323"/>
      <c r="F206" s="323"/>
      <c r="G206" s="323"/>
      <c r="H206" s="323"/>
      <c r="I206" s="323"/>
      <c r="J206" s="323"/>
      <c r="K206" s="324"/>
      <c r="L206" s="324"/>
      <c r="M206" s="324"/>
      <c r="N206" s="324"/>
      <c r="O206" s="324"/>
      <c r="P206" s="324"/>
      <c r="Q206" s="311">
        <f>P205/O205-1</f>
        <v>0.36065573770491821</v>
      </c>
      <c r="R206" s="311">
        <f>Q205/P205-1</f>
        <v>0.43373493975903599</v>
      </c>
      <c r="S206" s="311">
        <f>R205/Q205-1</f>
        <v>0.10084033613445387</v>
      </c>
      <c r="T206" s="311">
        <f>T205/S205-1</f>
        <v>-2.7027027027027084E-2</v>
      </c>
      <c r="U206" s="311">
        <f>U205/T205-1</f>
        <v>0.12500000000000022</v>
      </c>
      <c r="V206" s="311">
        <f>V205/U205-1</f>
        <v>-8.6419753086419804E-2</v>
      </c>
      <c r="W206" s="311">
        <f t="shared" ref="W206:AJ206" si="270">W205/V205-1</f>
        <v>-0.22972972972972971</v>
      </c>
      <c r="X206" s="311">
        <f t="shared" si="270"/>
        <v>3.2280701754385959</v>
      </c>
      <c r="Y206" s="311">
        <f t="shared" si="270"/>
        <v>0.57261410788381739</v>
      </c>
      <c r="Z206" s="311">
        <f t="shared" si="270"/>
        <v>0.22691292875989455</v>
      </c>
      <c r="AA206" s="311">
        <f t="shared" si="270"/>
        <v>0.13978494623655924</v>
      </c>
      <c r="AB206" s="311">
        <v>0.40377358490566029</v>
      </c>
      <c r="AC206" s="311">
        <v>0.30779569892473124</v>
      </c>
      <c r="AD206" s="311">
        <f t="shared" si="270"/>
        <v>0.23638232271325799</v>
      </c>
      <c r="AE206" s="311">
        <f t="shared" si="270"/>
        <v>0.25270157938487103</v>
      </c>
      <c r="AF206" s="311">
        <f t="shared" si="270"/>
        <v>0.15925680159256816</v>
      </c>
      <c r="AG206" s="311">
        <f t="shared" si="270"/>
        <v>0.12478534630795646</v>
      </c>
      <c r="AH206" s="311">
        <f t="shared" si="270"/>
        <v>3.8167938931297662E-2</v>
      </c>
      <c r="AI206" s="311">
        <f t="shared" si="270"/>
        <v>0.18039215686274512</v>
      </c>
      <c r="AJ206" s="311">
        <f t="shared" si="270"/>
        <v>9.011627906976738E-2</v>
      </c>
      <c r="AK206" s="621">
        <f t="shared" ref="AK206:AP206" si="271">AJ206</f>
        <v>9.011627906976738E-2</v>
      </c>
      <c r="AL206" s="621">
        <f t="shared" si="271"/>
        <v>9.011627906976738E-2</v>
      </c>
      <c r="AM206" s="621">
        <f t="shared" si="271"/>
        <v>9.011627906976738E-2</v>
      </c>
      <c r="AN206" s="621">
        <f t="shared" si="271"/>
        <v>9.011627906976738E-2</v>
      </c>
      <c r="AO206" s="621">
        <f t="shared" si="271"/>
        <v>9.011627906976738E-2</v>
      </c>
      <c r="AP206" s="621">
        <f t="shared" si="271"/>
        <v>9.011627906976738E-2</v>
      </c>
      <c r="AQ206" s="621">
        <f t="shared" ref="AQ206" si="272">AP206</f>
        <v>9.011627906976738E-2</v>
      </c>
      <c r="AR206" s="621">
        <f t="shared" ref="AR206:AS206" si="273">AQ206</f>
        <v>9.011627906976738E-2</v>
      </c>
      <c r="AS206" s="621">
        <f t="shared" si="273"/>
        <v>9.011627906976738E-2</v>
      </c>
      <c r="AT206" s="312"/>
      <c r="AU206" s="514"/>
    </row>
    <row r="207" spans="1:47" outlineLevel="1">
      <c r="A207" s="357"/>
      <c r="B207" s="396" t="s">
        <v>488</v>
      </c>
      <c r="C207" s="357" t="s">
        <v>180</v>
      </c>
      <c r="D207" s="361"/>
      <c r="E207" s="361"/>
      <c r="F207" s="361"/>
      <c r="G207" s="361"/>
      <c r="H207" s="361"/>
      <c r="I207" s="361"/>
      <c r="J207" s="361"/>
      <c r="K207" s="362"/>
      <c r="L207" s="362"/>
      <c r="M207" s="362"/>
      <c r="N207" s="362"/>
      <c r="O207" s="362"/>
      <c r="P207" s="362"/>
      <c r="Q207" s="359">
        <f t="shared" ref="Q207:AJ207" si="274">AVERAGE(P205:Q205)</f>
        <v>0.10100000000000001</v>
      </c>
      <c r="R207" s="359">
        <f t="shared" si="274"/>
        <v>0.125</v>
      </c>
      <c r="S207" s="359">
        <f t="shared" si="274"/>
        <v>0.10250000000000001</v>
      </c>
      <c r="T207" s="359">
        <f t="shared" si="274"/>
        <v>7.2999999999999995E-2</v>
      </c>
      <c r="U207" s="359">
        <f t="shared" si="274"/>
        <v>7.6499999999999999E-2</v>
      </c>
      <c r="V207" s="359">
        <f t="shared" si="274"/>
        <v>7.7499999999999999E-2</v>
      </c>
      <c r="W207" s="359">
        <f t="shared" si="274"/>
        <v>6.5500000000000003E-2</v>
      </c>
      <c r="X207" s="359">
        <f t="shared" si="274"/>
        <v>0.14899999999999999</v>
      </c>
      <c r="Y207" s="359">
        <f t="shared" si="274"/>
        <v>0.31</v>
      </c>
      <c r="Z207" s="359">
        <f t="shared" si="274"/>
        <v>0.42200000000000004</v>
      </c>
      <c r="AA207" s="359">
        <f t="shared" si="274"/>
        <v>0.49750000000000005</v>
      </c>
      <c r="AB207" s="359">
        <v>0.63700000000000001</v>
      </c>
      <c r="AC207" s="359">
        <v>0.85850000000000004</v>
      </c>
      <c r="AD207" s="359">
        <f t="shared" si="274"/>
        <v>1.0880000000000001</v>
      </c>
      <c r="AE207" s="359">
        <f t="shared" si="274"/>
        <v>1.355</v>
      </c>
      <c r="AF207" s="359">
        <f t="shared" si="274"/>
        <v>1.627</v>
      </c>
      <c r="AG207" s="359">
        <f t="shared" si="274"/>
        <v>1.8560000000000001</v>
      </c>
      <c r="AH207" s="359">
        <f t="shared" si="274"/>
        <v>2.0024999999999999</v>
      </c>
      <c r="AI207" s="359">
        <f t="shared" si="274"/>
        <v>2.2240000000000002</v>
      </c>
      <c r="AJ207" s="359">
        <f t="shared" si="274"/>
        <v>2.5164999999999997</v>
      </c>
      <c r="AK207" s="359">
        <f t="shared" ref="AK207:AP207" si="275">AVERAGE(AJ205:AK205)</f>
        <v>2.7432776162790695</v>
      </c>
      <c r="AL207" s="359">
        <f t="shared" si="275"/>
        <v>2.990491587513521</v>
      </c>
      <c r="AM207" s="359">
        <f t="shared" si="275"/>
        <v>3.2599835619696806</v>
      </c>
      <c r="AN207" s="359">
        <f t="shared" si="275"/>
        <v>3.5537611504029947</v>
      </c>
      <c r="AO207" s="359">
        <f t="shared" si="275"/>
        <v>3.8740128819800086</v>
      </c>
      <c r="AP207" s="359">
        <f t="shared" si="275"/>
        <v>4.2231245079723925</v>
      </c>
      <c r="AQ207" s="359">
        <f t="shared" ref="AQ207" si="276">AVERAGE(AP205:AQ205)</f>
        <v>4.6036967746792063</v>
      </c>
      <c r="AR207" s="359">
        <f t="shared" ref="AR207:AS207" si="277">AVERAGE(AQ205:AR205)</f>
        <v>5.0185647979787857</v>
      </c>
      <c r="AS207" s="359">
        <f t="shared" si="277"/>
        <v>5.4708191838431528</v>
      </c>
      <c r="AT207" s="360"/>
      <c r="AU207" s="360"/>
    </row>
    <row r="208" spans="1:47" outlineLevel="1">
      <c r="A208" s="298"/>
      <c r="B208" s="6"/>
      <c r="C208" s="21"/>
      <c r="D208" s="21"/>
      <c r="E208" s="21"/>
      <c r="F208" s="21"/>
      <c r="G208" s="21"/>
      <c r="H208" s="21"/>
      <c r="I208" s="21"/>
      <c r="J208" s="21"/>
      <c r="K208" s="34"/>
      <c r="L208" s="34"/>
      <c r="M208" s="34"/>
      <c r="N208" s="34"/>
      <c r="O208" s="34"/>
      <c r="P208" s="34"/>
      <c r="Q208" s="34"/>
      <c r="R208" s="34"/>
      <c r="S208" s="34"/>
      <c r="T208" s="34"/>
      <c r="U208" s="34"/>
      <c r="V208" s="34"/>
      <c r="W208" s="34"/>
      <c r="X208" s="60"/>
      <c r="Y208" s="60"/>
      <c r="Z208" s="60"/>
      <c r="AA208" s="34"/>
      <c r="AB208" s="34"/>
      <c r="AC208" s="34"/>
      <c r="AD208" s="34"/>
      <c r="AE208" s="34"/>
      <c r="AF208" s="34"/>
      <c r="AG208" s="34"/>
      <c r="AH208" s="34"/>
      <c r="AI208" s="34"/>
      <c r="AJ208" s="34"/>
      <c r="AK208" s="34"/>
      <c r="AL208" s="34"/>
      <c r="AM208" s="34"/>
      <c r="AN208" s="34"/>
      <c r="AO208" s="34"/>
      <c r="AP208" s="34"/>
      <c r="AQ208" s="34"/>
      <c r="AR208" s="34"/>
      <c r="AS208" s="34"/>
      <c r="AT208" s="2"/>
      <c r="AU208" s="2"/>
    </row>
    <row r="209" spans="1:47" outlineLevel="1">
      <c r="A209" s="357"/>
      <c r="B209" s="358" t="s">
        <v>1220</v>
      </c>
      <c r="C209" s="368" t="s">
        <v>772</v>
      </c>
      <c r="D209" s="361"/>
      <c r="E209" s="361"/>
      <c r="F209" s="361"/>
      <c r="G209" s="361"/>
      <c r="H209" s="361"/>
      <c r="I209" s="361"/>
      <c r="J209" s="361"/>
      <c r="K209" s="362"/>
      <c r="L209" s="362"/>
      <c r="M209" s="362"/>
      <c r="N209" s="362"/>
      <c r="O209" s="362"/>
      <c r="P209" s="359"/>
      <c r="Q209" s="359">
        <f t="shared" ref="Q209:AA209" si="278">Q212/Q207/12</f>
        <v>29.702970297029704</v>
      </c>
      <c r="R209" s="359">
        <f t="shared" si="278"/>
        <v>96.666666666666671</v>
      </c>
      <c r="S209" s="359">
        <f t="shared" si="278"/>
        <v>154.47154471544715</v>
      </c>
      <c r="T209" s="359">
        <f t="shared" si="278"/>
        <v>199.77168949771692</v>
      </c>
      <c r="U209" s="359">
        <f t="shared" si="278"/>
        <v>173.20261437908496</v>
      </c>
      <c r="V209" s="359">
        <f t="shared" si="278"/>
        <v>155.91397849462365</v>
      </c>
      <c r="W209" s="359">
        <f t="shared" si="278"/>
        <v>174.3002544529262</v>
      </c>
      <c r="X209" s="359">
        <f t="shared" si="278"/>
        <v>58.724832214765108</v>
      </c>
      <c r="Y209" s="359">
        <f t="shared" si="278"/>
        <v>27.956989247311828</v>
      </c>
      <c r="Z209" s="419">
        <f t="shared" si="278"/>
        <v>22.906793048973142</v>
      </c>
      <c r="AA209" s="419">
        <f t="shared" si="278"/>
        <v>20.100502512562812</v>
      </c>
      <c r="AB209" s="419">
        <v>18.838304552590266</v>
      </c>
      <c r="AC209" s="419">
        <v>18.345952242283051</v>
      </c>
      <c r="AD209" s="419">
        <f t="shared" ref="AD209:AI209" si="279">AD212/AD207/12</f>
        <v>15.395220588235292</v>
      </c>
      <c r="AE209" s="419">
        <f t="shared" si="279"/>
        <v>13.591635916359165</v>
      </c>
      <c r="AF209" s="419">
        <f t="shared" si="279"/>
        <v>13.675476336816226</v>
      </c>
      <c r="AG209" s="419">
        <f t="shared" si="279"/>
        <v>13.829022988505747</v>
      </c>
      <c r="AH209" s="419">
        <f t="shared" si="279"/>
        <v>14.68997086974615</v>
      </c>
      <c r="AI209" s="419">
        <f t="shared" si="279"/>
        <v>16.486810551558751</v>
      </c>
      <c r="AJ209" s="419">
        <f t="shared" ref="AJ209" si="280">AJ212/AJ207/12</f>
        <v>17.285912974369165</v>
      </c>
      <c r="AK209" s="419">
        <f t="shared" ref="AK209:AP209" si="281">AJ209*(1+AK210)</f>
        <v>18.123747247718196</v>
      </c>
      <c r="AL209" s="419">
        <f t="shared" si="281"/>
        <v>19.002190673192381</v>
      </c>
      <c r="AM209" s="419">
        <f t="shared" si="281"/>
        <v>19.923211543673474</v>
      </c>
      <c r="AN209" s="419">
        <f t="shared" si="281"/>
        <v>20.888873553613212</v>
      </c>
      <c r="AO209" s="419">
        <f t="shared" si="281"/>
        <v>21.90134042307054</v>
      </c>
      <c r="AP209" s="419">
        <f t="shared" si="281"/>
        <v>22.962880745872191</v>
      </c>
      <c r="AQ209" s="419">
        <f t="shared" ref="AQ209" si="282">AP209*(1+AQ210)</f>
        <v>24.075873072759713</v>
      </c>
      <c r="AR209" s="419">
        <f t="shared" ref="AR209:AS209" si="283">AQ209*(1+AR210)</f>
        <v>25.24281124091252</v>
      </c>
      <c r="AS209" s="419">
        <f t="shared" si="283"/>
        <v>26.466309961788649</v>
      </c>
      <c r="AT209" s="360"/>
      <c r="AU209" s="360"/>
    </row>
    <row r="210" spans="1:47" outlineLevel="1">
      <c r="A210" s="308"/>
      <c r="B210" s="322" t="s">
        <v>1099</v>
      </c>
      <c r="C210" s="397" t="s">
        <v>733</v>
      </c>
      <c r="D210" s="323"/>
      <c r="E210" s="323"/>
      <c r="F210" s="323"/>
      <c r="G210" s="323"/>
      <c r="H210" s="323"/>
      <c r="I210" s="323"/>
      <c r="J210" s="323"/>
      <c r="K210" s="324"/>
      <c r="L210" s="324"/>
      <c r="M210" s="324"/>
      <c r="N210" s="324"/>
      <c r="O210" s="324"/>
      <c r="P210" s="324"/>
      <c r="Q210" s="311"/>
      <c r="R210" s="311">
        <f t="shared" ref="R210:AA210" si="284">R209/Q209-1</f>
        <v>2.2544444444444443</v>
      </c>
      <c r="S210" s="311">
        <f t="shared" si="284"/>
        <v>0.59798149705634973</v>
      </c>
      <c r="T210" s="311">
        <f t="shared" si="284"/>
        <v>0.29325883201153591</v>
      </c>
      <c r="U210" s="311">
        <f t="shared" si="284"/>
        <v>-0.13299719887955197</v>
      </c>
      <c r="V210" s="311">
        <f t="shared" si="284"/>
        <v>-9.9817407181984175E-2</v>
      </c>
      <c r="W210" s="311">
        <f t="shared" si="284"/>
        <v>0.1179257699394578</v>
      </c>
      <c r="X210" s="311">
        <f t="shared" si="284"/>
        <v>-0.66308234948317235</v>
      </c>
      <c r="Y210" s="311">
        <f t="shared" si="284"/>
        <v>-0.52393241167434723</v>
      </c>
      <c r="Z210" s="311">
        <f t="shared" si="284"/>
        <v>-0.18064163324826832</v>
      </c>
      <c r="AA210" s="311">
        <f t="shared" si="284"/>
        <v>-0.12250909721018888</v>
      </c>
      <c r="AB210" s="311">
        <v>-6.279434850863419E-2</v>
      </c>
      <c r="AC210" s="311">
        <v>-2.6135701805474643E-2</v>
      </c>
      <c r="AD210" s="311">
        <f t="shared" ref="AD210:AJ210" si="285">AD209/AC209-1</f>
        <v>-0.16083829365079372</v>
      </c>
      <c r="AE210" s="311">
        <f t="shared" si="285"/>
        <v>-0.11715224614932696</v>
      </c>
      <c r="AF210" s="311">
        <f t="shared" si="285"/>
        <v>6.1685304824969922E-3</v>
      </c>
      <c r="AG210" s="311">
        <f t="shared" si="285"/>
        <v>1.1227883249386617E-2</v>
      </c>
      <c r="AH210" s="311">
        <f t="shared" si="285"/>
        <v>6.2256594840864432E-2</v>
      </c>
      <c r="AI210" s="311">
        <f t="shared" si="285"/>
        <v>0.12231744349562845</v>
      </c>
      <c r="AJ210" s="311">
        <f t="shared" si="285"/>
        <v>4.8469194227191759E-2</v>
      </c>
      <c r="AK210" s="621">
        <f t="shared" ref="AK210:AP210" si="286">AJ210</f>
        <v>4.8469194227191759E-2</v>
      </c>
      <c r="AL210" s="621">
        <f t="shared" si="286"/>
        <v>4.8469194227191759E-2</v>
      </c>
      <c r="AM210" s="621">
        <f t="shared" si="286"/>
        <v>4.8469194227191759E-2</v>
      </c>
      <c r="AN210" s="621">
        <f t="shared" si="286"/>
        <v>4.8469194227191759E-2</v>
      </c>
      <c r="AO210" s="621">
        <f t="shared" si="286"/>
        <v>4.8469194227191759E-2</v>
      </c>
      <c r="AP210" s="621">
        <f t="shared" si="286"/>
        <v>4.8469194227191759E-2</v>
      </c>
      <c r="AQ210" s="621">
        <f t="shared" ref="AQ210" si="287">AP210</f>
        <v>4.8469194227191759E-2</v>
      </c>
      <c r="AR210" s="621">
        <f t="shared" ref="AR210:AS210" si="288">AQ210</f>
        <v>4.8469194227191759E-2</v>
      </c>
      <c r="AS210" s="621">
        <f t="shared" si="288"/>
        <v>4.8469194227191759E-2</v>
      </c>
      <c r="AT210" s="312"/>
      <c r="AU210" s="514"/>
    </row>
    <row r="211" spans="1:47" outlineLevel="1">
      <c r="A211" s="298"/>
      <c r="B211" s="6"/>
      <c r="C211" s="21"/>
      <c r="D211" s="21"/>
      <c r="E211" s="21"/>
      <c r="F211" s="21"/>
      <c r="G211" s="21"/>
      <c r="H211" s="21"/>
      <c r="I211" s="21"/>
      <c r="J211" s="21"/>
      <c r="K211" s="34"/>
      <c r="L211" s="34"/>
      <c r="M211" s="34"/>
      <c r="N211" s="34"/>
      <c r="O211" s="34"/>
      <c r="P211" s="34"/>
      <c r="Q211" s="34"/>
      <c r="R211" s="34"/>
      <c r="S211" s="34"/>
      <c r="T211" s="34"/>
      <c r="U211" s="34"/>
      <c r="V211" s="34"/>
      <c r="W211" s="34"/>
      <c r="X211" s="60"/>
      <c r="Y211" s="60"/>
      <c r="Z211" s="60"/>
      <c r="AA211" s="34"/>
      <c r="AB211" s="34"/>
      <c r="AC211" s="34"/>
      <c r="AD211" s="34"/>
      <c r="AE211" s="34"/>
      <c r="AF211" s="34"/>
      <c r="AG211" s="34"/>
      <c r="AH211" s="34"/>
      <c r="AI211" s="34"/>
      <c r="AJ211" s="34"/>
      <c r="AK211" s="34"/>
      <c r="AL211" s="34"/>
      <c r="AM211" s="34"/>
      <c r="AN211" s="34"/>
      <c r="AO211" s="34"/>
      <c r="AP211" s="34"/>
      <c r="AQ211" s="34"/>
      <c r="AR211" s="34"/>
      <c r="AS211" s="34"/>
      <c r="AT211" s="2"/>
      <c r="AU211" s="2"/>
    </row>
    <row r="212" spans="1:47" outlineLevel="1">
      <c r="A212" s="400"/>
      <c r="B212" s="401" t="s">
        <v>658</v>
      </c>
      <c r="C212" s="402" t="s">
        <v>732</v>
      </c>
      <c r="D212" s="402"/>
      <c r="E212" s="402"/>
      <c r="F212" s="402"/>
      <c r="G212" s="402"/>
      <c r="H212" s="402"/>
      <c r="I212" s="402"/>
      <c r="J212" s="402"/>
      <c r="K212" s="398"/>
      <c r="L212" s="398"/>
      <c r="M212" s="398"/>
      <c r="N212" s="398"/>
      <c r="O212" s="398"/>
      <c r="P212" s="526">
        <v>24</v>
      </c>
      <c r="Q212" s="526">
        <v>36</v>
      </c>
      <c r="R212" s="526">
        <v>145</v>
      </c>
      <c r="S212" s="526">
        <v>190</v>
      </c>
      <c r="T212" s="526">
        <v>175</v>
      </c>
      <c r="U212" s="526">
        <v>159</v>
      </c>
      <c r="V212" s="526">
        <v>145</v>
      </c>
      <c r="W212" s="526">
        <v>137</v>
      </c>
      <c r="X212" s="526">
        <v>105</v>
      </c>
      <c r="Y212" s="526">
        <v>104</v>
      </c>
      <c r="Z212" s="526">
        <v>116</v>
      </c>
      <c r="AA212" s="526">
        <v>120</v>
      </c>
      <c r="AB212" s="526">
        <v>144</v>
      </c>
      <c r="AC212" s="526">
        <v>189</v>
      </c>
      <c r="AD212" s="526">
        <v>201</v>
      </c>
      <c r="AE212" s="526">
        <v>221</v>
      </c>
      <c r="AF212" s="526">
        <v>267</v>
      </c>
      <c r="AG212" s="526">
        <v>308</v>
      </c>
      <c r="AH212" s="526">
        <v>353</v>
      </c>
      <c r="AI212" s="526">
        <v>440</v>
      </c>
      <c r="AJ212" s="526">
        <v>522</v>
      </c>
      <c r="AK212" s="398">
        <f t="shared" ref="AK212:AO212" si="289">AK209*AK207*12</f>
        <v>596.62164177317663</v>
      </c>
      <c r="AL212" s="398">
        <f t="shared" si="289"/>
        <v>681.91069623011651</v>
      </c>
      <c r="AM212" s="398">
        <f t="shared" si="289"/>
        <v>779.39210560824131</v>
      </c>
      <c r="AN212" s="398">
        <f t="shared" si="289"/>
        <v>890.80880772613409</v>
      </c>
      <c r="AO212" s="398">
        <f t="shared" si="289"/>
        <v>1018.1528991792571</v>
      </c>
      <c r="AP212" s="398">
        <f>AP209*AP207*12</f>
        <v>1163.7012534184826</v>
      </c>
      <c r="AQ212" s="398">
        <f t="shared" ref="AQ212:AR212" si="290">AQ209*AQ207*12</f>
        <v>1330.0562305517981</v>
      </c>
      <c r="AR212" s="398">
        <f t="shared" si="290"/>
        <v>1520.1922067480011</v>
      </c>
      <c r="AS212" s="398">
        <f t="shared" ref="AS212" si="291">AS209*AS207*12</f>
        <v>1737.5087551739098</v>
      </c>
      <c r="AT212" s="399"/>
      <c r="AU212" s="399"/>
    </row>
    <row r="213" spans="1:47" outlineLevel="1">
      <c r="A213" s="363"/>
      <c r="B213" s="428" t="s">
        <v>1099</v>
      </c>
      <c r="C213" s="363" t="s">
        <v>733</v>
      </c>
      <c r="D213" s="363"/>
      <c r="E213" s="363"/>
      <c r="F213" s="363"/>
      <c r="G213" s="363"/>
      <c r="H213" s="363"/>
      <c r="I213" s="363"/>
      <c r="J213" s="363"/>
      <c r="K213" s="364"/>
      <c r="L213" s="364"/>
      <c r="M213" s="364"/>
      <c r="N213" s="364"/>
      <c r="O213" s="364"/>
      <c r="P213" s="365"/>
      <c r="Q213" s="365">
        <f t="shared" ref="Q213:AJ213" si="292">Q212/P212-1</f>
        <v>0.5</v>
      </c>
      <c r="R213" s="365">
        <f t="shared" si="292"/>
        <v>3.0277777777777777</v>
      </c>
      <c r="S213" s="365">
        <f t="shared" si="292"/>
        <v>0.31034482758620685</v>
      </c>
      <c r="T213" s="365">
        <f t="shared" si="292"/>
        <v>-7.8947368421052655E-2</v>
      </c>
      <c r="U213" s="365">
        <f t="shared" si="292"/>
        <v>-9.1428571428571415E-2</v>
      </c>
      <c r="V213" s="365">
        <f t="shared" si="292"/>
        <v>-8.8050314465408785E-2</v>
      </c>
      <c r="W213" s="365">
        <f t="shared" si="292"/>
        <v>-5.5172413793103448E-2</v>
      </c>
      <c r="X213" s="365">
        <f t="shared" si="292"/>
        <v>-0.23357664233576647</v>
      </c>
      <c r="Y213" s="365">
        <f t="shared" si="292"/>
        <v>-9.52380952380949E-3</v>
      </c>
      <c r="Z213" s="365">
        <f t="shared" si="292"/>
        <v>0.11538461538461542</v>
      </c>
      <c r="AA213" s="365">
        <f t="shared" si="292"/>
        <v>3.4482758620689724E-2</v>
      </c>
      <c r="AB213" s="365">
        <v>0.19999999999999996</v>
      </c>
      <c r="AC213" s="365">
        <v>0.3125</v>
      </c>
      <c r="AD213" s="365">
        <f>AD212/AC212-1</f>
        <v>6.3492063492063489E-2</v>
      </c>
      <c r="AE213" s="365">
        <f>AE212/AD212-1</f>
        <v>9.9502487562189046E-2</v>
      </c>
      <c r="AF213" s="365">
        <f t="shared" si="292"/>
        <v>0.20814479638009042</v>
      </c>
      <c r="AG213" s="365">
        <f t="shared" si="292"/>
        <v>0.15355805243445686</v>
      </c>
      <c r="AH213" s="365">
        <f t="shared" si="292"/>
        <v>0.14610389610389607</v>
      </c>
      <c r="AI213" s="365">
        <f t="shared" si="292"/>
        <v>0.2464589235127479</v>
      </c>
      <c r="AJ213" s="365">
        <f t="shared" si="292"/>
        <v>0.18636363636363629</v>
      </c>
      <c r="AK213" s="365">
        <f t="shared" ref="AK213:AP213" si="293">AK212/AJ212-1</f>
        <v>0.14295333673022337</v>
      </c>
      <c r="AL213" s="365">
        <f t="shared" si="293"/>
        <v>0.14295333673022381</v>
      </c>
      <c r="AM213" s="365">
        <f t="shared" si="293"/>
        <v>0.14295333673022315</v>
      </c>
      <c r="AN213" s="365">
        <f t="shared" si="293"/>
        <v>0.14295333673022337</v>
      </c>
      <c r="AO213" s="365">
        <f t="shared" si="293"/>
        <v>0.14295333673022359</v>
      </c>
      <c r="AP213" s="365">
        <f t="shared" si="293"/>
        <v>0.14295333673022337</v>
      </c>
      <c r="AQ213" s="365">
        <f t="shared" ref="AQ213" si="294">AQ212/AP212-1</f>
        <v>0.14295333673022359</v>
      </c>
      <c r="AR213" s="365">
        <f t="shared" ref="AR213:AS213" si="295">AR212/AQ212-1</f>
        <v>0.14295333673022359</v>
      </c>
      <c r="AS213" s="365">
        <f t="shared" si="295"/>
        <v>0.14295333673022359</v>
      </c>
      <c r="AT213" s="366"/>
      <c r="AU213" s="366"/>
    </row>
    <row r="214" spans="1:47" outlineLevel="1">
      <c r="A214" s="298"/>
      <c r="B214" s="6"/>
      <c r="C214" s="21"/>
      <c r="D214" s="21"/>
      <c r="E214" s="21"/>
      <c r="F214" s="21"/>
      <c r="G214" s="21"/>
      <c r="H214" s="21"/>
      <c r="I214" s="21"/>
      <c r="J214" s="21"/>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2"/>
      <c r="AU214" s="2"/>
    </row>
    <row r="215" spans="1:47" ht="14.4" outlineLevel="1">
      <c r="A215" s="298"/>
      <c r="B215" s="348" t="s">
        <v>28</v>
      </c>
      <c r="C215" s="349"/>
      <c r="D215" s="349"/>
      <c r="E215" s="349"/>
      <c r="F215" s="349"/>
      <c r="G215" s="349"/>
      <c r="H215" s="349"/>
      <c r="I215" s="349"/>
      <c r="J215" s="349"/>
      <c r="K215" s="350"/>
      <c r="L215" s="350"/>
      <c r="M215" s="350"/>
      <c r="N215" s="350"/>
      <c r="O215" s="350"/>
      <c r="P215" s="350"/>
      <c r="Q215" s="350"/>
      <c r="R215" s="350"/>
      <c r="S215" s="350"/>
      <c r="T215" s="350"/>
      <c r="U215" s="350"/>
      <c r="V215" s="350"/>
      <c r="W215" s="351"/>
      <c r="X215" s="352"/>
      <c r="Y215" s="352"/>
      <c r="Z215" s="351"/>
      <c r="AA215" s="350"/>
      <c r="AB215" s="353"/>
      <c r="AC215" s="353"/>
      <c r="AD215" s="353"/>
      <c r="AE215" s="353"/>
      <c r="AF215" s="353"/>
      <c r="AG215" s="353"/>
      <c r="AH215" s="353"/>
      <c r="AI215" s="353"/>
      <c r="AJ215" s="353"/>
      <c r="AK215" s="353"/>
      <c r="AL215" s="353"/>
      <c r="AM215" s="353"/>
      <c r="AN215" s="353"/>
      <c r="AO215" s="353"/>
      <c r="AP215" s="353"/>
      <c r="AQ215" s="353"/>
      <c r="AR215" s="353"/>
      <c r="AS215" s="353"/>
      <c r="AT215" s="2"/>
      <c r="AU215" s="2"/>
    </row>
    <row r="216" spans="1:47" outlineLevel="1">
      <c r="A216" s="298"/>
      <c r="B216" s="2"/>
      <c r="C216" s="18"/>
      <c r="D216" s="18"/>
      <c r="E216" s="18"/>
      <c r="F216" s="18"/>
      <c r="G216" s="18"/>
      <c r="H216" s="18"/>
      <c r="I216" s="18"/>
      <c r="J216" s="18"/>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c r="AL216" s="7"/>
      <c r="AM216" s="7"/>
      <c r="AN216" s="7"/>
      <c r="AO216" s="7"/>
      <c r="AP216" s="7"/>
      <c r="AQ216" s="7"/>
      <c r="AR216" s="7"/>
      <c r="AS216" s="7"/>
      <c r="AT216" s="2"/>
      <c r="AU216" s="2"/>
    </row>
    <row r="217" spans="1:47" outlineLevel="1">
      <c r="A217" s="354"/>
      <c r="B217" s="259" t="s">
        <v>1221</v>
      </c>
      <c r="C217" s="395" t="s">
        <v>732</v>
      </c>
      <c r="D217" s="395"/>
      <c r="E217" s="395"/>
      <c r="F217" s="395"/>
      <c r="G217" s="395"/>
      <c r="H217" s="395"/>
      <c r="I217" s="395"/>
      <c r="J217" s="395"/>
      <c r="K217" s="249"/>
      <c r="L217" s="249"/>
      <c r="M217" s="249"/>
      <c r="N217" s="249"/>
      <c r="O217" s="249"/>
      <c r="P217" s="529"/>
      <c r="Q217" s="529"/>
      <c r="R217" s="529"/>
      <c r="S217" s="529"/>
      <c r="T217" s="529"/>
      <c r="U217" s="529"/>
      <c r="V217" s="529"/>
      <c r="W217" s="529"/>
      <c r="X217" s="529"/>
      <c r="Y217" s="529"/>
      <c r="Z217" s="529"/>
      <c r="AA217" s="529"/>
      <c r="AB217" s="529"/>
      <c r="AC217" s="526">
        <v>12</v>
      </c>
      <c r="AD217" s="526">
        <v>15</v>
      </c>
      <c r="AE217" s="526">
        <v>-8</v>
      </c>
      <c r="AF217" s="526">
        <v>17</v>
      </c>
      <c r="AG217" s="526">
        <v>18</v>
      </c>
      <c r="AH217" s="526">
        <v>18</v>
      </c>
      <c r="AI217" s="526">
        <v>20</v>
      </c>
      <c r="AJ217" s="526">
        <v>20</v>
      </c>
      <c r="AK217" s="398">
        <f t="shared" ref="AK217:AP217" si="296">+(1+AK218)*AJ217</f>
        <v>20</v>
      </c>
      <c r="AL217" s="398">
        <f t="shared" si="296"/>
        <v>20</v>
      </c>
      <c r="AM217" s="398">
        <f t="shared" si="296"/>
        <v>20</v>
      </c>
      <c r="AN217" s="398">
        <f t="shared" si="296"/>
        <v>20</v>
      </c>
      <c r="AO217" s="398">
        <f t="shared" si="296"/>
        <v>20</v>
      </c>
      <c r="AP217" s="398">
        <f t="shared" si="296"/>
        <v>20</v>
      </c>
      <c r="AQ217" s="398">
        <f t="shared" ref="AQ217" si="297">+(1+AQ218)*AP217</f>
        <v>20</v>
      </c>
      <c r="AR217" s="398">
        <f t="shared" ref="AR217:AS217" si="298">+(1+AR218)*AQ217</f>
        <v>20</v>
      </c>
      <c r="AS217" s="398">
        <f t="shared" si="298"/>
        <v>20</v>
      </c>
      <c r="AT217" s="254"/>
      <c r="AU217" s="254"/>
    </row>
    <row r="218" spans="1:47" outlineLevel="1">
      <c r="A218" s="308"/>
      <c r="B218" s="347" t="s">
        <v>1099</v>
      </c>
      <c r="C218" s="397" t="s">
        <v>733</v>
      </c>
      <c r="D218" s="323"/>
      <c r="E218" s="323"/>
      <c r="F218" s="323"/>
      <c r="G218" s="323"/>
      <c r="H218" s="323"/>
      <c r="I218" s="323"/>
      <c r="J218" s="323"/>
      <c r="K218" s="324"/>
      <c r="L218" s="324"/>
      <c r="M218" s="324"/>
      <c r="N218" s="324"/>
      <c r="O218" s="324"/>
      <c r="P218" s="324"/>
      <c r="Q218" s="311"/>
      <c r="R218" s="311"/>
      <c r="S218" s="311"/>
      <c r="T218" s="311"/>
      <c r="U218" s="311"/>
      <c r="V218" s="311"/>
      <c r="W218" s="311"/>
      <c r="X218" s="311"/>
      <c r="Y218" s="311"/>
      <c r="Z218" s="311"/>
      <c r="AA218" s="311"/>
      <c r="AB218" s="311"/>
      <c r="AC218" s="311"/>
      <c r="AD218" s="311">
        <f t="shared" ref="AD218:AJ218" si="299">AD217/AC217-1</f>
        <v>0.25</v>
      </c>
      <c r="AE218" s="311">
        <f t="shared" si="299"/>
        <v>-1.5333333333333332</v>
      </c>
      <c r="AF218" s="311">
        <f t="shared" si="299"/>
        <v>-3.125</v>
      </c>
      <c r="AG218" s="311">
        <f t="shared" si="299"/>
        <v>5.8823529411764719E-2</v>
      </c>
      <c r="AH218" s="311">
        <f t="shared" si="299"/>
        <v>0</v>
      </c>
      <c r="AI218" s="311">
        <f t="shared" si="299"/>
        <v>0.11111111111111116</v>
      </c>
      <c r="AJ218" s="311">
        <f t="shared" si="299"/>
        <v>0</v>
      </c>
      <c r="AK218" s="621">
        <f t="shared" ref="AK218:AP218" si="300">AJ218</f>
        <v>0</v>
      </c>
      <c r="AL218" s="621">
        <f t="shared" si="300"/>
        <v>0</v>
      </c>
      <c r="AM218" s="621">
        <f t="shared" si="300"/>
        <v>0</v>
      </c>
      <c r="AN218" s="621">
        <f t="shared" si="300"/>
        <v>0</v>
      </c>
      <c r="AO218" s="621">
        <f t="shared" si="300"/>
        <v>0</v>
      </c>
      <c r="AP218" s="621">
        <f t="shared" si="300"/>
        <v>0</v>
      </c>
      <c r="AQ218" s="621">
        <f t="shared" ref="AQ218" si="301">AP218</f>
        <v>0</v>
      </c>
      <c r="AR218" s="621">
        <f t="shared" ref="AR218:AS218" si="302">AQ218</f>
        <v>0</v>
      </c>
      <c r="AS218" s="621">
        <f t="shared" si="302"/>
        <v>0</v>
      </c>
      <c r="AT218" s="312"/>
      <c r="AU218" s="514"/>
    </row>
    <row r="219" spans="1:47" outlineLevel="1">
      <c r="A219" s="298"/>
      <c r="B219" s="2"/>
      <c r="C219" s="18"/>
      <c r="D219" s="18"/>
      <c r="E219" s="18"/>
      <c r="F219" s="18"/>
      <c r="G219" s="18"/>
      <c r="H219" s="18"/>
      <c r="I219" s="18"/>
      <c r="J219" s="18"/>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c r="AL219" s="7"/>
      <c r="AM219" s="7"/>
      <c r="AN219" s="7"/>
      <c r="AO219" s="7"/>
      <c r="AP219" s="7"/>
      <c r="AQ219" s="7"/>
      <c r="AR219" s="7"/>
      <c r="AS219" s="7"/>
      <c r="AT219" s="2"/>
      <c r="AU219" s="2"/>
    </row>
    <row r="220" spans="1:47" ht="14.4" outlineLevel="1">
      <c r="A220" s="298"/>
      <c r="B220" s="348" t="s">
        <v>1222</v>
      </c>
      <c r="C220" s="349"/>
      <c r="D220" s="349"/>
      <c r="E220" s="349"/>
      <c r="F220" s="349"/>
      <c r="G220" s="349"/>
      <c r="H220" s="349"/>
      <c r="I220" s="349"/>
      <c r="J220" s="349"/>
      <c r="K220" s="350"/>
      <c r="L220" s="350"/>
      <c r="M220" s="350"/>
      <c r="N220" s="350"/>
      <c r="O220" s="350"/>
      <c r="P220" s="350"/>
      <c r="Q220" s="350"/>
      <c r="R220" s="350"/>
      <c r="S220" s="350"/>
      <c r="T220" s="350"/>
      <c r="U220" s="350"/>
      <c r="V220" s="350"/>
      <c r="W220" s="351"/>
      <c r="X220" s="352"/>
      <c r="Y220" s="352"/>
      <c r="Z220" s="351"/>
      <c r="AA220" s="350"/>
      <c r="AB220" s="353"/>
      <c r="AC220" s="353"/>
      <c r="AD220" s="353"/>
      <c r="AE220" s="353"/>
      <c r="AF220" s="353"/>
      <c r="AG220" s="353"/>
      <c r="AH220" s="353"/>
      <c r="AI220" s="353"/>
      <c r="AJ220" s="353"/>
      <c r="AK220" s="353"/>
      <c r="AL220" s="353"/>
      <c r="AM220" s="353"/>
      <c r="AN220" s="353"/>
      <c r="AO220" s="353"/>
      <c r="AP220" s="353"/>
      <c r="AQ220" s="353"/>
      <c r="AR220" s="353"/>
      <c r="AS220" s="353"/>
      <c r="AT220" s="2"/>
      <c r="AU220" s="2"/>
    </row>
    <row r="221" spans="1:47" outlineLevel="1">
      <c r="A221" s="298"/>
      <c r="B221" s="2"/>
      <c r="C221" s="18"/>
      <c r="D221" s="18"/>
      <c r="E221" s="18"/>
      <c r="F221" s="18"/>
      <c r="G221" s="18"/>
      <c r="H221" s="18"/>
      <c r="I221" s="18"/>
      <c r="J221" s="18"/>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c r="AL221" s="7"/>
      <c r="AM221" s="7"/>
      <c r="AN221" s="7"/>
      <c r="AO221" s="7"/>
      <c r="AP221" s="7"/>
      <c r="AQ221" s="7"/>
      <c r="AR221" s="7"/>
      <c r="AS221" s="7"/>
      <c r="AT221" s="2"/>
      <c r="AU221" s="2"/>
    </row>
    <row r="222" spans="1:47" outlineLevel="1">
      <c r="A222" s="338"/>
      <c r="B222" s="337" t="s">
        <v>1223</v>
      </c>
      <c r="C222" s="48" t="s">
        <v>732</v>
      </c>
      <c r="D222" s="48"/>
      <c r="E222" s="48"/>
      <c r="F222" s="48"/>
      <c r="G222" s="48"/>
      <c r="H222" s="48"/>
      <c r="I222" s="48"/>
      <c r="J222" s="48"/>
      <c r="K222" s="373">
        <f t="shared" ref="K222:P222" si="303">+K200+K212+K217</f>
        <v>2666.6451999999999</v>
      </c>
      <c r="L222" s="373">
        <f t="shared" si="303"/>
        <v>2940.4239999999995</v>
      </c>
      <c r="M222" s="373">
        <f t="shared" si="303"/>
        <v>3242.3998000000001</v>
      </c>
      <c r="N222" s="373">
        <f t="shared" si="303"/>
        <v>3227.1893599999999</v>
      </c>
      <c r="O222" s="373">
        <f t="shared" si="303"/>
        <v>4010.5991799999997</v>
      </c>
      <c r="P222" s="373">
        <f t="shared" si="303"/>
        <v>3759.57492</v>
      </c>
      <c r="Q222" s="373">
        <f t="shared" ref="Q222:AO222" si="304">+Q200+Q212+Q217</f>
        <v>3903.4064400000002</v>
      </c>
      <c r="R222" s="373">
        <f t="shared" si="304"/>
        <v>4439.7675999999992</v>
      </c>
      <c r="S222" s="373">
        <f t="shared" si="304"/>
        <v>5062.4806800000006</v>
      </c>
      <c r="T222" s="373">
        <f t="shared" si="304"/>
        <v>5554</v>
      </c>
      <c r="U222" s="373">
        <f t="shared" si="304"/>
        <v>5870</v>
      </c>
      <c r="V222" s="373">
        <f t="shared" si="304"/>
        <v>6179</v>
      </c>
      <c r="W222" s="373">
        <f t="shared" si="304"/>
        <v>6561</v>
      </c>
      <c r="X222" s="373">
        <f t="shared" si="304"/>
        <v>6922</v>
      </c>
      <c r="Y222" s="373">
        <f t="shared" si="304"/>
        <v>7377</v>
      </c>
      <c r="Z222" s="373">
        <f t="shared" si="304"/>
        <v>7902</v>
      </c>
      <c r="AA222" s="373">
        <f t="shared" si="304"/>
        <v>7808</v>
      </c>
      <c r="AB222" s="373">
        <v>7743</v>
      </c>
      <c r="AC222" s="373">
        <v>7275</v>
      </c>
      <c r="AD222" s="373">
        <f t="shared" si="304"/>
        <v>7124</v>
      </c>
      <c r="AE222" s="373">
        <f t="shared" si="304"/>
        <v>6782</v>
      </c>
      <c r="AF222" s="373">
        <f t="shared" si="304"/>
        <v>6781</v>
      </c>
      <c r="AG222" s="373">
        <f>+AG200+AG212+AG217</f>
        <v>7218</v>
      </c>
      <c r="AH222" s="373">
        <f>+AH200+AH212+AH217</f>
        <v>7785</v>
      </c>
      <c r="AI222" s="373">
        <f t="shared" si="304"/>
        <v>8224</v>
      </c>
      <c r="AJ222" s="373">
        <f>+AJ200+AJ212+AJ217</f>
        <v>8508</v>
      </c>
      <c r="AK222" s="373">
        <f t="shared" si="304"/>
        <v>8933.4195264511582</v>
      </c>
      <c r="AL222" s="373">
        <f t="shared" si="304"/>
        <v>9375.282894890368</v>
      </c>
      <c r="AM222" s="373">
        <f t="shared" si="304"/>
        <v>9851.2753434660517</v>
      </c>
      <c r="AN222" s="373">
        <f t="shared" si="304"/>
        <v>10364.622476387285</v>
      </c>
      <c r="AO222" s="373">
        <f t="shared" si="304"/>
        <v>10918.704664075149</v>
      </c>
      <c r="AP222" s="373">
        <f>+AP200+AP212+AP217</f>
        <v>11517.292094932871</v>
      </c>
      <c r="AQ222" s="373">
        <f t="shared" ref="AQ222:AR222" si="305">+AQ200+AQ212+AQ217</f>
        <v>12164.593448650387</v>
      </c>
      <c r="AR222" s="373">
        <f t="shared" si="305"/>
        <v>12865.311051990344</v>
      </c>
      <c r="AS222" s="373">
        <f t="shared" ref="AS222" si="306">+AS200+AS212+AS217</f>
        <v>13624.703404199732</v>
      </c>
      <c r="AT222" s="9"/>
      <c r="AU222" s="9"/>
    </row>
    <row r="223" spans="1:47" outlineLevel="1">
      <c r="A223" s="308"/>
      <c r="B223" s="322" t="s">
        <v>1099</v>
      </c>
      <c r="C223" s="310" t="s">
        <v>733</v>
      </c>
      <c r="D223" s="310"/>
      <c r="E223" s="310"/>
      <c r="F223" s="310"/>
      <c r="G223" s="310"/>
      <c r="H223" s="310"/>
      <c r="I223" s="310"/>
      <c r="J223" s="310"/>
      <c r="K223" s="311"/>
      <c r="L223" s="311">
        <f t="shared" ref="L223:AP223" si="307">L222/K222-1</f>
        <v>0.10266787647640552</v>
      </c>
      <c r="M223" s="311">
        <f t="shared" si="307"/>
        <v>0.10269804626815748</v>
      </c>
      <c r="N223" s="311">
        <f t="shared" si="307"/>
        <v>-4.6911056434189025E-3</v>
      </c>
      <c r="O223" s="311">
        <f t="shared" si="307"/>
        <v>0.24275297561095077</v>
      </c>
      <c r="P223" s="311">
        <f t="shared" si="307"/>
        <v>-6.2590213764517788E-2</v>
      </c>
      <c r="Q223" s="311">
        <f t="shared" si="307"/>
        <v>3.8257388949706206E-2</v>
      </c>
      <c r="R223" s="311">
        <f t="shared" si="307"/>
        <v>0.13740848365255021</v>
      </c>
      <c r="S223" s="311">
        <f t="shared" si="307"/>
        <v>0.1402580351277849</v>
      </c>
      <c r="T223" s="311">
        <f t="shared" si="307"/>
        <v>9.7090606575904959E-2</v>
      </c>
      <c r="U223" s="311">
        <f t="shared" si="307"/>
        <v>5.6895930860640931E-2</v>
      </c>
      <c r="V223" s="311">
        <f t="shared" si="307"/>
        <v>5.2640545144803985E-2</v>
      </c>
      <c r="W223" s="311">
        <f t="shared" si="307"/>
        <v>6.18223013432595E-2</v>
      </c>
      <c r="X223" s="311">
        <f t="shared" si="307"/>
        <v>5.5022100289590092E-2</v>
      </c>
      <c r="Y223" s="311">
        <f t="shared" si="307"/>
        <v>6.5732447269575278E-2</v>
      </c>
      <c r="Z223" s="311">
        <f t="shared" si="307"/>
        <v>7.1167141114274024E-2</v>
      </c>
      <c r="AA223" s="311">
        <f t="shared" si="307"/>
        <v>-1.1895722601872993E-2</v>
      </c>
      <c r="AB223" s="311">
        <v>-8.3247950819672623E-3</v>
      </c>
      <c r="AC223" s="311">
        <v>-6.044168926772564E-2</v>
      </c>
      <c r="AD223" s="311">
        <f t="shared" si="307"/>
        <v>-2.075601374570446E-2</v>
      </c>
      <c r="AE223" s="311">
        <f t="shared" si="307"/>
        <v>-4.8006737787759657E-2</v>
      </c>
      <c r="AF223" s="311">
        <f t="shared" si="307"/>
        <v>-1.4744913005015903E-4</v>
      </c>
      <c r="AG223" s="311">
        <f t="shared" si="307"/>
        <v>6.4444772157498997E-2</v>
      </c>
      <c r="AH223" s="311">
        <f t="shared" si="307"/>
        <v>7.8553615960099687E-2</v>
      </c>
      <c r="AI223" s="311">
        <f t="shared" si="307"/>
        <v>5.6390494540783598E-2</v>
      </c>
      <c r="AJ223" s="311">
        <f t="shared" si="307"/>
        <v>3.4533073929961189E-2</v>
      </c>
      <c r="AK223" s="311">
        <f t="shared" si="307"/>
        <v>5.0002295069482727E-2</v>
      </c>
      <c r="AL223" s="311">
        <f t="shared" si="307"/>
        <v>4.9461840130857748E-2</v>
      </c>
      <c r="AM223" s="311">
        <f t="shared" si="307"/>
        <v>5.0770995810174968E-2</v>
      </c>
      <c r="AN223" s="311">
        <f t="shared" si="307"/>
        <v>5.2109713212078246E-2</v>
      </c>
      <c r="AO223" s="311">
        <f t="shared" si="307"/>
        <v>5.3458984053705416E-2</v>
      </c>
      <c r="AP223" s="311">
        <f t="shared" si="307"/>
        <v>5.4822201833812922E-2</v>
      </c>
      <c r="AQ223" s="311">
        <f t="shared" ref="AQ223" si="308">AQ222/AP222-1</f>
        <v>5.6202564663815568E-2</v>
      </c>
      <c r="AR223" s="311">
        <f t="shared" ref="AR223:AS223" si="309">AR222/AQ222-1</f>
        <v>5.7603043315656244E-2</v>
      </c>
      <c r="AS223" s="311">
        <f t="shared" si="309"/>
        <v>5.90263499374859E-2</v>
      </c>
      <c r="AT223" s="312"/>
      <c r="AU223" s="514"/>
    </row>
    <row r="224" spans="1:47" outlineLevel="1">
      <c r="A224" s="308"/>
      <c r="B224" s="309"/>
      <c r="C224" s="310"/>
      <c r="D224" s="310"/>
      <c r="E224" s="310"/>
      <c r="F224" s="310"/>
      <c r="G224" s="310"/>
      <c r="H224" s="310"/>
      <c r="I224" s="310"/>
      <c r="J224" s="310"/>
      <c r="K224" s="311"/>
      <c r="L224" s="311"/>
      <c r="M224" s="311"/>
      <c r="N224" s="311"/>
      <c r="O224" s="311"/>
      <c r="P224" s="311"/>
      <c r="Q224" s="311"/>
      <c r="R224" s="311"/>
      <c r="S224" s="311"/>
      <c r="T224" s="311"/>
      <c r="U224" s="311"/>
      <c r="V224" s="311"/>
      <c r="W224" s="311"/>
      <c r="X224" s="311"/>
      <c r="Y224" s="311"/>
      <c r="Z224" s="311"/>
      <c r="AA224" s="311"/>
      <c r="AB224" s="311"/>
      <c r="AC224" s="311"/>
      <c r="AD224" s="311"/>
      <c r="AE224" s="311"/>
      <c r="AF224" s="311"/>
      <c r="AG224" s="311"/>
      <c r="AH224" s="311"/>
      <c r="AI224" s="311"/>
      <c r="AJ224" s="311"/>
      <c r="AK224" s="311"/>
      <c r="AL224" s="311"/>
      <c r="AM224" s="311"/>
      <c r="AN224" s="311"/>
      <c r="AO224" s="311"/>
      <c r="AP224" s="311"/>
      <c r="AQ224" s="311"/>
      <c r="AR224" s="311"/>
      <c r="AS224" s="311"/>
      <c r="AT224" s="312"/>
      <c r="AU224" s="514"/>
    </row>
    <row r="225" spans="1:47" ht="14.4" outlineLevel="1">
      <c r="A225" s="298"/>
      <c r="B225" s="348" t="s">
        <v>1231</v>
      </c>
      <c r="C225" s="349"/>
      <c r="D225" s="349"/>
      <c r="E225" s="349"/>
      <c r="F225" s="349"/>
      <c r="G225" s="349"/>
      <c r="H225" s="349"/>
      <c r="I225" s="349"/>
      <c r="J225" s="349"/>
      <c r="K225" s="350"/>
      <c r="L225" s="350"/>
      <c r="M225" s="350"/>
      <c r="N225" s="350"/>
      <c r="O225" s="350"/>
      <c r="P225" s="350"/>
      <c r="Q225" s="350"/>
      <c r="R225" s="350"/>
      <c r="S225" s="350"/>
      <c r="T225" s="350"/>
      <c r="U225" s="350"/>
      <c r="V225" s="350"/>
      <c r="W225" s="351"/>
      <c r="X225" s="352"/>
      <c r="Y225" s="352"/>
      <c r="Z225" s="351"/>
      <c r="AA225" s="350"/>
      <c r="AB225" s="353"/>
      <c r="AC225" s="353"/>
      <c r="AD225" s="353"/>
      <c r="AE225" s="353"/>
      <c r="AF225" s="353"/>
      <c r="AG225" s="353"/>
      <c r="AH225" s="353"/>
      <c r="AI225" s="353"/>
      <c r="AJ225" s="353"/>
      <c r="AK225" s="353"/>
      <c r="AL225" s="353"/>
      <c r="AM225" s="353"/>
      <c r="AN225" s="353"/>
      <c r="AO225" s="353"/>
      <c r="AP225" s="353"/>
      <c r="AQ225" s="353"/>
      <c r="AR225" s="353"/>
      <c r="AS225" s="353"/>
      <c r="AT225" s="2"/>
      <c r="AU225" s="2"/>
    </row>
    <row r="226" spans="1:47" outlineLevel="1">
      <c r="A226" s="298"/>
      <c r="B226" s="6"/>
      <c r="C226" s="21"/>
      <c r="D226" s="21"/>
      <c r="E226" s="21"/>
      <c r="F226" s="21"/>
      <c r="G226" s="21"/>
      <c r="H226" s="21"/>
      <c r="I226" s="21"/>
      <c r="J226" s="21"/>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2"/>
      <c r="AU226" s="2"/>
    </row>
    <row r="227" spans="1:47" outlineLevel="1">
      <c r="A227" s="354"/>
      <c r="B227" s="254" t="s">
        <v>923</v>
      </c>
      <c r="C227" s="354" t="s">
        <v>732</v>
      </c>
      <c r="D227" s="354"/>
      <c r="E227" s="354"/>
      <c r="F227" s="354"/>
      <c r="G227" s="354"/>
      <c r="H227" s="354"/>
      <c r="I227" s="354"/>
      <c r="J227" s="354"/>
      <c r="K227" s="247">
        <f t="shared" ref="K227:AF227" si="310">K233</f>
        <v>326</v>
      </c>
      <c r="L227" s="247">
        <f t="shared" si="310"/>
        <v>215</v>
      </c>
      <c r="M227" s="247">
        <f t="shared" si="310"/>
        <v>226</v>
      </c>
      <c r="N227" s="247">
        <f t="shared" si="310"/>
        <v>386</v>
      </c>
      <c r="O227" s="247">
        <f t="shared" si="310"/>
        <v>352</v>
      </c>
      <c r="P227" s="247">
        <f t="shared" si="310"/>
        <v>381</v>
      </c>
      <c r="Q227" s="247">
        <f t="shared" si="310"/>
        <v>469</v>
      </c>
      <c r="R227" s="247">
        <f t="shared" si="310"/>
        <v>744</v>
      </c>
      <c r="S227" s="247">
        <f t="shared" si="310"/>
        <v>861</v>
      </c>
      <c r="T227" s="247">
        <f t="shared" si="310"/>
        <v>777</v>
      </c>
      <c r="U227" s="247">
        <f t="shared" si="310"/>
        <v>856</v>
      </c>
      <c r="V227" s="247">
        <f t="shared" si="310"/>
        <v>1160</v>
      </c>
      <c r="W227" s="247">
        <f t="shared" si="310"/>
        <v>1338</v>
      </c>
      <c r="X227" s="247">
        <f t="shared" si="310"/>
        <v>1497</v>
      </c>
      <c r="Y227" s="247">
        <f t="shared" si="310"/>
        <v>1493</v>
      </c>
      <c r="Z227" s="247">
        <f t="shared" si="310"/>
        <v>1886</v>
      </c>
      <c r="AA227" s="247">
        <f t="shared" si="310"/>
        <v>2076</v>
      </c>
      <c r="AB227" s="247">
        <v>2144</v>
      </c>
      <c r="AC227" s="247">
        <v>2846</v>
      </c>
      <c r="AD227" s="247">
        <f t="shared" si="310"/>
        <v>3152</v>
      </c>
      <c r="AE227" s="247">
        <f t="shared" si="310"/>
        <v>3054</v>
      </c>
      <c r="AF227" s="247">
        <f t="shared" si="310"/>
        <v>2306</v>
      </c>
      <c r="AG227" s="247">
        <f>AG233</f>
        <v>2100</v>
      </c>
      <c r="AH227" s="247">
        <f>AH233</f>
        <v>2355</v>
      </c>
      <c r="AI227" s="247">
        <f>AI233</f>
        <v>2359</v>
      </c>
      <c r="AJ227" s="247">
        <f>AJ233</f>
        <v>2359</v>
      </c>
      <c r="AK227" s="247">
        <f t="shared" ref="AK227:AO227" si="311">+AK230*AK195</f>
        <v>2578.6717759846651</v>
      </c>
      <c r="AL227" s="247">
        <f t="shared" si="311"/>
        <v>2513.9500206679395</v>
      </c>
      <c r="AM227" s="247">
        <f t="shared" si="311"/>
        <v>2659.9980609109889</v>
      </c>
      <c r="AN227" s="247">
        <f t="shared" si="311"/>
        <v>2815.9410085426257</v>
      </c>
      <c r="AO227" s="247">
        <f t="shared" si="311"/>
        <v>2982.5130457332416</v>
      </c>
      <c r="AP227" s="247">
        <f>+AP230*AP195</f>
        <v>3160.5054980788204</v>
      </c>
      <c r="AQ227" s="247">
        <f t="shared" ref="AQ227:AR227" si="312">+AQ230*AQ195</f>
        <v>3350.7713891641411</v>
      </c>
      <c r="AR227" s="247">
        <f t="shared" si="312"/>
        <v>3554.2303623527573</v>
      </c>
      <c r="AS227" s="247">
        <f t="shared" ref="AS227" si="313">+AS230*AS195</f>
        <v>3771.8739995777091</v>
      </c>
      <c r="AT227" s="254"/>
      <c r="AU227" s="254"/>
    </row>
    <row r="228" spans="1:47" outlineLevel="1">
      <c r="A228" s="308"/>
      <c r="B228" s="313" t="s">
        <v>924</v>
      </c>
      <c r="C228" s="310" t="s">
        <v>733</v>
      </c>
      <c r="D228" s="310"/>
      <c r="E228" s="310"/>
      <c r="F228" s="310"/>
      <c r="G228" s="310"/>
      <c r="H228" s="310"/>
      <c r="I228" s="310"/>
      <c r="J228" s="310"/>
      <c r="K228" s="311">
        <f t="shared" ref="K228:Y228" si="314">K227/K538</f>
        <v>0.12225098412042218</v>
      </c>
      <c r="L228" s="311">
        <f t="shared" si="314"/>
        <v>7.3118706689919558E-2</v>
      </c>
      <c r="M228" s="311">
        <f t="shared" si="314"/>
        <v>6.9701460011192942E-2</v>
      </c>
      <c r="N228" s="311">
        <f t="shared" si="314"/>
        <v>0.11960872354884065</v>
      </c>
      <c r="O228" s="311">
        <f t="shared" si="314"/>
        <v>8.7767434291451688E-2</v>
      </c>
      <c r="P228" s="311">
        <f t="shared" si="314"/>
        <v>0.1019923326822207</v>
      </c>
      <c r="Q228" s="311">
        <f t="shared" si="314"/>
        <v>0.12126990200698946</v>
      </c>
      <c r="R228" s="311">
        <f t="shared" si="314"/>
        <v>0.1732340534561172</v>
      </c>
      <c r="S228" s="311">
        <f t="shared" si="314"/>
        <v>0.17670670374007516</v>
      </c>
      <c r="T228" s="311">
        <f t="shared" si="314"/>
        <v>0.14445064138315672</v>
      </c>
      <c r="U228" s="311">
        <f t="shared" si="314"/>
        <v>0.14988618455611977</v>
      </c>
      <c r="V228" s="311">
        <f t="shared" si="314"/>
        <v>0.192243950944647</v>
      </c>
      <c r="W228" s="311">
        <f t="shared" si="314"/>
        <v>0.20828144458281445</v>
      </c>
      <c r="X228" s="311">
        <f t="shared" si="314"/>
        <v>0.2191800878477306</v>
      </c>
      <c r="Y228" s="311">
        <f t="shared" si="314"/>
        <v>0.20488541237820776</v>
      </c>
      <c r="Z228" s="311">
        <f>Z227/Z23</f>
        <v>0.1773389750822755</v>
      </c>
      <c r="AA228" s="311">
        <f>AA227/AA23</f>
        <v>0.19917490165979085</v>
      </c>
      <c r="AB228" s="311">
        <v>0.21252973830293417</v>
      </c>
      <c r="AC228" s="311">
        <v>0.2708412637990103</v>
      </c>
      <c r="AD228" s="311">
        <f t="shared" ref="AD228:AS228" si="315">AD227/AD23</f>
        <v>0.2959902338247723</v>
      </c>
      <c r="AE228" s="311">
        <f t="shared" si="315"/>
        <v>0.30148075024679172</v>
      </c>
      <c r="AF228" s="311">
        <f t="shared" si="315"/>
        <v>0.24769065520945222</v>
      </c>
      <c r="AG228" s="311">
        <f t="shared" si="315"/>
        <v>0.22175290390707497</v>
      </c>
      <c r="AH228" s="311">
        <f t="shared" si="315"/>
        <v>0.22957691557808541</v>
      </c>
      <c r="AI228" s="311">
        <f t="shared" si="315"/>
        <v>0.22001492258906921</v>
      </c>
      <c r="AJ228" s="311">
        <f t="shared" si="315"/>
        <v>0.21416250567408079</v>
      </c>
      <c r="AK228" s="311">
        <f t="shared" si="315"/>
        <v>0.22383413935744995</v>
      </c>
      <c r="AL228" s="311">
        <f t="shared" si="315"/>
        <v>0.20871846825712836</v>
      </c>
      <c r="AM228" s="311">
        <f t="shared" si="315"/>
        <v>0.21102082514429868</v>
      </c>
      <c r="AN228" s="311">
        <f t="shared" si="315"/>
        <v>0.21323649308993237</v>
      </c>
      <c r="AO228" s="311">
        <f t="shared" si="315"/>
        <v>0.21535897161243298</v>
      </c>
      <c r="AP228" s="311">
        <f t="shared" si="315"/>
        <v>0.21738104725973748</v>
      </c>
      <c r="AQ228" s="311">
        <f t="shared" si="315"/>
        <v>0.21929481335057802</v>
      </c>
      <c r="AR228" s="311">
        <f t="shared" si="315"/>
        <v>0.22109170204022038</v>
      </c>
      <c r="AS228" s="311">
        <f t="shared" si="315"/>
        <v>0.22276252957465667</v>
      </c>
      <c r="AT228" s="312"/>
      <c r="AU228" s="514"/>
    </row>
    <row r="229" spans="1:47" outlineLevel="1">
      <c r="A229" s="298"/>
      <c r="B229" s="6"/>
      <c r="C229" s="21"/>
      <c r="D229" s="21"/>
      <c r="E229" s="21"/>
      <c r="F229" s="21"/>
      <c r="G229" s="21"/>
      <c r="H229" s="21"/>
      <c r="I229" s="21"/>
      <c r="J229" s="21"/>
      <c r="K229" s="34"/>
      <c r="L229" s="34"/>
      <c r="M229" s="34"/>
      <c r="N229" s="34"/>
      <c r="O229" s="34"/>
      <c r="P229" s="34"/>
      <c r="Q229" s="34"/>
      <c r="R229" s="34"/>
      <c r="S229" s="34"/>
      <c r="T229" s="34"/>
      <c r="U229" s="34"/>
      <c r="V229" s="34"/>
      <c r="W229" s="34"/>
      <c r="X229" s="34"/>
      <c r="Y229" s="34"/>
      <c r="Z229" s="409"/>
      <c r="AA229" s="34"/>
      <c r="AB229" s="34"/>
      <c r="AC229" s="34"/>
      <c r="AD229" s="34"/>
      <c r="AE229" s="34"/>
      <c r="AF229" s="34"/>
      <c r="AG229" s="34"/>
      <c r="AH229" s="34"/>
      <c r="AI229" s="34"/>
      <c r="AJ229" s="34"/>
      <c r="AK229" s="34"/>
      <c r="AL229" s="34"/>
      <c r="AM229" s="34"/>
      <c r="AN229" s="34"/>
      <c r="AO229" s="34"/>
      <c r="AP229" s="34"/>
      <c r="AQ229" s="34"/>
      <c r="AR229" s="34"/>
      <c r="AS229" s="34"/>
      <c r="AT229" s="2"/>
      <c r="AU229" s="2"/>
    </row>
    <row r="230" spans="1:47" outlineLevel="1">
      <c r="A230" s="354"/>
      <c r="B230" s="254" t="s">
        <v>215</v>
      </c>
      <c r="C230" s="354" t="s">
        <v>772</v>
      </c>
      <c r="D230" s="354"/>
      <c r="E230" s="354"/>
      <c r="F230" s="354"/>
      <c r="G230" s="354"/>
      <c r="H230" s="354"/>
      <c r="I230" s="354"/>
      <c r="J230" s="354"/>
      <c r="K230" s="421">
        <f t="shared" ref="K230:AF230" si="316">K227/K195</f>
        <v>244.25769636520573</v>
      </c>
      <c r="L230" s="421">
        <f t="shared" si="316"/>
        <v>119.83323672359211</v>
      </c>
      <c r="M230" s="421">
        <f t="shared" si="316"/>
        <v>113.62607969914228</v>
      </c>
      <c r="N230" s="421">
        <f t="shared" si="316"/>
        <v>217.09639754962288</v>
      </c>
      <c r="O230" s="421">
        <f t="shared" si="316"/>
        <v>156.66785280254092</v>
      </c>
      <c r="P230" s="421">
        <f t="shared" si="316"/>
        <v>177.80673294828753</v>
      </c>
      <c r="Q230" s="421">
        <f t="shared" si="316"/>
        <v>207.29721558733624</v>
      </c>
      <c r="R230" s="421">
        <f t="shared" si="316"/>
        <v>298.4856666701437</v>
      </c>
      <c r="S230" s="421">
        <f t="shared" si="316"/>
        <v>307.13527685873015</v>
      </c>
      <c r="T230" s="421">
        <f t="shared" si="316"/>
        <v>251.10200493801625</v>
      </c>
      <c r="U230" s="421">
        <f t="shared" si="316"/>
        <v>280.5165371216612</v>
      </c>
      <c r="V230" s="421">
        <f t="shared" si="316"/>
        <v>270.51229431737613</v>
      </c>
      <c r="W230" s="421">
        <f t="shared" si="316"/>
        <v>420.92255654141354</v>
      </c>
      <c r="X230" s="421">
        <f t="shared" si="316"/>
        <v>529.2543859261466</v>
      </c>
      <c r="Y230" s="421">
        <f t="shared" si="316"/>
        <v>605.16445971790995</v>
      </c>
      <c r="Z230" s="421">
        <f t="shared" si="316"/>
        <v>714.35279736294945</v>
      </c>
      <c r="AA230" s="421">
        <f t="shared" si="316"/>
        <v>887.15484398937565</v>
      </c>
      <c r="AB230" s="421">
        <v>1048.7261450265003</v>
      </c>
      <c r="AC230" s="421">
        <v>1262.4173562425549</v>
      </c>
      <c r="AD230" s="421">
        <f t="shared" si="316"/>
        <v>1218.4265366496286</v>
      </c>
      <c r="AE230" s="421">
        <f t="shared" si="316"/>
        <v>1242.4616770344153</v>
      </c>
      <c r="AF230" s="421">
        <f t="shared" si="316"/>
        <v>824.65139055991358</v>
      </c>
      <c r="AG230" s="421">
        <f>AG227/AG195</f>
        <v>425.88829496643046</v>
      </c>
      <c r="AH230" s="421">
        <f>AH227/AH195</f>
        <v>828.69069934756953</v>
      </c>
      <c r="AI230" s="421">
        <f>AI227/AI195</f>
        <v>554.02052388875904</v>
      </c>
      <c r="AJ230" s="421">
        <f>AJ227/AJ195</f>
        <v>682.66816241315701</v>
      </c>
      <c r="AK230" s="421">
        <f t="shared" ref="AK230:AP230" si="317">+AJ230*(1+AK231)</f>
        <v>703.14820728555173</v>
      </c>
      <c r="AL230" s="421">
        <f t="shared" si="317"/>
        <v>724.24265350411827</v>
      </c>
      <c r="AM230" s="421">
        <f t="shared" si="317"/>
        <v>745.96993310924188</v>
      </c>
      <c r="AN230" s="421">
        <f t="shared" si="317"/>
        <v>768.34903110251912</v>
      </c>
      <c r="AO230" s="421">
        <f t="shared" si="317"/>
        <v>791.39950203559476</v>
      </c>
      <c r="AP230" s="421">
        <f t="shared" si="317"/>
        <v>815.14148709666267</v>
      </c>
      <c r="AQ230" s="421">
        <f t="shared" ref="AQ230" si="318">+AP230*(1+AQ231)</f>
        <v>839.59573170956253</v>
      </c>
      <c r="AR230" s="421">
        <f t="shared" ref="AR230:AS230" si="319">+AQ230*(1+AR231)</f>
        <v>864.78360366084939</v>
      </c>
      <c r="AS230" s="421">
        <f t="shared" si="319"/>
        <v>890.72711177067492</v>
      </c>
      <c r="AT230" s="254"/>
      <c r="AU230" s="254"/>
    </row>
    <row r="231" spans="1:47" outlineLevel="1">
      <c r="A231" s="308"/>
      <c r="B231" s="322" t="s">
        <v>1099</v>
      </c>
      <c r="C231" s="323"/>
      <c r="D231" s="323"/>
      <c r="E231" s="323"/>
      <c r="F231" s="323"/>
      <c r="G231" s="323"/>
      <c r="H231" s="323"/>
      <c r="I231" s="323"/>
      <c r="J231" s="323"/>
      <c r="K231" s="324"/>
      <c r="L231" s="324"/>
      <c r="M231" s="324"/>
      <c r="N231" s="324"/>
      <c r="O231" s="324"/>
      <c r="P231" s="324"/>
      <c r="Q231" s="311">
        <f>P230/O230-1</f>
        <v>0.13492800065619948</v>
      </c>
      <c r="R231" s="311">
        <f>Q230/P230-1</f>
        <v>0.16585695125294042</v>
      </c>
      <c r="S231" s="311">
        <f>R230/Q230-1</f>
        <v>0.43989231029680154</v>
      </c>
      <c r="T231" s="311">
        <f t="shared" ref="T231:AJ231" si="320">T230/S230-1</f>
        <v>-0.1824384111581131</v>
      </c>
      <c r="U231" s="311">
        <f t="shared" si="320"/>
        <v>0.11714176551838307</v>
      </c>
      <c r="V231" s="311">
        <f t="shared" si="320"/>
        <v>-3.5663647166534695E-2</v>
      </c>
      <c r="W231" s="311">
        <f t="shared" si="320"/>
        <v>0.55602006039536933</v>
      </c>
      <c r="X231" s="311">
        <f t="shared" si="320"/>
        <v>0.2573676029026839</v>
      </c>
      <c r="Y231" s="311">
        <f t="shared" si="320"/>
        <v>0.14342833202775962</v>
      </c>
      <c r="Z231" s="311">
        <f t="shared" si="320"/>
        <v>0.18042754476351153</v>
      </c>
      <c r="AA231" s="311">
        <f t="shared" si="320"/>
        <v>0.24190014690826311</v>
      </c>
      <c r="AB231" s="311">
        <v>0.18212299930705167</v>
      </c>
      <c r="AC231" s="311">
        <v>0.20376264311657355</v>
      </c>
      <c r="AD231" s="311">
        <f t="shared" si="320"/>
        <v>-3.4846494604494405E-2</v>
      </c>
      <c r="AE231" s="311">
        <f t="shared" si="320"/>
        <v>1.9726376323744077E-2</v>
      </c>
      <c r="AF231" s="311">
        <f t="shared" si="320"/>
        <v>-0.33627619603669168</v>
      </c>
      <c r="AG231" s="311">
        <f t="shared" si="320"/>
        <v>-0.4835535356615781</v>
      </c>
      <c r="AH231" s="311">
        <f t="shared" si="320"/>
        <v>0.94579355465237414</v>
      </c>
      <c r="AI231" s="311">
        <f t="shared" si="320"/>
        <v>-0.33145077611593698</v>
      </c>
      <c r="AJ231" s="311">
        <f t="shared" si="320"/>
        <v>0.23220735149196203</v>
      </c>
      <c r="AK231" s="621">
        <v>0.03</v>
      </c>
      <c r="AL231" s="621">
        <v>0.03</v>
      </c>
      <c r="AM231" s="621">
        <v>0.03</v>
      </c>
      <c r="AN231" s="621">
        <v>0.03</v>
      </c>
      <c r="AO231" s="621">
        <v>0.03</v>
      </c>
      <c r="AP231" s="621">
        <v>0.03</v>
      </c>
      <c r="AQ231" s="621">
        <v>0.03</v>
      </c>
      <c r="AR231" s="621">
        <v>0.03</v>
      </c>
      <c r="AS231" s="621">
        <v>0.03</v>
      </c>
      <c r="AT231" s="312"/>
      <c r="AU231" s="254"/>
    </row>
    <row r="232" spans="1:47" outlineLevel="1">
      <c r="A232" s="298"/>
      <c r="B232" s="2"/>
      <c r="C232" s="18"/>
      <c r="D232" s="18"/>
      <c r="E232" s="18"/>
      <c r="F232" s="18"/>
      <c r="G232" s="18"/>
      <c r="H232" s="18"/>
      <c r="I232" s="18"/>
      <c r="J232" s="18"/>
      <c r="K232" s="7"/>
      <c r="L232" s="7"/>
      <c r="M232" s="7"/>
      <c r="N232" s="7"/>
      <c r="O232" s="7"/>
      <c r="P232" s="7"/>
      <c r="Q232" s="7"/>
      <c r="R232" s="7"/>
      <c r="S232" s="7"/>
      <c r="T232" s="7"/>
      <c r="U232" s="7"/>
      <c r="V232" s="7"/>
      <c r="W232" s="7"/>
      <c r="X232" s="7"/>
      <c r="Y232" s="7"/>
      <c r="Z232" s="7"/>
      <c r="AA232" s="7"/>
      <c r="AB232" s="7"/>
      <c r="AC232" s="7"/>
      <c r="AD232" s="7"/>
      <c r="AE232" s="7"/>
      <c r="AF232" s="7"/>
      <c r="AG232" s="7"/>
      <c r="AH232" s="7"/>
      <c r="AI232" s="7"/>
      <c r="AJ232" s="7"/>
      <c r="AK232" s="7"/>
      <c r="AL232" s="7"/>
      <c r="AM232" s="7"/>
      <c r="AN232" s="7"/>
      <c r="AO232" s="7"/>
      <c r="AP232" s="7"/>
      <c r="AQ232" s="7"/>
      <c r="AR232" s="7"/>
      <c r="AS232" s="7"/>
      <c r="AT232" s="2"/>
      <c r="AU232" s="254"/>
    </row>
    <row r="233" spans="1:47" outlineLevel="1">
      <c r="A233" s="354"/>
      <c r="B233" s="259" t="s">
        <v>922</v>
      </c>
      <c r="C233" s="395" t="s">
        <v>732</v>
      </c>
      <c r="D233" s="395"/>
      <c r="E233" s="395"/>
      <c r="F233" s="395"/>
      <c r="G233" s="395"/>
      <c r="H233" s="395"/>
      <c r="I233" s="395"/>
      <c r="J233" s="395"/>
      <c r="K233" s="526">
        <v>326</v>
      </c>
      <c r="L233" s="526">
        <v>215</v>
      </c>
      <c r="M233" s="526">
        <v>226</v>
      </c>
      <c r="N233" s="526">
        <v>386</v>
      </c>
      <c r="O233" s="526">
        <v>352</v>
      </c>
      <c r="P233" s="526">
        <v>381</v>
      </c>
      <c r="Q233" s="526">
        <v>469</v>
      </c>
      <c r="R233" s="526">
        <v>744</v>
      </c>
      <c r="S233" s="526">
        <v>861</v>
      </c>
      <c r="T233" s="526">
        <v>777</v>
      </c>
      <c r="U233" s="526">
        <v>856</v>
      </c>
      <c r="V233" s="526">
        <v>1160</v>
      </c>
      <c r="W233" s="526">
        <v>1338</v>
      </c>
      <c r="X233" s="526">
        <v>1497</v>
      </c>
      <c r="Y233" s="526">
        <v>1493</v>
      </c>
      <c r="Z233" s="526">
        <v>1886</v>
      </c>
      <c r="AA233" s="526">
        <v>2076</v>
      </c>
      <c r="AB233" s="526">
        <v>2144</v>
      </c>
      <c r="AC233" s="526">
        <v>2846</v>
      </c>
      <c r="AD233" s="526">
        <v>3152</v>
      </c>
      <c r="AE233" s="526">
        <v>3054</v>
      </c>
      <c r="AF233" s="526">
        <v>2306</v>
      </c>
      <c r="AG233" s="526">
        <v>2100</v>
      </c>
      <c r="AH233" s="526">
        <v>2355</v>
      </c>
      <c r="AI233" s="526">
        <v>2359</v>
      </c>
      <c r="AJ233" s="526">
        <v>2359</v>
      </c>
      <c r="AK233" s="398">
        <f t="shared" ref="AK233:AS233" si="321">AJ233*(1+AK234)</f>
        <v>2429.77</v>
      </c>
      <c r="AL233" s="398">
        <f t="shared" si="321"/>
        <v>2502.6631000000002</v>
      </c>
      <c r="AM233" s="398">
        <f t="shared" si="321"/>
        <v>2577.7429930000003</v>
      </c>
      <c r="AN233" s="398">
        <f t="shared" si="321"/>
        <v>2655.0752827900005</v>
      </c>
      <c r="AO233" s="398">
        <f t="shared" si="321"/>
        <v>2734.7275412737008</v>
      </c>
      <c r="AP233" s="398">
        <f t="shared" si="321"/>
        <v>2816.7693675119117</v>
      </c>
      <c r="AQ233" s="398">
        <f t="shared" si="321"/>
        <v>2901.2724485372692</v>
      </c>
      <c r="AR233" s="398">
        <f t="shared" si="321"/>
        <v>2988.3106219933875</v>
      </c>
      <c r="AS233" s="398">
        <f t="shared" si="321"/>
        <v>3077.9599406531893</v>
      </c>
      <c r="AT233" s="254"/>
      <c r="AU233" s="254"/>
    </row>
    <row r="234" spans="1:47" outlineLevel="1">
      <c r="A234" s="308"/>
      <c r="B234" s="322" t="s">
        <v>1099</v>
      </c>
      <c r="C234" s="310" t="s">
        <v>733</v>
      </c>
      <c r="D234" s="310"/>
      <c r="E234" s="310"/>
      <c r="F234" s="310"/>
      <c r="G234" s="310"/>
      <c r="H234" s="310"/>
      <c r="I234" s="310"/>
      <c r="J234" s="310"/>
      <c r="K234" s="311"/>
      <c r="L234" s="311">
        <f t="shared" ref="L234:AJ234" si="322">L233/K233-1</f>
        <v>-0.3404907975460123</v>
      </c>
      <c r="M234" s="311">
        <f t="shared" si="322"/>
        <v>5.1162790697674376E-2</v>
      </c>
      <c r="N234" s="311">
        <f t="shared" si="322"/>
        <v>0.70796460176991149</v>
      </c>
      <c r="O234" s="311">
        <f t="shared" si="322"/>
        <v>-8.8082901554404125E-2</v>
      </c>
      <c r="P234" s="311">
        <f t="shared" si="322"/>
        <v>8.2386363636363535E-2</v>
      </c>
      <c r="Q234" s="311">
        <f t="shared" si="322"/>
        <v>0.23097112860892399</v>
      </c>
      <c r="R234" s="311">
        <f t="shared" si="322"/>
        <v>0.5863539445628998</v>
      </c>
      <c r="S234" s="311">
        <f t="shared" si="322"/>
        <v>0.157258064516129</v>
      </c>
      <c r="T234" s="311">
        <f t="shared" si="322"/>
        <v>-9.7560975609756073E-2</v>
      </c>
      <c r="U234" s="311">
        <f t="shared" si="322"/>
        <v>0.10167310167310162</v>
      </c>
      <c r="V234" s="311">
        <f t="shared" si="322"/>
        <v>0.35514018691588789</v>
      </c>
      <c r="W234" s="311">
        <f t="shared" si="322"/>
        <v>0.15344827586206899</v>
      </c>
      <c r="X234" s="311">
        <f t="shared" si="322"/>
        <v>0.1188340807174888</v>
      </c>
      <c r="Y234" s="311">
        <f t="shared" si="322"/>
        <v>-2.6720106880427918E-3</v>
      </c>
      <c r="Z234" s="311">
        <f t="shared" si="322"/>
        <v>0.26322839919624919</v>
      </c>
      <c r="AA234" s="311">
        <f t="shared" si="322"/>
        <v>0.10074231177094384</v>
      </c>
      <c r="AB234" s="311">
        <v>3.2755298651252485E-2</v>
      </c>
      <c r="AC234" s="311">
        <v>0.3274253731343284</v>
      </c>
      <c r="AD234" s="311">
        <f t="shared" si="322"/>
        <v>0.10751932536893882</v>
      </c>
      <c r="AE234" s="311">
        <f t="shared" si="322"/>
        <v>-3.1091370558375631E-2</v>
      </c>
      <c r="AF234" s="311">
        <f t="shared" si="322"/>
        <v>-0.24492468893254749</v>
      </c>
      <c r="AG234" s="311">
        <f t="shared" si="322"/>
        <v>-8.9332176929748486E-2</v>
      </c>
      <c r="AH234" s="311">
        <f t="shared" si="322"/>
        <v>0.12142857142857144</v>
      </c>
      <c r="AI234" s="311">
        <f t="shared" si="322"/>
        <v>1.6985138004246281E-3</v>
      </c>
      <c r="AJ234" s="311">
        <f t="shared" si="322"/>
        <v>0</v>
      </c>
      <c r="AK234" s="621">
        <v>0.03</v>
      </c>
      <c r="AL234" s="621">
        <v>0.03</v>
      </c>
      <c r="AM234" s="621">
        <v>0.03</v>
      </c>
      <c r="AN234" s="621">
        <v>0.03</v>
      </c>
      <c r="AO234" s="621">
        <v>0.03</v>
      </c>
      <c r="AP234" s="621">
        <v>0.03</v>
      </c>
      <c r="AQ234" s="621">
        <v>0.03</v>
      </c>
      <c r="AR234" s="621">
        <v>0.03</v>
      </c>
      <c r="AS234" s="621">
        <v>0.03</v>
      </c>
      <c r="AT234" s="312"/>
      <c r="AU234" s="254"/>
    </row>
    <row r="235" spans="1:47" outlineLevel="1">
      <c r="A235" s="298"/>
      <c r="B235" s="6"/>
      <c r="C235" s="21"/>
      <c r="D235" s="21"/>
      <c r="E235" s="21"/>
      <c r="F235" s="21"/>
      <c r="G235" s="21"/>
      <c r="H235" s="21"/>
      <c r="I235" s="21"/>
      <c r="J235" s="21"/>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2"/>
      <c r="AU235" s="254"/>
    </row>
    <row r="236" spans="1:47" ht="14.4" outlineLevel="1">
      <c r="A236" s="298"/>
      <c r="B236" s="348" t="s">
        <v>1230</v>
      </c>
      <c r="C236" s="349"/>
      <c r="D236" s="349"/>
      <c r="E236" s="349"/>
      <c r="F236" s="349"/>
      <c r="G236" s="349"/>
      <c r="H236" s="349"/>
      <c r="I236" s="349"/>
      <c r="J236" s="349"/>
      <c r="K236" s="350"/>
      <c r="L236" s="350"/>
      <c r="M236" s="350"/>
      <c r="N236" s="350"/>
      <c r="O236" s="350"/>
      <c r="P236" s="350"/>
      <c r="Q236" s="350"/>
      <c r="R236" s="350"/>
      <c r="S236" s="350"/>
      <c r="T236" s="350"/>
      <c r="U236" s="350"/>
      <c r="V236" s="350"/>
      <c r="W236" s="351"/>
      <c r="X236" s="352"/>
      <c r="Y236" s="352"/>
      <c r="Z236" s="351"/>
      <c r="AA236" s="350"/>
      <c r="AB236" s="353"/>
      <c r="AC236" s="353"/>
      <c r="AD236" s="353"/>
      <c r="AE236" s="353"/>
      <c r="AF236" s="353"/>
      <c r="AG236" s="353"/>
      <c r="AH236" s="353"/>
      <c r="AI236" s="353"/>
      <c r="AJ236" s="353"/>
      <c r="AK236" s="353"/>
      <c r="AL236" s="353"/>
      <c r="AM236" s="353"/>
      <c r="AN236" s="353"/>
      <c r="AO236" s="353"/>
      <c r="AP236" s="353"/>
      <c r="AQ236" s="353"/>
      <c r="AR236" s="353"/>
      <c r="AS236" s="353"/>
      <c r="AT236" s="2"/>
      <c r="AU236" s="254"/>
    </row>
    <row r="237" spans="1:47" outlineLevel="1">
      <c r="A237" s="298"/>
      <c r="B237" s="6"/>
      <c r="C237" s="18"/>
      <c r="D237" s="18"/>
      <c r="E237" s="18"/>
      <c r="F237" s="18"/>
      <c r="G237" s="18"/>
      <c r="H237" s="18"/>
      <c r="I237" s="18"/>
      <c r="J237" s="18"/>
      <c r="K237" s="7"/>
      <c r="L237" s="7"/>
      <c r="M237" s="7"/>
      <c r="N237" s="7"/>
      <c r="O237" s="7"/>
      <c r="P237" s="7"/>
      <c r="Q237" s="7"/>
      <c r="R237" s="7"/>
      <c r="S237" s="7"/>
      <c r="T237" s="7"/>
      <c r="U237" s="7"/>
      <c r="V237" s="7"/>
      <c r="W237" s="118"/>
      <c r="X237" s="118"/>
      <c r="Y237" s="118"/>
      <c r="Z237" s="118"/>
      <c r="AA237" s="118"/>
      <c r="AB237" s="118"/>
      <c r="AC237" s="118"/>
      <c r="AD237" s="118"/>
      <c r="AE237" s="118"/>
      <c r="AF237" s="118"/>
      <c r="AG237" s="118"/>
      <c r="AH237" s="118"/>
      <c r="AI237" s="118"/>
      <c r="AJ237" s="118"/>
      <c r="AK237" s="118"/>
      <c r="AL237" s="118"/>
      <c r="AM237" s="118"/>
      <c r="AN237" s="118"/>
      <c r="AO237" s="118"/>
      <c r="AP237" s="118"/>
      <c r="AQ237" s="118"/>
      <c r="AR237" s="118"/>
      <c r="AS237" s="118"/>
      <c r="AT237" s="2"/>
      <c r="AU237" s="254"/>
    </row>
    <row r="238" spans="1:47" outlineLevel="1">
      <c r="A238" s="354"/>
      <c r="B238" s="259" t="s">
        <v>968</v>
      </c>
      <c r="C238" s="395" t="s">
        <v>732</v>
      </c>
      <c r="D238" s="395"/>
      <c r="E238" s="395"/>
      <c r="F238" s="395"/>
      <c r="G238" s="395"/>
      <c r="H238" s="395"/>
      <c r="I238" s="395"/>
      <c r="J238" s="395"/>
      <c r="K238" s="249"/>
      <c r="L238" s="249"/>
      <c r="M238" s="249"/>
      <c r="N238" s="249"/>
      <c r="O238" s="249"/>
      <c r="P238" s="529">
        <v>547</v>
      </c>
      <c r="Q238" s="529">
        <v>614</v>
      </c>
      <c r="R238" s="529">
        <v>499</v>
      </c>
      <c r="S238" s="529">
        <v>442</v>
      </c>
      <c r="T238" s="529">
        <v>491</v>
      </c>
      <c r="U238" s="529">
        <v>533</v>
      </c>
      <c r="V238" s="529">
        <v>650</v>
      </c>
      <c r="W238" s="529">
        <v>769</v>
      </c>
      <c r="X238" s="529">
        <v>768</v>
      </c>
      <c r="Y238" s="529">
        <v>784</v>
      </c>
      <c r="Z238" s="529">
        <v>847</v>
      </c>
      <c r="AA238" s="529">
        <v>539</v>
      </c>
      <c r="AB238" s="529">
        <v>201</v>
      </c>
      <c r="AC238" s="529">
        <v>212</v>
      </c>
      <c r="AD238" s="529">
        <v>224</v>
      </c>
      <c r="AE238" s="529">
        <v>257</v>
      </c>
      <c r="AF238" s="529">
        <v>264</v>
      </c>
      <c r="AG238" s="529">
        <v>250</v>
      </c>
      <c r="AH238" s="529">
        <v>223</v>
      </c>
      <c r="AI238" s="529">
        <v>215</v>
      </c>
      <c r="AJ238" s="529">
        <v>235</v>
      </c>
      <c r="AK238" s="249">
        <f t="shared" ref="AK238:AP238" si="323">AJ238*(1+AK239)</f>
        <v>256.86046511627904</v>
      </c>
      <c r="AL238" s="249">
        <f t="shared" si="323"/>
        <v>280.75446187128171</v>
      </c>
      <c r="AM238" s="249">
        <f t="shared" si="323"/>
        <v>306.87115599884277</v>
      </c>
      <c r="AN238" s="249">
        <f t="shared" si="323"/>
        <v>335.41731004524672</v>
      </c>
      <c r="AO238" s="249">
        <f t="shared" si="323"/>
        <v>366.61892028201385</v>
      </c>
      <c r="AP238" s="249">
        <f t="shared" si="323"/>
        <v>400.72300588964305</v>
      </c>
      <c r="AQ238" s="249">
        <f t="shared" ref="AQ238" si="324">AP238*(1+AQ239)</f>
        <v>437.99956457705167</v>
      </c>
      <c r="AR238" s="249">
        <f t="shared" ref="AR238:AS238" si="325">AQ238*(1+AR239)</f>
        <v>478.74371011910296</v>
      </c>
      <c r="AS238" s="249">
        <f t="shared" si="325"/>
        <v>523.27800873483341</v>
      </c>
      <c r="AT238" s="254"/>
      <c r="AU238" s="254"/>
    </row>
    <row r="239" spans="1:47" outlineLevel="1">
      <c r="A239" s="308"/>
      <c r="B239" s="322" t="s">
        <v>1099</v>
      </c>
      <c r="C239" s="310" t="s">
        <v>733</v>
      </c>
      <c r="D239" s="310"/>
      <c r="E239" s="310"/>
      <c r="F239" s="310"/>
      <c r="G239" s="310"/>
      <c r="H239" s="310"/>
      <c r="I239" s="310"/>
      <c r="J239" s="310"/>
      <c r="K239" s="324"/>
      <c r="L239" s="324"/>
      <c r="M239" s="324"/>
      <c r="N239" s="324"/>
      <c r="O239" s="324"/>
      <c r="P239" s="311"/>
      <c r="Q239" s="311">
        <f t="shared" ref="Q239:AJ239" si="326">Q238/P238-1</f>
        <v>0.12248628884826318</v>
      </c>
      <c r="R239" s="311">
        <f t="shared" si="326"/>
        <v>-0.18729641693811072</v>
      </c>
      <c r="S239" s="311">
        <f t="shared" si="326"/>
        <v>-0.11422845691382766</v>
      </c>
      <c r="T239" s="311">
        <f t="shared" si="326"/>
        <v>0.11085972850678738</v>
      </c>
      <c r="U239" s="311">
        <f t="shared" si="326"/>
        <v>8.5539714867617134E-2</v>
      </c>
      <c r="V239" s="311">
        <f t="shared" si="326"/>
        <v>0.21951219512195119</v>
      </c>
      <c r="W239" s="311">
        <f t="shared" si="326"/>
        <v>0.18307692307692314</v>
      </c>
      <c r="X239" s="311">
        <f t="shared" si="326"/>
        <v>-1.3003901170350884E-3</v>
      </c>
      <c r="Y239" s="311">
        <f t="shared" si="326"/>
        <v>2.0833333333333259E-2</v>
      </c>
      <c r="Z239" s="311">
        <f t="shared" si="326"/>
        <v>8.0357142857142794E-2</v>
      </c>
      <c r="AA239" s="311">
        <f t="shared" si="326"/>
        <v>-0.36363636363636365</v>
      </c>
      <c r="AB239" s="311">
        <v>-0.62708719851576999</v>
      </c>
      <c r="AC239" s="311">
        <v>5.4726368159204064E-2</v>
      </c>
      <c r="AD239" s="311">
        <f t="shared" si="326"/>
        <v>5.6603773584905648E-2</v>
      </c>
      <c r="AE239" s="311">
        <f t="shared" si="326"/>
        <v>0.1473214285714286</v>
      </c>
      <c r="AF239" s="311">
        <f t="shared" si="326"/>
        <v>2.7237354085603016E-2</v>
      </c>
      <c r="AG239" s="311">
        <f t="shared" si="326"/>
        <v>-5.3030303030302983E-2</v>
      </c>
      <c r="AH239" s="311">
        <f t="shared" si="326"/>
        <v>-0.10799999999999998</v>
      </c>
      <c r="AI239" s="311">
        <f t="shared" si="326"/>
        <v>-3.5874439461883401E-2</v>
      </c>
      <c r="AJ239" s="311">
        <f t="shared" si="326"/>
        <v>9.3023255813953432E-2</v>
      </c>
      <c r="AK239" s="621">
        <f t="shared" ref="AK239:AP239" si="327">AJ239</f>
        <v>9.3023255813953432E-2</v>
      </c>
      <c r="AL239" s="621">
        <f t="shared" si="327"/>
        <v>9.3023255813953432E-2</v>
      </c>
      <c r="AM239" s="621">
        <f t="shared" si="327"/>
        <v>9.3023255813953432E-2</v>
      </c>
      <c r="AN239" s="621">
        <f t="shared" si="327"/>
        <v>9.3023255813953432E-2</v>
      </c>
      <c r="AO239" s="621">
        <f t="shared" si="327"/>
        <v>9.3023255813953432E-2</v>
      </c>
      <c r="AP239" s="621">
        <f t="shared" si="327"/>
        <v>9.3023255813953432E-2</v>
      </c>
      <c r="AQ239" s="621">
        <f t="shared" ref="AQ239" si="328">AP239</f>
        <v>9.3023255813953432E-2</v>
      </c>
      <c r="AR239" s="621">
        <f t="shared" ref="AR239:AS239" si="329">AQ239</f>
        <v>9.3023255813953432E-2</v>
      </c>
      <c r="AS239" s="621">
        <f t="shared" si="329"/>
        <v>9.3023255813953432E-2</v>
      </c>
      <c r="AT239" s="312"/>
      <c r="AU239" s="254"/>
    </row>
    <row r="240" spans="1:47" outlineLevel="1">
      <c r="A240" s="298"/>
      <c r="B240" s="6"/>
      <c r="C240" s="18"/>
      <c r="D240" s="18"/>
      <c r="E240" s="18"/>
      <c r="F240" s="18"/>
      <c r="G240" s="18"/>
      <c r="H240" s="18"/>
      <c r="I240" s="18"/>
      <c r="J240" s="18"/>
      <c r="K240" s="7"/>
      <c r="L240" s="7"/>
      <c r="M240" s="7"/>
      <c r="N240" s="7"/>
      <c r="O240" s="7"/>
      <c r="P240" s="7"/>
      <c r="Q240" s="7"/>
      <c r="R240" s="7"/>
      <c r="S240" s="7"/>
      <c r="T240" s="7"/>
      <c r="U240" s="7"/>
      <c r="V240" s="7"/>
      <c r="W240" s="118"/>
      <c r="X240" s="118"/>
      <c r="Y240" s="118"/>
      <c r="Z240" s="118"/>
      <c r="AA240" s="118"/>
      <c r="AB240" s="118"/>
      <c r="AC240" s="118"/>
      <c r="AD240" s="118"/>
      <c r="AE240" s="118"/>
      <c r="AF240" s="118"/>
      <c r="AG240" s="118"/>
      <c r="AH240" s="118"/>
      <c r="AI240" s="118"/>
      <c r="AJ240" s="118"/>
      <c r="AK240" s="118"/>
      <c r="AL240" s="118"/>
      <c r="AM240" s="118"/>
      <c r="AN240" s="118"/>
      <c r="AO240" s="118"/>
      <c r="AP240" s="118"/>
      <c r="AQ240" s="118"/>
      <c r="AR240" s="118"/>
      <c r="AS240" s="118"/>
      <c r="AT240" s="2"/>
      <c r="AU240" s="254"/>
    </row>
    <row r="241" spans="1:47" ht="14.4" outlineLevel="1">
      <c r="A241" s="298"/>
      <c r="B241" s="348" t="s">
        <v>1232</v>
      </c>
      <c r="C241" s="349"/>
      <c r="D241" s="349"/>
      <c r="E241" s="349"/>
      <c r="F241" s="349"/>
      <c r="G241" s="349"/>
      <c r="H241" s="349"/>
      <c r="I241" s="349"/>
      <c r="J241" s="349"/>
      <c r="K241" s="350"/>
      <c r="L241" s="350"/>
      <c r="M241" s="350"/>
      <c r="N241" s="350"/>
      <c r="O241" s="350"/>
      <c r="P241" s="350"/>
      <c r="Q241" s="350"/>
      <c r="R241" s="350"/>
      <c r="S241" s="350"/>
      <c r="T241" s="350"/>
      <c r="U241" s="350"/>
      <c r="V241" s="350"/>
      <c r="W241" s="351"/>
      <c r="X241" s="352"/>
      <c r="Y241" s="352"/>
      <c r="Z241" s="351"/>
      <c r="AA241" s="350"/>
      <c r="AB241" s="353"/>
      <c r="AC241" s="353"/>
      <c r="AD241" s="353"/>
      <c r="AE241" s="353"/>
      <c r="AF241" s="353"/>
      <c r="AG241" s="353"/>
      <c r="AH241" s="353"/>
      <c r="AI241" s="353"/>
      <c r="AJ241" s="353"/>
      <c r="AK241" s="353"/>
      <c r="AL241" s="353"/>
      <c r="AM241" s="353"/>
      <c r="AN241" s="353"/>
      <c r="AO241" s="353"/>
      <c r="AP241" s="353"/>
      <c r="AQ241" s="353"/>
      <c r="AR241" s="353"/>
      <c r="AS241" s="353"/>
      <c r="AT241" s="2"/>
      <c r="AU241" s="254"/>
    </row>
    <row r="242" spans="1:47" outlineLevel="1">
      <c r="A242" s="298"/>
      <c r="B242" s="6"/>
      <c r="C242" s="18"/>
      <c r="D242" s="18"/>
      <c r="E242" s="18"/>
      <c r="F242" s="18"/>
      <c r="G242" s="18"/>
      <c r="H242" s="18"/>
      <c r="I242" s="18"/>
      <c r="J242" s="18"/>
      <c r="K242" s="7"/>
      <c r="L242" s="7"/>
      <c r="M242" s="7"/>
      <c r="N242" s="7"/>
      <c r="O242" s="7"/>
      <c r="P242" s="7"/>
      <c r="Q242" s="7"/>
      <c r="R242" s="7"/>
      <c r="S242" s="7"/>
      <c r="T242" s="7"/>
      <c r="U242" s="7"/>
      <c r="V242" s="7"/>
      <c r="W242" s="118"/>
      <c r="X242" s="118"/>
      <c r="Y242" s="118"/>
      <c r="Z242" s="118"/>
      <c r="AA242" s="118"/>
      <c r="AB242" s="118"/>
      <c r="AC242" s="118"/>
      <c r="AD242" s="118"/>
      <c r="AE242" s="118"/>
      <c r="AF242" s="118"/>
      <c r="AG242" s="118"/>
      <c r="AH242" s="118"/>
      <c r="AI242" s="118"/>
      <c r="AJ242" s="118"/>
      <c r="AK242" s="118"/>
      <c r="AL242" s="118"/>
      <c r="AM242" s="118"/>
      <c r="AN242" s="118"/>
      <c r="AO242" s="118"/>
      <c r="AP242" s="118"/>
      <c r="AQ242" s="118"/>
      <c r="AR242" s="118"/>
      <c r="AS242" s="118"/>
      <c r="AT242" s="2"/>
      <c r="AU242" s="254"/>
    </row>
    <row r="243" spans="1:47" outlineLevel="1">
      <c r="A243" s="354"/>
      <c r="B243" s="404" t="s">
        <v>1232</v>
      </c>
      <c r="C243" s="395" t="s">
        <v>732</v>
      </c>
      <c r="D243" s="395"/>
      <c r="E243" s="395"/>
      <c r="F243" s="395"/>
      <c r="G243" s="395"/>
      <c r="H243" s="395"/>
      <c r="I243" s="395"/>
      <c r="J243" s="395"/>
      <c r="K243" s="249"/>
      <c r="L243" s="249"/>
      <c r="M243" s="249"/>
      <c r="N243" s="249"/>
      <c r="O243" s="249"/>
      <c r="P243" s="529"/>
      <c r="Q243" s="529"/>
      <c r="R243" s="529"/>
      <c r="S243" s="529"/>
      <c r="T243" s="529"/>
      <c r="U243" s="529"/>
      <c r="V243" s="529"/>
      <c r="W243" s="529"/>
      <c r="X243" s="529"/>
      <c r="Y243" s="529"/>
      <c r="Z243" s="529"/>
      <c r="AA243" s="529"/>
      <c r="AB243" s="529"/>
      <c r="AC243" s="526">
        <v>175</v>
      </c>
      <c r="AD243" s="526">
        <v>149</v>
      </c>
      <c r="AE243" s="526">
        <v>37</v>
      </c>
      <c r="AF243" s="526">
        <v>-41</v>
      </c>
      <c r="AG243" s="526">
        <v>-98</v>
      </c>
      <c r="AH243" s="526">
        <v>-105</v>
      </c>
      <c r="AI243" s="526">
        <v>-76</v>
      </c>
      <c r="AJ243" s="526">
        <v>-87</v>
      </c>
      <c r="AK243" s="398">
        <f t="shared" ref="AK243:AP243" si="330">+(1+AK244)*AJ243</f>
        <v>-99.59210526315789</v>
      </c>
      <c r="AL243" s="398">
        <f t="shared" si="330"/>
        <v>-114.00675207756231</v>
      </c>
      <c r="AM243" s="398">
        <f t="shared" si="330"/>
        <v>-130.50772935194632</v>
      </c>
      <c r="AN243" s="398">
        <f t="shared" si="330"/>
        <v>-149.39700596867539</v>
      </c>
      <c r="AO243" s="398">
        <f t="shared" si="330"/>
        <v>-171.02025683256261</v>
      </c>
      <c r="AP243" s="398">
        <f t="shared" si="330"/>
        <v>-195.77318874253876</v>
      </c>
      <c r="AQ243" s="398">
        <f t="shared" ref="AQ243" si="331">+(1+AQ244)*AP243</f>
        <v>-224.10878185001147</v>
      </c>
      <c r="AR243" s="398">
        <f t="shared" ref="AR243:AS243" si="332">+(1+AR244)*AQ243</f>
        <v>-256.5455792230394</v>
      </c>
      <c r="AS243" s="398">
        <f t="shared" si="332"/>
        <v>-293.67717621584768</v>
      </c>
      <c r="AT243" s="254"/>
      <c r="AU243" s="254"/>
    </row>
    <row r="244" spans="1:47" outlineLevel="1">
      <c r="A244" s="308"/>
      <c r="B244" s="347" t="s">
        <v>1099</v>
      </c>
      <c r="C244" s="397" t="s">
        <v>733</v>
      </c>
      <c r="D244" s="323"/>
      <c r="E244" s="323"/>
      <c r="F244" s="323"/>
      <c r="G244" s="323"/>
      <c r="H244" s="323"/>
      <c r="I244" s="323"/>
      <c r="J244" s="323"/>
      <c r="K244" s="324"/>
      <c r="L244" s="324"/>
      <c r="M244" s="324"/>
      <c r="N244" s="324"/>
      <c r="O244" s="324"/>
      <c r="P244" s="324"/>
      <c r="Q244" s="311"/>
      <c r="R244" s="311"/>
      <c r="S244" s="311"/>
      <c r="T244" s="311"/>
      <c r="U244" s="311"/>
      <c r="V244" s="311"/>
      <c r="W244" s="311"/>
      <c r="X244" s="311"/>
      <c r="Y244" s="311"/>
      <c r="Z244" s="311"/>
      <c r="AA244" s="311"/>
      <c r="AB244" s="311"/>
      <c r="AC244" s="311"/>
      <c r="AD244" s="311">
        <f t="shared" ref="AD244:AJ244" si="333">AD243/AC243-1</f>
        <v>-0.14857142857142858</v>
      </c>
      <c r="AE244" s="311">
        <f t="shared" si="333"/>
        <v>-0.75167785234899331</v>
      </c>
      <c r="AF244" s="311">
        <f t="shared" si="333"/>
        <v>-2.1081081081081079</v>
      </c>
      <c r="AG244" s="311">
        <f t="shared" si="333"/>
        <v>1.3902439024390243</v>
      </c>
      <c r="AH244" s="311">
        <f t="shared" si="333"/>
        <v>7.1428571428571397E-2</v>
      </c>
      <c r="AI244" s="311">
        <f t="shared" si="333"/>
        <v>-0.27619047619047621</v>
      </c>
      <c r="AJ244" s="311">
        <f t="shared" si="333"/>
        <v>0.14473684210526305</v>
      </c>
      <c r="AK244" s="621">
        <f t="shared" ref="AK244:AP244" si="334">AJ244</f>
        <v>0.14473684210526305</v>
      </c>
      <c r="AL244" s="621">
        <f t="shared" si="334"/>
        <v>0.14473684210526305</v>
      </c>
      <c r="AM244" s="621">
        <f t="shared" si="334"/>
        <v>0.14473684210526305</v>
      </c>
      <c r="AN244" s="621">
        <f t="shared" si="334"/>
        <v>0.14473684210526305</v>
      </c>
      <c r="AO244" s="621">
        <f t="shared" si="334"/>
        <v>0.14473684210526305</v>
      </c>
      <c r="AP244" s="621">
        <f t="shared" si="334"/>
        <v>0.14473684210526305</v>
      </c>
      <c r="AQ244" s="621">
        <f t="shared" ref="AQ244" si="335">AP244</f>
        <v>0.14473684210526305</v>
      </c>
      <c r="AR244" s="621">
        <f t="shared" ref="AR244:AS244" si="336">AQ244</f>
        <v>0.14473684210526305</v>
      </c>
      <c r="AS244" s="621">
        <f t="shared" si="336"/>
        <v>0.14473684210526305</v>
      </c>
      <c r="AT244" s="312"/>
      <c r="AU244" s="254"/>
    </row>
    <row r="245" spans="1:47">
      <c r="A245" s="298"/>
      <c r="B245" s="6"/>
      <c r="C245" s="21"/>
      <c r="D245" s="21"/>
      <c r="E245" s="21"/>
      <c r="F245" s="21"/>
      <c r="G245" s="21"/>
      <c r="H245" s="21"/>
      <c r="I245" s="21"/>
      <c r="J245" s="21"/>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2"/>
      <c r="AU245" s="2"/>
    </row>
    <row r="246" spans="1:47">
      <c r="A246" s="299" t="s">
        <v>1163</v>
      </c>
      <c r="B246" s="1073" t="s">
        <v>1250</v>
      </c>
      <c r="C246" s="1074"/>
      <c r="D246" s="1073"/>
      <c r="E246" s="1073"/>
      <c r="F246" s="1073"/>
      <c r="G246" s="1073"/>
      <c r="H246" s="1073"/>
      <c r="I246" s="1073"/>
      <c r="J246" s="1073"/>
      <c r="K246" s="1073"/>
      <c r="L246" s="1073"/>
      <c r="M246" s="1073"/>
      <c r="N246" s="1073"/>
      <c r="O246" s="1073"/>
      <c r="P246" s="1073"/>
      <c r="Q246" s="1073"/>
      <c r="R246" s="1073"/>
      <c r="S246" s="1073"/>
      <c r="T246" s="1073"/>
      <c r="U246" s="1073"/>
      <c r="V246" s="1073"/>
      <c r="W246" s="1073"/>
      <c r="X246" s="1073"/>
      <c r="Y246" s="1073"/>
      <c r="Z246" s="1073"/>
      <c r="AA246" s="1073"/>
      <c r="AB246" s="1073"/>
      <c r="AC246" s="1073"/>
      <c r="AD246" s="1073"/>
      <c r="AE246" s="1073"/>
      <c r="AF246" s="1073"/>
      <c r="AG246" s="1073"/>
      <c r="AH246" s="1073"/>
      <c r="AI246" s="1073"/>
      <c r="AJ246" s="1073"/>
      <c r="AK246" s="1073"/>
      <c r="AL246" s="1073"/>
      <c r="AM246" s="1073"/>
      <c r="AN246" s="1073"/>
      <c r="AO246" s="1073"/>
      <c r="AP246" s="1073"/>
      <c r="AQ246" s="1073"/>
      <c r="AR246" s="1073"/>
      <c r="AS246" s="1073"/>
      <c r="AT246" s="2"/>
      <c r="AU246" s="2"/>
    </row>
    <row r="247" spans="1:47" outlineLevel="1">
      <c r="A247" s="298"/>
      <c r="B247" s="2"/>
      <c r="C247" s="18"/>
      <c r="D247" s="18"/>
      <c r="E247" s="18"/>
      <c r="F247" s="18"/>
      <c r="G247" s="18"/>
      <c r="H247" s="18"/>
      <c r="I247" s="18"/>
      <c r="J247" s="18"/>
      <c r="K247" s="2"/>
      <c r="L247" s="2"/>
      <c r="M247" s="2"/>
      <c r="N247" s="2"/>
      <c r="O247" s="2"/>
      <c r="P247" s="2"/>
      <c r="Q247" s="2"/>
      <c r="R247" s="2"/>
      <c r="S247" s="2"/>
      <c r="T247" s="2"/>
      <c r="U247" s="3"/>
      <c r="V247" s="3"/>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row>
    <row r="248" spans="1:47" ht="15.6" outlineLevel="1">
      <c r="A248" s="298"/>
      <c r="B248" s="237" t="s">
        <v>1281</v>
      </c>
      <c r="C248" s="238"/>
      <c r="D248" s="239"/>
      <c r="E248" s="239"/>
      <c r="F248" s="239"/>
      <c r="G248" s="239"/>
      <c r="H248" s="239"/>
      <c r="I248" s="239"/>
      <c r="J248" s="239"/>
      <c r="K248" s="239"/>
      <c r="L248" s="239"/>
      <c r="M248" s="239"/>
      <c r="N248" s="239"/>
      <c r="O248" s="239"/>
      <c r="P248" s="239"/>
      <c r="Q248" s="239"/>
      <c r="R248" s="239"/>
      <c r="S248" s="239"/>
      <c r="T248" s="239"/>
      <c r="U248" s="239"/>
      <c r="V248" s="239"/>
      <c r="W248" s="239"/>
      <c r="X248" s="239"/>
      <c r="Y248" s="239"/>
      <c r="Z248" s="239"/>
      <c r="AA248" s="239"/>
      <c r="AB248" s="239"/>
      <c r="AC248" s="239"/>
      <c r="AD248" s="239"/>
      <c r="AE248" s="239"/>
      <c r="AF248" s="239"/>
      <c r="AG248" s="239"/>
      <c r="AH248" s="239"/>
      <c r="AI248" s="239"/>
      <c r="AJ248" s="239"/>
      <c r="AK248" s="239"/>
      <c r="AL248" s="239"/>
      <c r="AM248" s="239"/>
      <c r="AN248" s="239"/>
      <c r="AO248" s="270"/>
      <c r="AP248" s="240"/>
      <c r="AQ248" s="240"/>
      <c r="AR248" s="240"/>
      <c r="AS248" s="240"/>
      <c r="AT248" s="2"/>
      <c r="AU248" s="2"/>
    </row>
    <row r="249" spans="1:47" outlineLevel="1">
      <c r="A249" s="298"/>
      <c r="B249" s="55"/>
      <c r="C249" s="18"/>
      <c r="D249" s="18"/>
      <c r="E249" s="18"/>
      <c r="F249" s="18"/>
      <c r="G249" s="18"/>
      <c r="H249" s="18"/>
      <c r="I249" s="18"/>
      <c r="J249" s="18"/>
      <c r="K249" s="7"/>
      <c r="L249" s="7"/>
      <c r="M249" s="7"/>
      <c r="N249" s="7"/>
      <c r="O249" s="7"/>
      <c r="P249" s="7"/>
      <c r="Q249" s="7"/>
      <c r="R249" s="7"/>
      <c r="S249" s="7"/>
      <c r="T249" s="7"/>
      <c r="U249" s="7"/>
      <c r="V249" s="7"/>
      <c r="W249" s="7"/>
      <c r="X249" s="7"/>
      <c r="Y249" s="7"/>
      <c r="Z249" s="7"/>
      <c r="AA249" s="7"/>
      <c r="AB249" s="7"/>
      <c r="AC249" s="7"/>
      <c r="AD249" s="7"/>
      <c r="AE249" s="31"/>
      <c r="AF249" s="31"/>
      <c r="AG249" s="31"/>
      <c r="AH249" s="31"/>
      <c r="AI249" s="31"/>
      <c r="AJ249" s="31"/>
      <c r="AK249" s="31"/>
      <c r="AL249" s="31"/>
      <c r="AM249" s="31"/>
      <c r="AN249" s="31"/>
      <c r="AO249" s="31"/>
      <c r="AP249" s="31"/>
      <c r="AQ249" s="31"/>
      <c r="AR249" s="31"/>
      <c r="AS249" s="31"/>
      <c r="AT249" s="2"/>
      <c r="AU249" s="2"/>
    </row>
    <row r="250" spans="1:47" ht="14.4" outlineLevel="1">
      <c r="A250" s="298"/>
      <c r="B250" s="348" t="s">
        <v>1166</v>
      </c>
      <c r="C250" s="349"/>
      <c r="D250" s="349"/>
      <c r="E250" s="349"/>
      <c r="F250" s="349"/>
      <c r="G250" s="349"/>
      <c r="H250" s="349"/>
      <c r="I250" s="349"/>
      <c r="J250" s="349"/>
      <c r="K250" s="350"/>
      <c r="L250" s="350"/>
      <c r="M250" s="350"/>
      <c r="N250" s="350"/>
      <c r="O250" s="350"/>
      <c r="P250" s="350"/>
      <c r="Q250" s="350"/>
      <c r="R250" s="350"/>
      <c r="S250" s="350"/>
      <c r="T250" s="350"/>
      <c r="U250" s="350"/>
      <c r="V250" s="350"/>
      <c r="W250" s="351"/>
      <c r="X250" s="352"/>
      <c r="Y250" s="352"/>
      <c r="Z250" s="351"/>
      <c r="AA250" s="350"/>
      <c r="AB250" s="353"/>
      <c r="AC250" s="353"/>
      <c r="AD250" s="353"/>
      <c r="AE250" s="353"/>
      <c r="AF250" s="353"/>
      <c r="AG250" s="353"/>
      <c r="AH250" s="353"/>
      <c r="AI250" s="353"/>
      <c r="AJ250" s="353"/>
      <c r="AK250" s="353"/>
      <c r="AL250" s="353"/>
      <c r="AM250" s="353"/>
      <c r="AN250" s="353"/>
      <c r="AO250" s="353"/>
      <c r="AP250" s="353"/>
      <c r="AQ250" s="353"/>
      <c r="AR250" s="353"/>
      <c r="AS250" s="353"/>
      <c r="AT250" s="2"/>
      <c r="AU250" s="254"/>
    </row>
    <row r="251" spans="1:47" outlineLevel="1">
      <c r="A251" s="298"/>
      <c r="B251" s="55"/>
      <c r="C251" s="18"/>
      <c r="D251" s="18"/>
      <c r="E251" s="18"/>
      <c r="F251" s="18"/>
      <c r="G251" s="18"/>
      <c r="H251" s="18"/>
      <c r="I251" s="18"/>
      <c r="J251" s="18"/>
      <c r="K251" s="7"/>
      <c r="L251" s="7"/>
      <c r="M251" s="7"/>
      <c r="N251" s="7"/>
      <c r="O251" s="7"/>
      <c r="P251" s="7"/>
      <c r="Q251" s="7"/>
      <c r="R251" s="7"/>
      <c r="S251" s="7"/>
      <c r="T251" s="7"/>
      <c r="U251" s="7"/>
      <c r="V251" s="7"/>
      <c r="W251" s="7"/>
      <c r="X251" s="7"/>
      <c r="Y251" s="7"/>
      <c r="Z251" s="7"/>
      <c r="AA251" s="7"/>
      <c r="AB251" s="7"/>
      <c r="AC251" s="7"/>
      <c r="AD251" s="7"/>
      <c r="AE251" s="31"/>
      <c r="AF251" s="31"/>
      <c r="AG251" s="31"/>
      <c r="AH251" s="31"/>
      <c r="AI251" s="31"/>
      <c r="AJ251" s="31"/>
      <c r="AK251" s="31"/>
      <c r="AL251" s="31"/>
      <c r="AM251" s="31"/>
      <c r="AN251" s="31"/>
      <c r="AO251" s="31"/>
      <c r="AP251" s="31"/>
      <c r="AQ251" s="31"/>
      <c r="AR251" s="31"/>
      <c r="AS251" s="31"/>
      <c r="AT251" s="2"/>
      <c r="AU251" s="2"/>
    </row>
    <row r="252" spans="1:47" outlineLevel="1">
      <c r="A252" s="298"/>
      <c r="B252" s="8" t="s">
        <v>1251</v>
      </c>
      <c r="C252" s="14" t="s">
        <v>732</v>
      </c>
      <c r="D252" s="18"/>
      <c r="E252" s="18"/>
      <c r="F252" s="18"/>
      <c r="G252" s="18"/>
      <c r="H252" s="18"/>
      <c r="I252" s="18"/>
      <c r="J252" s="18"/>
      <c r="K252" s="2"/>
      <c r="L252" s="2"/>
      <c r="M252" s="2"/>
      <c r="N252" s="2"/>
      <c r="O252" s="2"/>
      <c r="P252" s="2"/>
      <c r="Q252" s="2"/>
      <c r="R252" s="2"/>
      <c r="S252" s="2"/>
      <c r="T252" s="2"/>
      <c r="U252" s="3"/>
      <c r="V252" s="3"/>
      <c r="W252" s="2"/>
      <c r="X252" s="2"/>
      <c r="Y252" s="2"/>
      <c r="Z252" s="2"/>
      <c r="AA252" s="2"/>
      <c r="AB252" s="2"/>
      <c r="AC252" s="530">
        <v>3173</v>
      </c>
      <c r="AD252" s="530">
        <v>2326</v>
      </c>
      <c r="AE252" s="530">
        <v>1453</v>
      </c>
      <c r="AF252" s="530">
        <v>784</v>
      </c>
      <c r="AG252" s="530">
        <v>469</v>
      </c>
      <c r="AH252" s="530">
        <v>331</v>
      </c>
      <c r="AI252" s="530">
        <v>331</v>
      </c>
      <c r="AJ252" s="530">
        <v>298</v>
      </c>
      <c r="AK252" s="2"/>
      <c r="AL252" s="2"/>
      <c r="AM252" s="2"/>
      <c r="AN252" s="2"/>
      <c r="AO252" s="2"/>
      <c r="AP252" s="2"/>
      <c r="AQ252" s="2"/>
      <c r="AR252" s="2"/>
      <c r="AS252" s="2"/>
      <c r="AT252" s="2"/>
      <c r="AU252" s="8" t="s">
        <v>1268</v>
      </c>
    </row>
    <row r="253" spans="1:47" outlineLevel="1">
      <c r="A253" s="298"/>
      <c r="B253" s="8" t="s">
        <v>1252</v>
      </c>
      <c r="C253" s="14" t="s">
        <v>732</v>
      </c>
      <c r="D253" s="18"/>
      <c r="E253" s="18"/>
      <c r="F253" s="18"/>
      <c r="G253" s="18"/>
      <c r="H253" s="18"/>
      <c r="I253" s="18"/>
      <c r="J253" s="18"/>
      <c r="K253" s="2"/>
      <c r="L253" s="2"/>
      <c r="M253" s="2"/>
      <c r="N253" s="2"/>
      <c r="O253" s="2"/>
      <c r="P253" s="2"/>
      <c r="Q253" s="2"/>
      <c r="R253" s="2"/>
      <c r="S253" s="2"/>
      <c r="T253" s="2"/>
      <c r="U253" s="3"/>
      <c r="V253" s="3"/>
      <c r="W253" s="2"/>
      <c r="X253" s="2"/>
      <c r="Y253" s="2"/>
      <c r="Z253" s="2"/>
      <c r="AA253" s="2"/>
      <c r="AB253" s="2"/>
      <c r="AC253" s="530">
        <v>1448</v>
      </c>
      <c r="AD253" s="530">
        <v>2064</v>
      </c>
      <c r="AE253" s="530">
        <v>2595</v>
      </c>
      <c r="AF253" s="530">
        <v>3001</v>
      </c>
      <c r="AG253" s="530">
        <v>3150</v>
      </c>
      <c r="AH253" s="530">
        <v>3295</v>
      </c>
      <c r="AI253" s="530">
        <v>3123</v>
      </c>
      <c r="AJ253" s="530">
        <v>3147</v>
      </c>
      <c r="AK253" s="2"/>
      <c r="AL253" s="2"/>
      <c r="AM253" s="2"/>
      <c r="AN253" s="2"/>
      <c r="AO253" s="2"/>
      <c r="AP253" s="2"/>
      <c r="AQ253" s="2"/>
      <c r="AR253" s="2"/>
      <c r="AS253" s="2"/>
      <c r="AT253" s="2"/>
      <c r="AU253" s="8" t="s">
        <v>1268</v>
      </c>
    </row>
    <row r="254" spans="1:47" outlineLevel="1">
      <c r="A254" s="338"/>
      <c r="B254" s="9" t="s">
        <v>1280</v>
      </c>
      <c r="C254" s="48" t="s">
        <v>732</v>
      </c>
      <c r="D254" s="48"/>
      <c r="E254" s="48"/>
      <c r="F254" s="48"/>
      <c r="G254" s="48"/>
      <c r="H254" s="48"/>
      <c r="I254" s="48"/>
      <c r="J254" s="48"/>
      <c r="K254" s="9"/>
      <c r="L254" s="9"/>
      <c r="M254" s="9"/>
      <c r="N254" s="9"/>
      <c r="O254" s="9"/>
      <c r="P254" s="9"/>
      <c r="Q254" s="9"/>
      <c r="R254" s="9"/>
      <c r="S254" s="9"/>
      <c r="T254" s="9"/>
      <c r="U254" s="418"/>
      <c r="V254" s="418"/>
      <c r="W254" s="9"/>
      <c r="X254" s="9"/>
      <c r="Y254" s="9"/>
      <c r="Z254" s="9"/>
      <c r="AA254" s="9"/>
      <c r="AB254" s="9"/>
      <c r="AC254" s="305">
        <v>4621</v>
      </c>
      <c r="AD254" s="305">
        <f t="shared" ref="AD254:AJ254" si="337">+AD252+AD253</f>
        <v>4390</v>
      </c>
      <c r="AE254" s="305">
        <f t="shared" si="337"/>
        <v>4048</v>
      </c>
      <c r="AF254" s="305">
        <f t="shared" si="337"/>
        <v>3785</v>
      </c>
      <c r="AG254" s="305">
        <f t="shared" si="337"/>
        <v>3619</v>
      </c>
      <c r="AH254" s="305">
        <f t="shared" si="337"/>
        <v>3626</v>
      </c>
      <c r="AI254" s="305">
        <f t="shared" si="337"/>
        <v>3454</v>
      </c>
      <c r="AJ254" s="305">
        <f t="shared" si="337"/>
        <v>3445</v>
      </c>
      <c r="AK254" s="427"/>
      <c r="AL254" s="427"/>
      <c r="AM254" s="427"/>
      <c r="AN254" s="427"/>
      <c r="AO254" s="427"/>
      <c r="AP254" s="427"/>
      <c r="AQ254" s="427"/>
      <c r="AR254" s="427"/>
      <c r="AS254" s="427"/>
      <c r="AT254" s="9"/>
      <c r="AU254" s="9"/>
    </row>
    <row r="255" spans="1:47" outlineLevel="1">
      <c r="A255" s="298"/>
      <c r="B255" s="8"/>
      <c r="C255" s="14"/>
      <c r="D255" s="18"/>
      <c r="E255" s="18"/>
      <c r="F255" s="18"/>
      <c r="G255" s="18"/>
      <c r="H255" s="18"/>
      <c r="I255" s="18"/>
      <c r="J255" s="18"/>
      <c r="K255" s="2"/>
      <c r="L255" s="2"/>
      <c r="M255" s="2"/>
      <c r="N255" s="2"/>
      <c r="O255" s="2"/>
      <c r="P255" s="2"/>
      <c r="Q255" s="2"/>
      <c r="R255" s="2"/>
      <c r="S255" s="2"/>
      <c r="T255" s="2"/>
      <c r="U255" s="3"/>
      <c r="V255" s="3"/>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row>
    <row r="256" spans="1:47" outlineLevel="1">
      <c r="A256" s="298"/>
      <c r="B256" s="8" t="s">
        <v>1404</v>
      </c>
      <c r="C256" s="14" t="s">
        <v>846</v>
      </c>
      <c r="D256" s="18"/>
      <c r="E256" s="18"/>
      <c r="F256" s="18"/>
      <c r="G256" s="18"/>
      <c r="H256" s="18"/>
      <c r="I256" s="18"/>
      <c r="J256" s="18"/>
      <c r="K256" s="2"/>
      <c r="L256" s="2"/>
      <c r="M256" s="2"/>
      <c r="N256" s="2"/>
      <c r="O256" s="2"/>
      <c r="P256" s="2"/>
      <c r="Q256" s="2"/>
      <c r="R256" s="2"/>
      <c r="S256" s="2"/>
      <c r="T256" s="2"/>
      <c r="U256" s="3"/>
      <c r="V256" s="3"/>
      <c r="W256" s="2"/>
      <c r="X256" s="2"/>
      <c r="Y256" s="2"/>
      <c r="Z256" s="2"/>
      <c r="AA256" s="2"/>
      <c r="AB256" s="2"/>
      <c r="AC256" s="530">
        <v>1573</v>
      </c>
      <c r="AD256" s="530">
        <v>2149</v>
      </c>
      <c r="AE256" s="530">
        <v>2711</v>
      </c>
      <c r="AF256" s="530">
        <v>3011</v>
      </c>
      <c r="AG256" s="530">
        <v>3313</v>
      </c>
      <c r="AH256" s="530">
        <v>3231</v>
      </c>
      <c r="AI256" s="530">
        <v>3232</v>
      </c>
      <c r="AJ256" s="530">
        <v>3064</v>
      </c>
      <c r="AK256" s="334">
        <f t="shared" ref="AK256:AP256" si="338">AJ256*(1+AK257)</f>
        <v>3155.92</v>
      </c>
      <c r="AL256" s="334">
        <f t="shared" si="338"/>
        <v>3250.5976000000001</v>
      </c>
      <c r="AM256" s="334">
        <f t="shared" si="338"/>
        <v>3348.1155280000003</v>
      </c>
      <c r="AN256" s="334">
        <f t="shared" si="338"/>
        <v>3448.5589938400003</v>
      </c>
      <c r="AO256" s="334">
        <f t="shared" si="338"/>
        <v>3552.0157636552003</v>
      </c>
      <c r="AP256" s="334">
        <f t="shared" si="338"/>
        <v>3658.5762365648566</v>
      </c>
      <c r="AQ256" s="334">
        <f t="shared" ref="AQ256" si="339">AP256*(1+AQ257)</f>
        <v>3768.3335236618022</v>
      </c>
      <c r="AR256" s="334">
        <f t="shared" ref="AR256:AS256" si="340">AQ256*(1+AR257)</f>
        <v>3881.3835293716566</v>
      </c>
      <c r="AS256" s="334">
        <f t="shared" si="340"/>
        <v>3997.8250352528062</v>
      </c>
      <c r="AT256" s="2"/>
      <c r="AU256" s="2"/>
    </row>
    <row r="257" spans="1:47" outlineLevel="1">
      <c r="A257" s="310"/>
      <c r="B257" s="322" t="s">
        <v>1099</v>
      </c>
      <c r="C257" s="310" t="s">
        <v>733</v>
      </c>
      <c r="D257" s="310"/>
      <c r="E257" s="310"/>
      <c r="F257" s="310"/>
      <c r="G257" s="310"/>
      <c r="H257" s="310"/>
      <c r="I257" s="310"/>
      <c r="J257" s="310"/>
      <c r="K257" s="311"/>
      <c r="L257" s="311"/>
      <c r="M257" s="311"/>
      <c r="N257" s="311"/>
      <c r="O257" s="311"/>
      <c r="P257" s="311"/>
      <c r="Q257" s="311"/>
      <c r="R257" s="311"/>
      <c r="S257" s="311"/>
      <c r="T257" s="311"/>
      <c r="U257" s="311"/>
      <c r="V257" s="311"/>
      <c r="W257" s="311"/>
      <c r="X257" s="311"/>
      <c r="Y257" s="311"/>
      <c r="Z257" s="311"/>
      <c r="AA257" s="311"/>
      <c r="AB257" s="311"/>
      <c r="AC257" s="311" t="s">
        <v>1456</v>
      </c>
      <c r="AD257" s="311">
        <f t="shared" ref="AD257:AJ257" si="341">IFERROR(AD256/AC256-1, "")</f>
        <v>0.36617927527018446</v>
      </c>
      <c r="AE257" s="311">
        <f t="shared" si="341"/>
        <v>0.2615169846440204</v>
      </c>
      <c r="AF257" s="311">
        <f t="shared" si="341"/>
        <v>0.11066027296200653</v>
      </c>
      <c r="AG257" s="311">
        <f t="shared" si="341"/>
        <v>0.10029890401859842</v>
      </c>
      <c r="AH257" s="311">
        <f t="shared" si="341"/>
        <v>-2.4750980984002413E-2</v>
      </c>
      <c r="AI257" s="311">
        <f t="shared" si="341"/>
        <v>3.095017022594071E-4</v>
      </c>
      <c r="AJ257" s="311">
        <f t="shared" si="341"/>
        <v>-5.1980198019802026E-2</v>
      </c>
      <c r="AK257" s="621">
        <v>0.03</v>
      </c>
      <c r="AL257" s="621">
        <v>0.03</v>
      </c>
      <c r="AM257" s="621">
        <v>0.03</v>
      </c>
      <c r="AN257" s="621">
        <v>0.03</v>
      </c>
      <c r="AO257" s="621">
        <v>0.03</v>
      </c>
      <c r="AP257" s="621">
        <v>0.03</v>
      </c>
      <c r="AQ257" s="621">
        <v>0.03</v>
      </c>
      <c r="AR257" s="621">
        <v>0.03</v>
      </c>
      <c r="AS257" s="621">
        <v>0.03</v>
      </c>
      <c r="AT257" s="313"/>
      <c r="AU257" s="513"/>
    </row>
    <row r="258" spans="1:47" outlineLevel="1">
      <c r="A258" s="298"/>
      <c r="B258" s="8" t="s">
        <v>1405</v>
      </c>
      <c r="C258" s="18" t="s">
        <v>846</v>
      </c>
      <c r="D258" s="18"/>
      <c r="E258" s="18"/>
      <c r="F258" s="18"/>
      <c r="G258" s="18"/>
      <c r="H258" s="18"/>
      <c r="I258" s="18"/>
      <c r="J258" s="18"/>
      <c r="K258" s="7"/>
      <c r="L258" s="7"/>
      <c r="M258" s="7"/>
      <c r="N258" s="7"/>
      <c r="O258" s="7"/>
      <c r="P258" s="7"/>
      <c r="Q258" s="7"/>
      <c r="R258" s="7"/>
      <c r="S258" s="7"/>
      <c r="T258" s="7"/>
      <c r="U258" s="7"/>
      <c r="V258" s="7"/>
      <c r="W258" s="7"/>
      <c r="X258" s="7"/>
      <c r="Y258" s="7"/>
      <c r="Z258" s="7"/>
      <c r="AA258" s="7"/>
      <c r="AB258" s="7"/>
      <c r="AC258" s="334">
        <v>1573</v>
      </c>
      <c r="AD258" s="334">
        <f t="shared" ref="AD258:AP258" si="342">AVERAGE(AC256:AD256)</f>
        <v>1861</v>
      </c>
      <c r="AE258" s="334">
        <f t="shared" si="342"/>
        <v>2430</v>
      </c>
      <c r="AF258" s="334">
        <f t="shared" si="342"/>
        <v>2861</v>
      </c>
      <c r="AG258" s="334">
        <f t="shared" si="342"/>
        <v>3162</v>
      </c>
      <c r="AH258" s="334">
        <f t="shared" si="342"/>
        <v>3272</v>
      </c>
      <c r="AI258" s="334">
        <f t="shared" si="342"/>
        <v>3231.5</v>
      </c>
      <c r="AJ258" s="334">
        <f t="shared" si="342"/>
        <v>3148</v>
      </c>
      <c r="AK258" s="334">
        <f t="shared" si="342"/>
        <v>3109.96</v>
      </c>
      <c r="AL258" s="334">
        <f t="shared" si="342"/>
        <v>3203.2588000000001</v>
      </c>
      <c r="AM258" s="334">
        <f t="shared" si="342"/>
        <v>3299.3565640000002</v>
      </c>
      <c r="AN258" s="334">
        <f t="shared" si="342"/>
        <v>3398.3372609200005</v>
      </c>
      <c r="AO258" s="334">
        <f t="shared" si="342"/>
        <v>3500.2873787476001</v>
      </c>
      <c r="AP258" s="334">
        <f t="shared" si="342"/>
        <v>3605.2960001100282</v>
      </c>
      <c r="AQ258" s="334">
        <f t="shared" ref="AQ258" si="343">AVERAGE(AP256:AQ256)</f>
        <v>3713.4548801133296</v>
      </c>
      <c r="AR258" s="334">
        <f t="shared" ref="AR258:AS258" si="344">AVERAGE(AQ256:AR256)</f>
        <v>3824.8585265167294</v>
      </c>
      <c r="AS258" s="334">
        <f t="shared" si="344"/>
        <v>3939.6042823122316</v>
      </c>
      <c r="AT258" s="2"/>
      <c r="AU258" s="2"/>
    </row>
    <row r="259" spans="1:47" outlineLevel="1">
      <c r="A259" s="298"/>
      <c r="B259" s="8"/>
      <c r="C259" s="14"/>
      <c r="D259" s="18"/>
      <c r="E259" s="18"/>
      <c r="F259" s="18"/>
      <c r="G259" s="18"/>
      <c r="H259" s="18"/>
      <c r="I259" s="18"/>
      <c r="J259" s="18"/>
      <c r="K259" s="2"/>
      <c r="L259" s="2"/>
      <c r="M259" s="2"/>
      <c r="N259" s="2"/>
      <c r="O259" s="2"/>
      <c r="P259" s="2"/>
      <c r="Q259" s="2"/>
      <c r="R259" s="2"/>
      <c r="S259" s="2"/>
      <c r="T259" s="2"/>
      <c r="U259" s="3"/>
      <c r="V259" s="3"/>
      <c r="W259" s="2"/>
      <c r="X259" s="2"/>
      <c r="Y259" s="2"/>
      <c r="Z259" s="2"/>
      <c r="AA259" s="2"/>
      <c r="AB259" s="2"/>
      <c r="AC259" s="530"/>
      <c r="AD259" s="530"/>
      <c r="AE259" s="530"/>
      <c r="AF259" s="530"/>
      <c r="AG259" s="2"/>
      <c r="AH259" s="2"/>
      <c r="AI259" s="2"/>
      <c r="AJ259" s="2"/>
      <c r="AK259" s="2"/>
      <c r="AL259" s="2"/>
      <c r="AM259" s="2"/>
      <c r="AN259" s="2"/>
      <c r="AO259" s="2"/>
      <c r="AP259" s="2"/>
      <c r="AQ259" s="2"/>
      <c r="AR259" s="2"/>
      <c r="AS259" s="2"/>
      <c r="AT259" s="2"/>
      <c r="AU259" s="2"/>
    </row>
    <row r="260" spans="1:47" outlineLevel="1">
      <c r="A260" s="298"/>
      <c r="B260" s="8" t="s">
        <v>684</v>
      </c>
      <c r="C260" s="14" t="s">
        <v>772</v>
      </c>
      <c r="D260" s="18"/>
      <c r="E260" s="18"/>
      <c r="F260" s="18"/>
      <c r="G260" s="18"/>
      <c r="H260" s="18"/>
      <c r="I260" s="18"/>
      <c r="J260" s="18"/>
      <c r="K260" s="2"/>
      <c r="L260" s="2"/>
      <c r="M260" s="2"/>
      <c r="N260" s="2"/>
      <c r="O260" s="2"/>
      <c r="P260" s="2"/>
      <c r="Q260" s="2"/>
      <c r="R260" s="2"/>
      <c r="S260" s="2"/>
      <c r="T260" s="2"/>
      <c r="U260" s="3"/>
      <c r="V260" s="3"/>
      <c r="W260" s="2"/>
      <c r="X260" s="2"/>
      <c r="Y260" s="2"/>
      <c r="Z260" s="2"/>
      <c r="AA260" s="2"/>
      <c r="AB260" s="2"/>
      <c r="AC260" s="8">
        <v>76.711167620258536</v>
      </c>
      <c r="AD260" s="8">
        <f t="shared" ref="AD260:AI260" si="345">+AD263/AD258*1000/12</f>
        <v>92.42342826437401</v>
      </c>
      <c r="AE260" s="8">
        <f t="shared" si="345"/>
        <v>88.99176954732512</v>
      </c>
      <c r="AF260" s="8">
        <f t="shared" si="345"/>
        <v>87.411161598508684</v>
      </c>
      <c r="AG260" s="8">
        <f t="shared" si="345"/>
        <v>83.017077798861479</v>
      </c>
      <c r="AH260" s="8">
        <f t="shared" si="345"/>
        <v>83.919111654441735</v>
      </c>
      <c r="AI260" s="8">
        <f t="shared" si="345"/>
        <v>80.535355098251586</v>
      </c>
      <c r="AJ260" s="8">
        <f t="shared" ref="AJ260" si="346">+AJ263/AJ258*1000/12</f>
        <v>83.306861499364672</v>
      </c>
      <c r="AK260" s="420">
        <f t="shared" ref="AK260:AP260" si="347">AJ260*(1+AK261)</f>
        <v>86.173745237822828</v>
      </c>
      <c r="AL260" s="420">
        <f t="shared" si="347"/>
        <v>89.13928858512844</v>
      </c>
      <c r="AM260" s="420">
        <f t="shared" si="347"/>
        <v>92.206886767354803</v>
      </c>
      <c r="AN260" s="420">
        <f t="shared" si="347"/>
        <v>95.380051852312405</v>
      </c>
      <c r="AO260" s="420">
        <f t="shared" si="347"/>
        <v>98.662416770486359</v>
      </c>
      <c r="AP260" s="420">
        <f t="shared" si="347"/>
        <v>102.05773947434847</v>
      </c>
      <c r="AQ260" s="420">
        <f t="shared" ref="AQ260" si="348">AP260*(1+AQ261)</f>
        <v>105.56990724080599</v>
      </c>
      <c r="AR260" s="420">
        <f t="shared" ref="AR260:AS260" si="349">AQ260*(1+AR261)</f>
        <v>109.2029411217128</v>
      </c>
      <c r="AS260" s="420">
        <f t="shared" si="349"/>
        <v>112.96100054753849</v>
      </c>
      <c r="AT260" s="2"/>
      <c r="AU260" s="2"/>
    </row>
    <row r="261" spans="1:47" outlineLevel="1">
      <c r="A261" s="298"/>
      <c r="B261" s="394" t="s">
        <v>1099</v>
      </c>
      <c r="C261" s="14" t="s">
        <v>733</v>
      </c>
      <c r="D261" s="18"/>
      <c r="E261" s="18"/>
      <c r="F261" s="18"/>
      <c r="G261" s="18"/>
      <c r="H261" s="18"/>
      <c r="I261" s="18"/>
      <c r="J261" s="18"/>
      <c r="K261" s="2"/>
      <c r="L261" s="2"/>
      <c r="M261" s="2"/>
      <c r="N261" s="2"/>
      <c r="O261" s="2"/>
      <c r="P261" s="2"/>
      <c r="Q261" s="2"/>
      <c r="R261" s="2"/>
      <c r="S261" s="2"/>
      <c r="T261" s="2"/>
      <c r="U261" s="3"/>
      <c r="V261" s="3"/>
      <c r="W261" s="2"/>
      <c r="X261" s="2"/>
      <c r="Y261" s="2"/>
      <c r="Z261" s="2"/>
      <c r="AA261" s="2"/>
      <c r="AB261" s="2"/>
      <c r="AC261" s="530"/>
      <c r="AD261" s="311">
        <f t="shared" ref="AD261:AJ261" si="350">IFERROR(AD260/AC260-1, "")</f>
        <v>0.20482364082757165</v>
      </c>
      <c r="AE261" s="311">
        <f t="shared" si="350"/>
        <v>-3.7129749258302258E-2</v>
      </c>
      <c r="AF261" s="311">
        <f t="shared" si="350"/>
        <v>-1.7761282384388122E-2</v>
      </c>
      <c r="AG261" s="311">
        <f t="shared" si="350"/>
        <v>-5.0269138623621368E-2</v>
      </c>
      <c r="AH261" s="311">
        <f t="shared" si="350"/>
        <v>1.0865642100361006E-2</v>
      </c>
      <c r="AI261" s="311">
        <f t="shared" si="350"/>
        <v>-4.0321644134218571E-2</v>
      </c>
      <c r="AJ261" s="311">
        <f t="shared" si="350"/>
        <v>3.4413536734666517E-2</v>
      </c>
      <c r="AK261" s="621">
        <f t="shared" ref="AK261:AP261" si="351">AJ261</f>
        <v>3.4413536734666517E-2</v>
      </c>
      <c r="AL261" s="621">
        <f t="shared" si="351"/>
        <v>3.4413536734666517E-2</v>
      </c>
      <c r="AM261" s="621">
        <f t="shared" si="351"/>
        <v>3.4413536734666517E-2</v>
      </c>
      <c r="AN261" s="621">
        <f t="shared" si="351"/>
        <v>3.4413536734666517E-2</v>
      </c>
      <c r="AO261" s="621">
        <f t="shared" si="351"/>
        <v>3.4413536734666517E-2</v>
      </c>
      <c r="AP261" s="621">
        <f t="shared" si="351"/>
        <v>3.4413536734666517E-2</v>
      </c>
      <c r="AQ261" s="621">
        <f t="shared" ref="AQ261" si="352">AP261</f>
        <v>3.4413536734666517E-2</v>
      </c>
      <c r="AR261" s="621">
        <f t="shared" ref="AR261:AS261" si="353">AQ261</f>
        <v>3.4413536734666517E-2</v>
      </c>
      <c r="AS261" s="621">
        <f t="shared" si="353"/>
        <v>3.4413536734666517E-2</v>
      </c>
      <c r="AT261" s="2"/>
      <c r="AU261" s="2"/>
    </row>
    <row r="262" spans="1:47" outlineLevel="1">
      <c r="A262" s="298"/>
      <c r="B262" s="8"/>
      <c r="C262" s="14"/>
      <c r="D262" s="18"/>
      <c r="E262" s="18"/>
      <c r="F262" s="18"/>
      <c r="G262" s="18"/>
      <c r="H262" s="18"/>
      <c r="I262" s="18"/>
      <c r="J262" s="18"/>
      <c r="K262" s="2"/>
      <c r="L262" s="2"/>
      <c r="M262" s="2"/>
      <c r="N262" s="2"/>
      <c r="O262" s="2"/>
      <c r="P262" s="2"/>
      <c r="Q262" s="2"/>
      <c r="R262" s="2"/>
      <c r="S262" s="2"/>
      <c r="T262" s="2"/>
      <c r="U262" s="3"/>
      <c r="V262" s="3"/>
      <c r="W262" s="2"/>
      <c r="X262" s="2"/>
      <c r="Y262" s="2"/>
      <c r="Z262" s="2"/>
      <c r="AA262" s="2"/>
      <c r="AB262" s="2"/>
      <c r="AC262" s="530"/>
      <c r="AD262" s="530"/>
      <c r="AE262" s="530"/>
      <c r="AF262" s="530"/>
      <c r="AG262" s="2"/>
      <c r="AH262" s="2"/>
      <c r="AI262" s="2"/>
      <c r="AJ262" s="2"/>
      <c r="AK262" s="2"/>
      <c r="AL262" s="2"/>
      <c r="AM262" s="2"/>
      <c r="AN262" s="2"/>
      <c r="AO262" s="2"/>
      <c r="AP262" s="2"/>
      <c r="AQ262" s="2"/>
      <c r="AR262" s="2"/>
      <c r="AS262" s="2"/>
      <c r="AT262" s="2"/>
      <c r="AU262" s="2"/>
    </row>
    <row r="263" spans="1:47" outlineLevel="1">
      <c r="A263" s="298"/>
      <c r="B263" s="8" t="s">
        <v>1403</v>
      </c>
      <c r="C263" s="14" t="s">
        <v>732</v>
      </c>
      <c r="D263" s="18"/>
      <c r="E263" s="18"/>
      <c r="F263" s="18"/>
      <c r="G263" s="18"/>
      <c r="H263" s="18"/>
      <c r="I263" s="18"/>
      <c r="J263" s="18"/>
      <c r="K263" s="2"/>
      <c r="L263" s="2"/>
      <c r="M263" s="2"/>
      <c r="N263" s="2"/>
      <c r="O263" s="2"/>
      <c r="P263" s="2"/>
      <c r="Q263" s="2"/>
      <c r="R263" s="2"/>
      <c r="S263" s="2"/>
      <c r="T263" s="2"/>
      <c r="U263" s="3"/>
      <c r="V263" s="3"/>
      <c r="W263" s="2"/>
      <c r="X263" s="2"/>
      <c r="Y263" s="2"/>
      <c r="Z263" s="2"/>
      <c r="AA263" s="2"/>
      <c r="AB263" s="2"/>
      <c r="AC263" s="2">
        <v>1448</v>
      </c>
      <c r="AD263" s="2">
        <f t="shared" ref="AD263:AI263" si="354">+AD253</f>
        <v>2064</v>
      </c>
      <c r="AE263" s="2">
        <f t="shared" si="354"/>
        <v>2595</v>
      </c>
      <c r="AF263" s="2">
        <f t="shared" si="354"/>
        <v>3001</v>
      </c>
      <c r="AG263" s="2">
        <f t="shared" si="354"/>
        <v>3150</v>
      </c>
      <c r="AH263" s="2">
        <f t="shared" si="354"/>
        <v>3295</v>
      </c>
      <c r="AI263" s="2">
        <f t="shared" si="354"/>
        <v>3123</v>
      </c>
      <c r="AJ263" s="2">
        <f t="shared" ref="AJ263" si="355">+AJ253</f>
        <v>3147</v>
      </c>
      <c r="AK263" s="2">
        <f t="shared" ref="AK263:AO263" si="356">+AK260*12*AK258/1000</f>
        <v>3215.962808877834</v>
      </c>
      <c r="AL263" s="2">
        <f t="shared" si="356"/>
        <v>3426.4345270326266</v>
      </c>
      <c r="AM263" s="2">
        <f t="shared" si="356"/>
        <v>3650.6807652225216</v>
      </c>
      <c r="AN263" s="2">
        <f t="shared" si="356"/>
        <v>3889.6030098983392</v>
      </c>
      <c r="AO263" s="2">
        <f t="shared" si="356"/>
        <v>4144.1617461416281</v>
      </c>
      <c r="AP263" s="2">
        <f>+AP260*12*AP258/1000</f>
        <v>4415.3803188856782</v>
      </c>
      <c r="AQ263" s="2">
        <f t="shared" ref="AQ263:AR263" si="357">+AQ260*12*AQ258/1000</f>
        <v>4704.3490468377895</v>
      </c>
      <c r="AR263" s="2">
        <f t="shared" si="357"/>
        <v>5012.2296056410514</v>
      </c>
      <c r="AS263" s="2">
        <f t="shared" ref="AS263" si="358">+AS260*12*AS258/1000</f>
        <v>5340.2596978962829</v>
      </c>
      <c r="AT263" s="2"/>
      <c r="AU263" s="8" t="s">
        <v>1268</v>
      </c>
    </row>
    <row r="264" spans="1:47" outlineLevel="1">
      <c r="A264" s="298"/>
      <c r="B264" s="8"/>
      <c r="C264" s="14"/>
      <c r="D264" s="18"/>
      <c r="E264" s="18"/>
      <c r="F264" s="18"/>
      <c r="G264" s="18"/>
      <c r="H264" s="18"/>
      <c r="I264" s="18"/>
      <c r="J264" s="18"/>
      <c r="K264" s="2"/>
      <c r="L264" s="2"/>
      <c r="M264" s="2"/>
      <c r="N264" s="2"/>
      <c r="O264" s="2"/>
      <c r="P264" s="2"/>
      <c r="Q264" s="2"/>
      <c r="R264" s="2"/>
      <c r="S264" s="2"/>
      <c r="T264" s="2"/>
      <c r="U264" s="3"/>
      <c r="V264" s="3"/>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row>
    <row r="265" spans="1:47" outlineLevel="1">
      <c r="A265" s="298"/>
      <c r="B265" s="8" t="s">
        <v>1406</v>
      </c>
      <c r="C265" s="14" t="s">
        <v>846</v>
      </c>
      <c r="D265" s="18"/>
      <c r="E265" s="18"/>
      <c r="F265" s="18"/>
      <c r="G265" s="18"/>
      <c r="H265" s="18"/>
      <c r="I265" s="18"/>
      <c r="J265" s="18"/>
      <c r="K265" s="2"/>
      <c r="L265" s="2"/>
      <c r="M265" s="2"/>
      <c r="N265" s="2"/>
      <c r="O265" s="2"/>
      <c r="P265" s="2"/>
      <c r="Q265" s="2"/>
      <c r="R265" s="2"/>
      <c r="S265" s="2"/>
      <c r="T265" s="2"/>
      <c r="U265" s="3"/>
      <c r="V265" s="3"/>
      <c r="W265" s="2"/>
      <c r="X265" s="2"/>
      <c r="Y265" s="2"/>
      <c r="Z265" s="2"/>
      <c r="AA265" s="2"/>
      <c r="AB265" s="2"/>
      <c r="AC265" s="8">
        <v>1946</v>
      </c>
      <c r="AD265" s="8">
        <f t="shared" ref="AD265:AO265" si="359">+AD278-AD256</f>
        <v>1478</v>
      </c>
      <c r="AE265" s="8">
        <f t="shared" si="359"/>
        <v>998</v>
      </c>
      <c r="AF265" s="8">
        <f>+AF278-AF256</f>
        <v>629</v>
      </c>
      <c r="AG265" s="8">
        <f>+AG278-AG256</f>
        <v>191</v>
      </c>
      <c r="AH265" s="8">
        <f>+AH278-AH256</f>
        <v>176</v>
      </c>
      <c r="AI265" s="8">
        <f>+AI278-AI256</f>
        <v>63</v>
      </c>
      <c r="AJ265" s="8">
        <f>+AJ278-AJ256</f>
        <v>113</v>
      </c>
      <c r="AK265" s="8">
        <f t="shared" si="359"/>
        <v>-92.694203338391617</v>
      </c>
      <c r="AL265" s="8">
        <f t="shared" si="359"/>
        <v>-297.07154355267676</v>
      </c>
      <c r="AM265" s="8">
        <f t="shared" si="359"/>
        <v>-500.36066264851434</v>
      </c>
      <c r="AN265" s="8">
        <f t="shared" si="359"/>
        <v>-702.78745902310493</v>
      </c>
      <c r="AO265" s="8">
        <f t="shared" si="359"/>
        <v>-904.57534905329521</v>
      </c>
      <c r="AP265" s="8">
        <f>+AP278-AP256</f>
        <v>-1105.9455242157665</v>
      </c>
      <c r="AQ265" s="8">
        <f t="shared" ref="AQ265:AR265" si="360">+AQ278-AQ256</f>
        <v>-1307.1172040463061</v>
      </c>
      <c r="AR265" s="8">
        <f t="shared" si="360"/>
        <v>-1508.307885238597</v>
      </c>
      <c r="AS265" s="8">
        <f t="shared" ref="AS265" si="361">+AS278-AS256</f>
        <v>-1709.7335871767118</v>
      </c>
      <c r="AT265" s="2"/>
      <c r="AU265" s="2"/>
    </row>
    <row r="266" spans="1:47" outlineLevel="1">
      <c r="A266" s="298"/>
      <c r="B266" s="322" t="s">
        <v>1099</v>
      </c>
      <c r="C266" s="310" t="s">
        <v>733</v>
      </c>
      <c r="D266" s="18"/>
      <c r="E266" s="18"/>
      <c r="F266" s="18"/>
      <c r="G266" s="18"/>
      <c r="H266" s="18"/>
      <c r="I266" s="18"/>
      <c r="J266" s="18"/>
      <c r="K266" s="2"/>
      <c r="L266" s="2"/>
      <c r="M266" s="2"/>
      <c r="N266" s="2"/>
      <c r="O266" s="2"/>
      <c r="P266" s="2"/>
      <c r="Q266" s="2"/>
      <c r="R266" s="2"/>
      <c r="S266" s="2"/>
      <c r="T266" s="2"/>
      <c r="U266" s="3"/>
      <c r="V266" s="3"/>
      <c r="W266" s="2"/>
      <c r="X266" s="2"/>
      <c r="Y266" s="2"/>
      <c r="Z266" s="2"/>
      <c r="AA266" s="2"/>
      <c r="AB266" s="2"/>
      <c r="AC266" s="311" t="s">
        <v>1456</v>
      </c>
      <c r="AD266" s="311">
        <f t="shared" ref="AD266:AJ266" si="362">IFERROR(AD265/AC265-1, "")</f>
        <v>-0.2404933196300103</v>
      </c>
      <c r="AE266" s="311">
        <f t="shared" si="362"/>
        <v>-0.32476319350473615</v>
      </c>
      <c r="AF266" s="311">
        <f t="shared" si="362"/>
        <v>-0.36973947895791581</v>
      </c>
      <c r="AG266" s="311">
        <f t="shared" si="362"/>
        <v>-0.69634340222575519</v>
      </c>
      <c r="AH266" s="311">
        <f t="shared" si="362"/>
        <v>-7.8534031413612593E-2</v>
      </c>
      <c r="AI266" s="311">
        <f t="shared" si="362"/>
        <v>-0.64204545454545459</v>
      </c>
      <c r="AJ266" s="311">
        <f t="shared" si="362"/>
        <v>0.79365079365079372</v>
      </c>
      <c r="AK266" s="311">
        <f t="shared" ref="AK266:AP266" si="363">IFERROR(AK265/AJ265-1, "")</f>
        <v>-1.8203026844105454</v>
      </c>
      <c r="AL266" s="311">
        <f t="shared" si="363"/>
        <v>2.2048556743961698</v>
      </c>
      <c r="AM266" s="311">
        <f t="shared" si="363"/>
        <v>0.68431030675205129</v>
      </c>
      <c r="AN266" s="311">
        <f t="shared" si="363"/>
        <v>0.40456177210874844</v>
      </c>
      <c r="AO266" s="311">
        <f t="shared" si="363"/>
        <v>0.28712505813732259</v>
      </c>
      <c r="AP266" s="311">
        <f t="shared" si="363"/>
        <v>0.22261293696895446</v>
      </c>
      <c r="AQ266" s="311">
        <f t="shared" ref="AQ266" si="364">IFERROR(AQ265/AP265-1, "")</f>
        <v>0.18190017087251364</v>
      </c>
      <c r="AR266" s="311">
        <f t="shared" ref="AR266:AS266" si="365">IFERROR(AR265/AQ265-1, "")</f>
        <v>0.15391938884247414</v>
      </c>
      <c r="AS266" s="311">
        <f t="shared" si="365"/>
        <v>0.13354415494967165</v>
      </c>
      <c r="AT266" s="2"/>
      <c r="AU266" s="2"/>
    </row>
    <row r="267" spans="1:47" outlineLevel="1">
      <c r="A267" s="298"/>
      <c r="B267" s="8" t="s">
        <v>1407</v>
      </c>
      <c r="C267" s="18" t="s">
        <v>846</v>
      </c>
      <c r="D267" s="18"/>
      <c r="E267" s="18"/>
      <c r="F267" s="18"/>
      <c r="G267" s="18"/>
      <c r="H267" s="18"/>
      <c r="I267" s="18"/>
      <c r="J267" s="18"/>
      <c r="K267" s="2"/>
      <c r="L267" s="2"/>
      <c r="M267" s="2"/>
      <c r="N267" s="2"/>
      <c r="O267" s="2"/>
      <c r="P267" s="2"/>
      <c r="Q267" s="2"/>
      <c r="R267" s="2"/>
      <c r="S267" s="2"/>
      <c r="T267" s="2"/>
      <c r="U267" s="3"/>
      <c r="V267" s="3"/>
      <c r="W267" s="2"/>
      <c r="X267" s="2"/>
      <c r="Y267" s="2"/>
      <c r="Z267" s="2"/>
      <c r="AA267" s="2"/>
      <c r="AB267" s="2"/>
      <c r="AC267" s="334">
        <v>1946</v>
      </c>
      <c r="AD267" s="334">
        <f t="shared" ref="AD267:AP267" si="366">AVERAGE(AC265:AD265)</f>
        <v>1712</v>
      </c>
      <c r="AE267" s="334">
        <f t="shared" si="366"/>
        <v>1238</v>
      </c>
      <c r="AF267" s="334">
        <f t="shared" si="366"/>
        <v>813.5</v>
      </c>
      <c r="AG267" s="334">
        <f t="shared" si="366"/>
        <v>410</v>
      </c>
      <c r="AH267" s="334">
        <f t="shared" si="366"/>
        <v>183.5</v>
      </c>
      <c r="AI267" s="334">
        <f t="shared" si="366"/>
        <v>119.5</v>
      </c>
      <c r="AJ267" s="334">
        <f t="shared" si="366"/>
        <v>88</v>
      </c>
      <c r="AK267" s="334">
        <f t="shared" si="366"/>
        <v>10.152898330804192</v>
      </c>
      <c r="AL267" s="334">
        <f t="shared" si="366"/>
        <v>-194.88287344553419</v>
      </c>
      <c r="AM267" s="334">
        <f t="shared" si="366"/>
        <v>-398.71610310059555</v>
      </c>
      <c r="AN267" s="334">
        <f t="shared" si="366"/>
        <v>-601.57406083580963</v>
      </c>
      <c r="AO267" s="334">
        <f t="shared" si="366"/>
        <v>-803.68140403820007</v>
      </c>
      <c r="AP267" s="334">
        <f t="shared" si="366"/>
        <v>-1005.2604366345308</v>
      </c>
      <c r="AQ267" s="334">
        <f t="shared" ref="AQ267" si="367">AVERAGE(AP265:AQ265)</f>
        <v>-1206.5313641310363</v>
      </c>
      <c r="AR267" s="334">
        <f t="shared" ref="AR267:AS267" si="368">AVERAGE(AQ265:AR265)</f>
        <v>-1407.7125446424516</v>
      </c>
      <c r="AS267" s="334">
        <f t="shared" si="368"/>
        <v>-1609.0207362076544</v>
      </c>
      <c r="AT267" s="2"/>
      <c r="AU267" s="2"/>
    </row>
    <row r="268" spans="1:47" outlineLevel="1">
      <c r="A268" s="298"/>
      <c r="B268" s="8"/>
      <c r="C268" s="14"/>
      <c r="D268" s="18"/>
      <c r="E268" s="18"/>
      <c r="F268" s="18"/>
      <c r="G268" s="18"/>
      <c r="H268" s="18"/>
      <c r="I268" s="18"/>
      <c r="J268" s="18"/>
      <c r="K268" s="2"/>
      <c r="L268" s="2"/>
      <c r="M268" s="2"/>
      <c r="N268" s="2"/>
      <c r="O268" s="2"/>
      <c r="P268" s="2"/>
      <c r="Q268" s="2"/>
      <c r="R268" s="2"/>
      <c r="S268" s="2"/>
      <c r="T268" s="2"/>
      <c r="U268" s="3"/>
      <c r="V268" s="3"/>
      <c r="W268" s="2"/>
      <c r="X268" s="2"/>
      <c r="Y268" s="2"/>
      <c r="Z268" s="2"/>
      <c r="AA268" s="2"/>
      <c r="AB268" s="2"/>
      <c r="AC268" s="530"/>
      <c r="AD268" s="530"/>
      <c r="AE268" s="530"/>
      <c r="AF268" s="530"/>
      <c r="AG268" s="530"/>
      <c r="AH268" s="530"/>
      <c r="AI268" s="530"/>
      <c r="AJ268" s="530"/>
      <c r="AK268" s="2"/>
      <c r="AL268" s="2"/>
      <c r="AM268" s="2"/>
      <c r="AN268" s="2"/>
      <c r="AO268" s="2"/>
      <c r="AP268" s="2"/>
      <c r="AQ268" s="2"/>
      <c r="AR268" s="2"/>
      <c r="AS268" s="2"/>
      <c r="AT268" s="2"/>
      <c r="AU268" s="2"/>
    </row>
    <row r="269" spans="1:47" outlineLevel="1">
      <c r="A269" s="298"/>
      <c r="B269" s="8" t="s">
        <v>684</v>
      </c>
      <c r="C269" s="14" t="s">
        <v>772</v>
      </c>
      <c r="D269" s="18"/>
      <c r="E269" s="18"/>
      <c r="F269" s="18"/>
      <c r="G269" s="18"/>
      <c r="H269" s="18"/>
      <c r="I269" s="18"/>
      <c r="J269" s="18"/>
      <c r="K269" s="2"/>
      <c r="L269" s="2"/>
      <c r="M269" s="2"/>
      <c r="N269" s="2"/>
      <c r="O269" s="2"/>
      <c r="P269" s="2"/>
      <c r="Q269" s="2"/>
      <c r="R269" s="2"/>
      <c r="S269" s="2"/>
      <c r="T269" s="2"/>
      <c r="U269" s="3"/>
      <c r="V269" s="3"/>
      <c r="W269" s="2"/>
      <c r="X269" s="2"/>
      <c r="Y269" s="2"/>
      <c r="Z269" s="2"/>
      <c r="AA269" s="2"/>
      <c r="AB269" s="2"/>
      <c r="AC269" s="8">
        <v>135.87701267557381</v>
      </c>
      <c r="AD269" s="8">
        <f t="shared" ref="AD269:AI269" si="369">+AD272/AD267*1000/12</f>
        <v>113.22040498442367</v>
      </c>
      <c r="AE269" s="8">
        <f t="shared" si="369"/>
        <v>97.805600430802372</v>
      </c>
      <c r="AF269" s="8">
        <f t="shared" si="369"/>
        <v>80.311411595984424</v>
      </c>
      <c r="AG269" s="8">
        <f t="shared" si="369"/>
        <v>95.325203252032509</v>
      </c>
      <c r="AH269" s="8">
        <f t="shared" si="369"/>
        <v>150.31789282470481</v>
      </c>
      <c r="AI269" s="8">
        <f t="shared" si="369"/>
        <v>230.82287308228729</v>
      </c>
      <c r="AJ269" s="8">
        <f t="shared" ref="AJ269" si="370">+AJ272/AJ267*1000/12</f>
        <v>282.19696969696969</v>
      </c>
      <c r="AK269" s="420">
        <f t="shared" ref="AK269:AP269" si="371">AJ269*(1+AK270)</f>
        <v>345.00536555475105</v>
      </c>
      <c r="AL269" s="420">
        <f t="shared" si="371"/>
        <v>421.79298519535297</v>
      </c>
      <c r="AM269" s="420">
        <f t="shared" si="371"/>
        <v>515.67117535676039</v>
      </c>
      <c r="AN269" s="420">
        <f t="shared" si="371"/>
        <v>630.44377319519344</v>
      </c>
      <c r="AO269" s="420">
        <f t="shared" si="371"/>
        <v>770.76123342673839</v>
      </c>
      <c r="AP269" s="420">
        <f t="shared" si="371"/>
        <v>942.30905944656627</v>
      </c>
      <c r="AQ269" s="420">
        <f t="shared" ref="AQ269" si="372">AP269*(1+AQ270)</f>
        <v>1152.0381734397031</v>
      </c>
      <c r="AR269" s="420">
        <f t="shared" ref="AR269:AS269" si="373">AQ269*(1+AR270)</f>
        <v>1408.4465598174015</v>
      </c>
      <c r="AS269" s="420">
        <f t="shared" si="373"/>
        <v>1721.9235938498177</v>
      </c>
      <c r="AT269" s="2"/>
      <c r="AU269" s="2"/>
    </row>
    <row r="270" spans="1:47" outlineLevel="1">
      <c r="A270" s="298"/>
      <c r="B270" s="394" t="s">
        <v>1099</v>
      </c>
      <c r="C270" s="14" t="s">
        <v>733</v>
      </c>
      <c r="D270" s="18"/>
      <c r="E270" s="18"/>
      <c r="F270" s="18"/>
      <c r="G270" s="18"/>
      <c r="H270" s="18"/>
      <c r="I270" s="18"/>
      <c r="J270" s="18"/>
      <c r="K270" s="2"/>
      <c r="L270" s="2"/>
      <c r="M270" s="2"/>
      <c r="N270" s="2"/>
      <c r="O270" s="2"/>
      <c r="P270" s="2"/>
      <c r="Q270" s="2"/>
      <c r="R270" s="2"/>
      <c r="S270" s="2"/>
      <c r="T270" s="2"/>
      <c r="U270" s="3"/>
      <c r="V270" s="3"/>
      <c r="W270" s="2"/>
      <c r="X270" s="2"/>
      <c r="Y270" s="2"/>
      <c r="Z270" s="2"/>
      <c r="AA270" s="2"/>
      <c r="AB270" s="2"/>
      <c r="AC270" s="530"/>
      <c r="AD270" s="311">
        <f t="shared" ref="AD270:AJ270" si="374">IFERROR(AD269/AC269-1, "")</f>
        <v>-0.16674349284706536</v>
      </c>
      <c r="AE270" s="311">
        <f t="shared" si="374"/>
        <v>-0.13614864348649869</v>
      </c>
      <c r="AF270" s="311">
        <f t="shared" si="374"/>
        <v>-0.17886694379219226</v>
      </c>
      <c r="AG270" s="311">
        <f t="shared" si="374"/>
        <v>0.1869446864111497</v>
      </c>
      <c r="AH270" s="311">
        <f t="shared" si="374"/>
        <v>0.57689559210564556</v>
      </c>
      <c r="AI270" s="311">
        <f t="shared" si="374"/>
        <v>0.5355648535564852</v>
      </c>
      <c r="AJ270" s="311">
        <f t="shared" si="374"/>
        <v>0.22256934907992321</v>
      </c>
      <c r="AK270" s="621">
        <f t="shared" ref="AK270:AP270" si="375">AJ270</f>
        <v>0.22256934907992321</v>
      </c>
      <c r="AL270" s="621">
        <f t="shared" si="375"/>
        <v>0.22256934907992321</v>
      </c>
      <c r="AM270" s="621">
        <f t="shared" si="375"/>
        <v>0.22256934907992321</v>
      </c>
      <c r="AN270" s="621">
        <f t="shared" si="375"/>
        <v>0.22256934907992321</v>
      </c>
      <c r="AO270" s="621">
        <f t="shared" si="375"/>
        <v>0.22256934907992321</v>
      </c>
      <c r="AP270" s="621">
        <f t="shared" si="375"/>
        <v>0.22256934907992321</v>
      </c>
      <c r="AQ270" s="621">
        <f t="shared" ref="AQ270" si="376">AP270</f>
        <v>0.22256934907992321</v>
      </c>
      <c r="AR270" s="621">
        <f t="shared" ref="AR270:AS270" si="377">AQ270</f>
        <v>0.22256934907992321</v>
      </c>
      <c r="AS270" s="621">
        <f t="shared" si="377"/>
        <v>0.22256934907992321</v>
      </c>
      <c r="AT270" s="2"/>
      <c r="AU270" s="2"/>
    </row>
    <row r="271" spans="1:47" outlineLevel="1">
      <c r="A271" s="298"/>
      <c r="B271" s="8"/>
      <c r="C271" s="14"/>
      <c r="D271" s="18"/>
      <c r="E271" s="18"/>
      <c r="F271" s="18"/>
      <c r="G271" s="18"/>
      <c r="H271" s="18"/>
      <c r="I271" s="18"/>
      <c r="J271" s="18"/>
      <c r="K271" s="2"/>
      <c r="L271" s="2"/>
      <c r="M271" s="2"/>
      <c r="N271" s="2"/>
      <c r="O271" s="2"/>
      <c r="P271" s="2"/>
      <c r="Q271" s="2"/>
      <c r="R271" s="2"/>
      <c r="S271" s="2"/>
      <c r="T271" s="2"/>
      <c r="U271" s="3"/>
      <c r="V271" s="3"/>
      <c r="W271" s="2"/>
      <c r="X271" s="2"/>
      <c r="Y271" s="2"/>
      <c r="Z271" s="2"/>
      <c r="AA271" s="2"/>
      <c r="AB271" s="2"/>
      <c r="AC271" s="530"/>
      <c r="AD271" s="530"/>
      <c r="AE271" s="530"/>
      <c r="AF271" s="530"/>
      <c r="AG271" s="530"/>
      <c r="AH271" s="530"/>
      <c r="AI271" s="530"/>
      <c r="AJ271" s="530"/>
      <c r="AK271" s="2"/>
      <c r="AL271" s="2"/>
      <c r="AM271" s="2"/>
      <c r="AN271" s="2"/>
      <c r="AO271" s="2"/>
      <c r="AP271" s="2"/>
      <c r="AQ271" s="2"/>
      <c r="AR271" s="2"/>
      <c r="AS271" s="2"/>
      <c r="AT271" s="2"/>
      <c r="AU271" s="2"/>
    </row>
    <row r="272" spans="1:47" outlineLevel="1">
      <c r="A272" s="298"/>
      <c r="B272" s="8" t="s">
        <v>1408</v>
      </c>
      <c r="C272" s="14" t="s">
        <v>732</v>
      </c>
      <c r="D272" s="18"/>
      <c r="E272" s="18"/>
      <c r="F272" s="18"/>
      <c r="G272" s="18"/>
      <c r="H272" s="18"/>
      <c r="I272" s="18"/>
      <c r="J272" s="18"/>
      <c r="K272" s="2"/>
      <c r="L272" s="2"/>
      <c r="M272" s="2"/>
      <c r="N272" s="2"/>
      <c r="O272" s="2"/>
      <c r="P272" s="2"/>
      <c r="Q272" s="2"/>
      <c r="R272" s="2"/>
      <c r="S272" s="2"/>
      <c r="T272" s="2"/>
      <c r="U272" s="3"/>
      <c r="V272" s="3"/>
      <c r="W272" s="2"/>
      <c r="X272" s="2"/>
      <c r="Y272" s="2"/>
      <c r="Z272" s="2"/>
      <c r="AA272" s="2"/>
      <c r="AB272" s="2"/>
      <c r="AC272" s="2">
        <v>3173</v>
      </c>
      <c r="AD272" s="2">
        <f t="shared" ref="AD272:AI272" si="378">+AD252</f>
        <v>2326</v>
      </c>
      <c r="AE272" s="2">
        <f t="shared" si="378"/>
        <v>1453</v>
      </c>
      <c r="AF272" s="2">
        <f t="shared" si="378"/>
        <v>784</v>
      </c>
      <c r="AG272" s="2">
        <f t="shared" si="378"/>
        <v>469</v>
      </c>
      <c r="AH272" s="2">
        <f t="shared" si="378"/>
        <v>331</v>
      </c>
      <c r="AI272" s="2">
        <f t="shared" si="378"/>
        <v>331</v>
      </c>
      <c r="AJ272" s="2">
        <f t="shared" ref="AJ272" si="379">+AJ252</f>
        <v>298</v>
      </c>
      <c r="AK272" s="2">
        <f t="shared" ref="AK272:AO272" si="380">+AK269*12*AK267/1000</f>
        <v>42.033652800711863</v>
      </c>
      <c r="AL272" s="2">
        <f t="shared" si="380"/>
        <v>-986.40274744848057</v>
      </c>
      <c r="AM272" s="2">
        <f t="shared" si="380"/>
        <v>-2467.2768182346163</v>
      </c>
      <c r="AN272" s="2">
        <f t="shared" si="380"/>
        <v>-4551.1034492361914</v>
      </c>
      <c r="AO272" s="2">
        <f t="shared" si="380"/>
        <v>-7433.3576431033916</v>
      </c>
      <c r="AP272" s="2">
        <f>+AP269*12*AP267/1000</f>
        <v>-11367.192198527151</v>
      </c>
      <c r="AQ272" s="2">
        <f t="shared" ref="AQ272:AR272" si="381">+AQ269*12*AQ267/1000</f>
        <v>-16679.64226717479</v>
      </c>
      <c r="AR272" s="2">
        <f t="shared" si="381"/>
        <v>-23792.254688561537</v>
      </c>
      <c r="AS272" s="2">
        <f t="shared" ref="AS272" si="382">+AS269*12*AS267/1000</f>
        <v>-33247.329224034766</v>
      </c>
      <c r="AT272" s="2"/>
      <c r="AU272" s="8"/>
    </row>
    <row r="273" spans="1:47" outlineLevel="1">
      <c r="A273" s="298"/>
      <c r="B273" s="8"/>
      <c r="C273" s="14"/>
      <c r="D273" s="18"/>
      <c r="E273" s="18"/>
      <c r="F273" s="18"/>
      <c r="G273" s="18"/>
      <c r="H273" s="18"/>
      <c r="I273" s="18"/>
      <c r="J273" s="18"/>
      <c r="K273" s="2"/>
      <c r="L273" s="2"/>
      <c r="M273" s="2"/>
      <c r="N273" s="2"/>
      <c r="O273" s="2"/>
      <c r="P273" s="2"/>
      <c r="Q273" s="2"/>
      <c r="R273" s="2"/>
      <c r="S273" s="2"/>
      <c r="T273" s="2"/>
      <c r="U273" s="3"/>
      <c r="V273" s="3"/>
      <c r="W273" s="2"/>
      <c r="X273" s="2"/>
      <c r="Y273" s="2"/>
      <c r="Z273" s="2"/>
      <c r="AA273" s="2"/>
      <c r="AB273" s="2"/>
      <c r="AC273" s="530"/>
      <c r="AD273" s="530"/>
      <c r="AE273" s="530"/>
      <c r="AF273" s="530"/>
      <c r="AG273" s="530"/>
      <c r="AH273" s="530"/>
      <c r="AI273" s="530"/>
      <c r="AJ273" s="530"/>
      <c r="AK273" s="2"/>
      <c r="AL273" s="2"/>
      <c r="AM273" s="2"/>
      <c r="AN273" s="2"/>
      <c r="AO273" s="2"/>
      <c r="AP273" s="2"/>
      <c r="AQ273" s="2"/>
      <c r="AR273" s="2"/>
      <c r="AS273" s="2"/>
      <c r="AT273" s="2"/>
      <c r="AU273" s="2"/>
    </row>
    <row r="274" spans="1:47" s="520" customFormat="1" outlineLevel="1">
      <c r="A274" s="338"/>
      <c r="B274" s="9" t="s">
        <v>1409</v>
      </c>
      <c r="C274" s="48" t="s">
        <v>732</v>
      </c>
      <c r="D274" s="48"/>
      <c r="E274" s="48"/>
      <c r="F274" s="48"/>
      <c r="G274" s="48"/>
      <c r="H274" s="48"/>
      <c r="I274" s="48"/>
      <c r="J274" s="48"/>
      <c r="K274" s="9"/>
      <c r="L274" s="9"/>
      <c r="M274" s="9"/>
      <c r="N274" s="9"/>
      <c r="O274" s="9"/>
      <c r="P274" s="9"/>
      <c r="Q274" s="9"/>
      <c r="R274" s="9"/>
      <c r="S274" s="9"/>
      <c r="T274" s="9"/>
      <c r="U274" s="418"/>
      <c r="V274" s="418"/>
      <c r="W274" s="9"/>
      <c r="X274" s="9"/>
      <c r="Y274" s="9"/>
      <c r="Z274" s="9"/>
      <c r="AA274" s="9"/>
      <c r="AB274" s="9"/>
      <c r="AC274" s="9">
        <v>4621</v>
      </c>
      <c r="AD274" s="9">
        <f t="shared" ref="AD274:AO274" si="383">+AD263+AD272</f>
        <v>4390</v>
      </c>
      <c r="AE274" s="9">
        <f t="shared" si="383"/>
        <v>4048</v>
      </c>
      <c r="AF274" s="9">
        <f>+AF263+AF272</f>
        <v>3785</v>
      </c>
      <c r="AG274" s="9">
        <f>+AG263+AG272</f>
        <v>3619</v>
      </c>
      <c r="AH274" s="9">
        <f>+AH263+AH272</f>
        <v>3626</v>
      </c>
      <c r="AI274" s="9">
        <f>+AI263+AI272</f>
        <v>3454</v>
      </c>
      <c r="AJ274" s="9">
        <f>+AJ263+AJ272</f>
        <v>3445</v>
      </c>
      <c r="AK274" s="9">
        <f t="shared" si="383"/>
        <v>3257.996461678546</v>
      </c>
      <c r="AL274" s="9">
        <f t="shared" si="383"/>
        <v>2440.0317795841461</v>
      </c>
      <c r="AM274" s="9">
        <f t="shared" si="383"/>
        <v>1183.4039469879053</v>
      </c>
      <c r="AN274" s="9">
        <f t="shared" si="383"/>
        <v>-661.50043933785219</v>
      </c>
      <c r="AO274" s="9">
        <f t="shared" si="383"/>
        <v>-3289.1958969617635</v>
      </c>
      <c r="AP274" s="9">
        <f>+AP263+AP272</f>
        <v>-6951.8118796414728</v>
      </c>
      <c r="AQ274" s="9">
        <f t="shared" ref="AQ274:AR274" si="384">+AQ263+AQ272</f>
        <v>-11975.293220337</v>
      </c>
      <c r="AR274" s="9">
        <f t="shared" si="384"/>
        <v>-18780.025082920485</v>
      </c>
      <c r="AS274" s="9">
        <f t="shared" ref="AS274" si="385">+AS263+AS272</f>
        <v>-27907.069526138483</v>
      </c>
      <c r="AT274" s="9"/>
      <c r="AU274" s="9"/>
    </row>
    <row r="275" spans="1:47" outlineLevel="1">
      <c r="A275" s="298"/>
      <c r="B275" s="8"/>
      <c r="C275" s="14"/>
      <c r="D275" s="18"/>
      <c r="E275" s="18"/>
      <c r="F275" s="18"/>
      <c r="G275" s="18"/>
      <c r="H275" s="18"/>
      <c r="I275" s="18"/>
      <c r="J275" s="18"/>
      <c r="K275" s="2"/>
      <c r="L275" s="2"/>
      <c r="M275" s="2"/>
      <c r="N275" s="2"/>
      <c r="O275" s="2"/>
      <c r="P275" s="2"/>
      <c r="Q275" s="2"/>
      <c r="R275" s="2"/>
      <c r="S275" s="2"/>
      <c r="T275" s="2"/>
      <c r="U275" s="3"/>
      <c r="V275" s="3"/>
      <c r="W275" s="2"/>
      <c r="X275" s="2"/>
      <c r="Y275" s="2"/>
      <c r="Z275" s="2"/>
      <c r="AA275" s="2"/>
      <c r="AB275" s="2"/>
      <c r="AC275" s="530"/>
      <c r="AD275" s="530"/>
      <c r="AE275" s="530"/>
      <c r="AF275" s="2"/>
      <c r="AG275" s="2"/>
      <c r="AH275" s="2"/>
      <c r="AI275" s="2"/>
      <c r="AJ275" s="2"/>
      <c r="AK275" s="2"/>
      <c r="AL275" s="2"/>
      <c r="AM275" s="2"/>
      <c r="AN275" s="2"/>
      <c r="AO275" s="2"/>
      <c r="AP275" s="2"/>
      <c r="AQ275" s="2"/>
      <c r="AR275" s="2"/>
      <c r="AS275" s="2"/>
      <c r="AT275" s="2"/>
      <c r="AU275" s="2"/>
    </row>
    <row r="276" spans="1:47" ht="14.4" outlineLevel="1">
      <c r="A276" s="298"/>
      <c r="B276" s="348" t="s">
        <v>1285</v>
      </c>
      <c r="C276" s="349"/>
      <c r="D276" s="349"/>
      <c r="E276" s="349"/>
      <c r="F276" s="349"/>
      <c r="G276" s="349"/>
      <c r="H276" s="349"/>
      <c r="I276" s="349"/>
      <c r="J276" s="349"/>
      <c r="K276" s="350"/>
      <c r="L276" s="350"/>
      <c r="M276" s="350"/>
      <c r="N276" s="350"/>
      <c r="O276" s="350"/>
      <c r="P276" s="350"/>
      <c r="Q276" s="350"/>
      <c r="R276" s="350"/>
      <c r="S276" s="350"/>
      <c r="T276" s="350"/>
      <c r="U276" s="350"/>
      <c r="V276" s="350"/>
      <c r="W276" s="351"/>
      <c r="X276" s="352"/>
      <c r="Y276" s="352"/>
      <c r="Z276" s="351"/>
      <c r="AA276" s="350"/>
      <c r="AB276" s="353"/>
      <c r="AC276" s="353"/>
      <c r="AD276" s="353"/>
      <c r="AE276" s="353"/>
      <c r="AF276" s="353"/>
      <c r="AG276" s="353"/>
      <c r="AH276" s="353"/>
      <c r="AI276" s="353"/>
      <c r="AJ276" s="353"/>
      <c r="AK276" s="353"/>
      <c r="AL276" s="353"/>
      <c r="AM276" s="353"/>
      <c r="AN276" s="353"/>
      <c r="AO276" s="353"/>
      <c r="AP276" s="353"/>
      <c r="AQ276" s="353"/>
      <c r="AR276" s="353"/>
      <c r="AS276" s="353"/>
      <c r="AT276" s="2"/>
      <c r="AU276" s="254"/>
    </row>
    <row r="277" spans="1:47" outlineLevel="1">
      <c r="A277" s="298"/>
      <c r="B277" s="55"/>
      <c r="C277" s="18"/>
      <c r="D277" s="18"/>
      <c r="E277" s="18"/>
      <c r="F277" s="18"/>
      <c r="G277" s="18"/>
      <c r="H277" s="18"/>
      <c r="I277" s="18"/>
      <c r="J277" s="18"/>
      <c r="K277" s="7"/>
      <c r="L277" s="7"/>
      <c r="M277" s="7"/>
      <c r="N277" s="7"/>
      <c r="O277" s="7"/>
      <c r="P277" s="7"/>
      <c r="Q277" s="7"/>
      <c r="R277" s="7"/>
      <c r="S277" s="7"/>
      <c r="T277" s="7"/>
      <c r="U277" s="7"/>
      <c r="V277" s="7"/>
      <c r="W277" s="7"/>
      <c r="X277" s="7"/>
      <c r="Y277" s="7"/>
      <c r="Z277" s="7"/>
      <c r="AA277" s="7"/>
      <c r="AB277" s="7"/>
      <c r="AC277" s="7"/>
      <c r="AD277" s="7"/>
      <c r="AE277" s="31"/>
      <c r="AF277" s="31"/>
      <c r="AG277" s="31"/>
      <c r="AH277" s="31"/>
      <c r="AI277" s="31"/>
      <c r="AJ277" s="31"/>
      <c r="AK277" s="31"/>
      <c r="AL277" s="31"/>
      <c r="AM277" s="31"/>
      <c r="AN277" s="31"/>
      <c r="AO277" s="31"/>
      <c r="AP277" s="31"/>
      <c r="AQ277" s="31"/>
      <c r="AR277" s="31"/>
      <c r="AS277" s="31"/>
      <c r="AT277" s="2"/>
      <c r="AU277" s="2"/>
    </row>
    <row r="278" spans="1:47" outlineLevel="1">
      <c r="A278" s="298"/>
      <c r="B278" s="8" t="s">
        <v>1275</v>
      </c>
      <c r="C278" s="14" t="s">
        <v>846</v>
      </c>
      <c r="D278" s="18"/>
      <c r="E278" s="18"/>
      <c r="F278" s="18"/>
      <c r="G278" s="18"/>
      <c r="H278" s="18"/>
      <c r="I278" s="18"/>
      <c r="J278" s="18"/>
      <c r="K278" s="2"/>
      <c r="L278" s="2"/>
      <c r="M278" s="2"/>
      <c r="N278" s="2"/>
      <c r="O278" s="2"/>
      <c r="P278" s="2"/>
      <c r="Q278" s="2"/>
      <c r="R278" s="2"/>
      <c r="S278" s="2"/>
      <c r="T278" s="2"/>
      <c r="U278" s="3"/>
      <c r="V278" s="3"/>
      <c r="W278" s="2"/>
      <c r="X278" s="2"/>
      <c r="Y278" s="2"/>
      <c r="Z278" s="2"/>
      <c r="AA278" s="2"/>
      <c r="AB278" s="2"/>
      <c r="AC278" s="530">
        <v>3519</v>
      </c>
      <c r="AD278" s="530">
        <v>3627</v>
      </c>
      <c r="AE278" s="530">
        <v>3709</v>
      </c>
      <c r="AF278" s="530">
        <v>3640</v>
      </c>
      <c r="AG278" s="530">
        <v>3504</v>
      </c>
      <c r="AH278" s="530">
        <v>3407</v>
      </c>
      <c r="AI278" s="530">
        <v>3295</v>
      </c>
      <c r="AJ278" s="530">
        <v>3177</v>
      </c>
      <c r="AK278" s="334">
        <f t="shared" ref="AK278:AP278" si="386">AJ278*(1+AK279)</f>
        <v>3063.2257966616085</v>
      </c>
      <c r="AL278" s="334">
        <f t="shared" si="386"/>
        <v>2953.5260564473233</v>
      </c>
      <c r="AM278" s="334">
        <f t="shared" si="386"/>
        <v>2847.7548653514859</v>
      </c>
      <c r="AN278" s="334">
        <f t="shared" si="386"/>
        <v>2745.7715348168954</v>
      </c>
      <c r="AO278" s="334">
        <f t="shared" si="386"/>
        <v>2647.4404146019051</v>
      </c>
      <c r="AP278" s="334">
        <f t="shared" si="386"/>
        <v>2552.6307123490901</v>
      </c>
      <c r="AQ278" s="334">
        <f t="shared" ref="AQ278" si="387">AP278*(1+AQ279)</f>
        <v>2461.2163196154961</v>
      </c>
      <c r="AR278" s="334">
        <f t="shared" ref="AR278:AS278" si="388">AQ278*(1+AR279)</f>
        <v>2373.0756441330595</v>
      </c>
      <c r="AS278" s="334">
        <f t="shared" si="388"/>
        <v>2288.0914480760944</v>
      </c>
      <c r="AT278" s="2"/>
      <c r="AU278" s="2"/>
    </row>
    <row r="279" spans="1:47" outlineLevel="1">
      <c r="A279" s="310"/>
      <c r="B279" s="322" t="s">
        <v>1099</v>
      </c>
      <c r="C279" s="310" t="s">
        <v>733</v>
      </c>
      <c r="D279" s="310"/>
      <c r="E279" s="310"/>
      <c r="F279" s="310"/>
      <c r="G279" s="310"/>
      <c r="H279" s="310"/>
      <c r="I279" s="310"/>
      <c r="J279" s="310"/>
      <c r="K279" s="311"/>
      <c r="L279" s="311"/>
      <c r="M279" s="311"/>
      <c r="N279" s="311"/>
      <c r="O279" s="311"/>
      <c r="P279" s="311"/>
      <c r="Q279" s="311"/>
      <c r="R279" s="311"/>
      <c r="S279" s="311"/>
      <c r="T279" s="311"/>
      <c r="U279" s="311"/>
      <c r="V279" s="311"/>
      <c r="W279" s="311"/>
      <c r="X279" s="311"/>
      <c r="Y279" s="311"/>
      <c r="Z279" s="311"/>
      <c r="AA279" s="311"/>
      <c r="AB279" s="311"/>
      <c r="AC279" s="311" t="s">
        <v>1456</v>
      </c>
      <c r="AD279" s="311">
        <f t="shared" ref="AD279:AJ279" si="389">IFERROR(AD278/AC278-1, "")</f>
        <v>3.0690537084399061E-2</v>
      </c>
      <c r="AE279" s="311">
        <f t="shared" si="389"/>
        <v>2.2608216156603245E-2</v>
      </c>
      <c r="AF279" s="311">
        <f t="shared" si="389"/>
        <v>-1.8603397142086808E-2</v>
      </c>
      <c r="AG279" s="311">
        <f t="shared" si="389"/>
        <v>-3.7362637362637341E-2</v>
      </c>
      <c r="AH279" s="311">
        <f t="shared" si="389"/>
        <v>-2.7682648401826437E-2</v>
      </c>
      <c r="AI279" s="311">
        <f t="shared" si="389"/>
        <v>-3.2873495744056402E-2</v>
      </c>
      <c r="AJ279" s="311">
        <f t="shared" si="389"/>
        <v>-3.5811836115326234E-2</v>
      </c>
      <c r="AK279" s="621">
        <f t="shared" ref="AK279:AP279" si="390">AJ279</f>
        <v>-3.5811836115326234E-2</v>
      </c>
      <c r="AL279" s="621">
        <f t="shared" si="390"/>
        <v>-3.5811836115326234E-2</v>
      </c>
      <c r="AM279" s="621">
        <f t="shared" si="390"/>
        <v>-3.5811836115326234E-2</v>
      </c>
      <c r="AN279" s="621">
        <f t="shared" si="390"/>
        <v>-3.5811836115326234E-2</v>
      </c>
      <c r="AO279" s="621">
        <f t="shared" si="390"/>
        <v>-3.5811836115326234E-2</v>
      </c>
      <c r="AP279" s="621">
        <f t="shared" si="390"/>
        <v>-3.5811836115326234E-2</v>
      </c>
      <c r="AQ279" s="621">
        <f t="shared" ref="AQ279" si="391">AP279</f>
        <v>-3.5811836115326234E-2</v>
      </c>
      <c r="AR279" s="621">
        <f t="shared" ref="AR279:AS279" si="392">AQ279</f>
        <v>-3.5811836115326234E-2</v>
      </c>
      <c r="AS279" s="621">
        <f t="shared" si="392"/>
        <v>-3.5811836115326234E-2</v>
      </c>
      <c r="AT279" s="313"/>
      <c r="AU279" s="513"/>
    </row>
    <row r="280" spans="1:47" outlineLevel="1">
      <c r="A280" s="298"/>
      <c r="B280" s="8" t="s">
        <v>1283</v>
      </c>
      <c r="C280" s="18" t="s">
        <v>846</v>
      </c>
      <c r="D280" s="18"/>
      <c r="E280" s="18"/>
      <c r="F280" s="18"/>
      <c r="G280" s="18"/>
      <c r="H280" s="18"/>
      <c r="I280" s="18"/>
      <c r="J280" s="18"/>
      <c r="K280" s="7"/>
      <c r="L280" s="7"/>
      <c r="M280" s="7"/>
      <c r="N280" s="7"/>
      <c r="O280" s="7"/>
      <c r="P280" s="7"/>
      <c r="Q280" s="7"/>
      <c r="R280" s="7"/>
      <c r="S280" s="7"/>
      <c r="T280" s="7"/>
      <c r="U280" s="7"/>
      <c r="V280" s="7"/>
      <c r="W280" s="7"/>
      <c r="X280" s="7"/>
      <c r="Y280" s="7"/>
      <c r="Z280" s="7"/>
      <c r="AA280" s="7"/>
      <c r="AB280" s="7"/>
      <c r="AC280" s="334">
        <v>3519</v>
      </c>
      <c r="AD280" s="334">
        <f t="shared" ref="AD280:AP280" si="393">AVERAGE(AC278:AD278)</f>
        <v>3573</v>
      </c>
      <c r="AE280" s="334">
        <f t="shared" si="393"/>
        <v>3668</v>
      </c>
      <c r="AF280" s="334">
        <f t="shared" si="393"/>
        <v>3674.5</v>
      </c>
      <c r="AG280" s="334">
        <f t="shared" si="393"/>
        <v>3572</v>
      </c>
      <c r="AH280" s="334">
        <f t="shared" si="393"/>
        <v>3455.5</v>
      </c>
      <c r="AI280" s="334">
        <f t="shared" si="393"/>
        <v>3351</v>
      </c>
      <c r="AJ280" s="334">
        <f t="shared" si="393"/>
        <v>3236</v>
      </c>
      <c r="AK280" s="334">
        <f t="shared" si="393"/>
        <v>3120.1128983308045</v>
      </c>
      <c r="AL280" s="334">
        <f t="shared" si="393"/>
        <v>3008.3759265544659</v>
      </c>
      <c r="AM280" s="334">
        <f t="shared" si="393"/>
        <v>2900.6404608994044</v>
      </c>
      <c r="AN280" s="334">
        <f t="shared" si="393"/>
        <v>2796.7632000841904</v>
      </c>
      <c r="AO280" s="334">
        <f t="shared" si="393"/>
        <v>2696.6059747094005</v>
      </c>
      <c r="AP280" s="334">
        <f t="shared" si="393"/>
        <v>2600.0355634754978</v>
      </c>
      <c r="AQ280" s="334">
        <f t="shared" ref="AQ280" si="394">AVERAGE(AP278:AQ278)</f>
        <v>2506.9235159822929</v>
      </c>
      <c r="AR280" s="334">
        <f t="shared" ref="AR280:AS280" si="395">AVERAGE(AQ278:AR278)</f>
        <v>2417.1459818742778</v>
      </c>
      <c r="AS280" s="334">
        <f t="shared" si="395"/>
        <v>2330.5835461045772</v>
      </c>
      <c r="AT280" s="2"/>
      <c r="AU280" s="2"/>
    </row>
    <row r="281" spans="1:47" outlineLevel="1">
      <c r="A281" s="298"/>
      <c r="B281" s="8"/>
      <c r="C281" s="14"/>
      <c r="D281" s="18"/>
      <c r="E281" s="18"/>
      <c r="F281" s="18"/>
      <c r="G281" s="18"/>
      <c r="H281" s="18"/>
      <c r="I281" s="18"/>
      <c r="J281" s="18"/>
      <c r="K281" s="2"/>
      <c r="L281" s="2"/>
      <c r="M281" s="2"/>
      <c r="N281" s="2"/>
      <c r="O281" s="2"/>
      <c r="P281" s="2"/>
      <c r="Q281" s="2"/>
      <c r="R281" s="2"/>
      <c r="S281" s="2"/>
      <c r="T281" s="2"/>
      <c r="U281" s="3"/>
      <c r="V281" s="3"/>
      <c r="W281" s="2"/>
      <c r="X281" s="2"/>
      <c r="Y281" s="2"/>
      <c r="Z281" s="2"/>
      <c r="AA281" s="2"/>
      <c r="AB281" s="2"/>
      <c r="AC281" s="530"/>
      <c r="AD281" s="530"/>
      <c r="AE281" s="530"/>
      <c r="AF281" s="530"/>
      <c r="AG281" s="2"/>
      <c r="AH281" s="2"/>
      <c r="AI281" s="2"/>
      <c r="AJ281" s="2"/>
      <c r="AK281" s="2"/>
      <c r="AL281" s="2"/>
      <c r="AM281" s="2"/>
      <c r="AN281" s="2"/>
      <c r="AO281" s="2"/>
      <c r="AP281" s="2"/>
      <c r="AQ281" s="2"/>
      <c r="AR281" s="2"/>
      <c r="AS281" s="2"/>
      <c r="AT281" s="2"/>
      <c r="AU281" s="2"/>
    </row>
    <row r="282" spans="1:47" outlineLevel="1">
      <c r="A282" s="298"/>
      <c r="B282" s="394" t="s">
        <v>1263</v>
      </c>
      <c r="C282" s="14" t="s">
        <v>846</v>
      </c>
      <c r="D282" s="18"/>
      <c r="E282" s="18"/>
      <c r="F282" s="18"/>
      <c r="G282" s="18"/>
      <c r="H282" s="18"/>
      <c r="I282" s="18"/>
      <c r="J282" s="18"/>
      <c r="K282" s="2"/>
      <c r="L282" s="2"/>
      <c r="M282" s="2"/>
      <c r="N282" s="2"/>
      <c r="O282" s="2"/>
      <c r="P282" s="2"/>
      <c r="Q282" s="2"/>
      <c r="R282" s="2"/>
      <c r="S282" s="2"/>
      <c r="T282" s="2"/>
      <c r="U282" s="3"/>
      <c r="V282" s="3"/>
      <c r="W282" s="2"/>
      <c r="X282" s="2"/>
      <c r="Y282" s="2"/>
      <c r="Z282" s="2"/>
      <c r="AA282" s="2"/>
      <c r="AB282" s="2"/>
      <c r="AC282" s="530">
        <v>203</v>
      </c>
      <c r="AD282" s="530">
        <v>254</v>
      </c>
      <c r="AE282" s="530">
        <v>333</v>
      </c>
      <c r="AF282" s="530">
        <v>343</v>
      </c>
      <c r="AG282" s="530">
        <v>347</v>
      </c>
      <c r="AH282" s="530">
        <v>320</v>
      </c>
      <c r="AI282" s="530">
        <v>297</v>
      </c>
      <c r="AJ282" s="1209"/>
      <c r="AK282" s="2"/>
      <c r="AL282" s="2"/>
      <c r="AM282" s="2"/>
      <c r="AN282" s="2"/>
      <c r="AO282" s="2"/>
      <c r="AP282" s="2"/>
      <c r="AQ282" s="2"/>
      <c r="AR282" s="2"/>
      <c r="AS282" s="2"/>
      <c r="AT282" s="2"/>
      <c r="AU282" s="2"/>
    </row>
    <row r="283" spans="1:47" outlineLevel="1">
      <c r="A283" s="298"/>
      <c r="B283" s="8" t="s">
        <v>1276</v>
      </c>
      <c r="C283" s="14" t="s">
        <v>772</v>
      </c>
      <c r="D283" s="18"/>
      <c r="E283" s="18"/>
      <c r="F283" s="18"/>
      <c r="G283" s="18"/>
      <c r="H283" s="18"/>
      <c r="I283" s="18"/>
      <c r="J283" s="18"/>
      <c r="K283" s="2"/>
      <c r="L283" s="2"/>
      <c r="M283" s="2"/>
      <c r="N283" s="2"/>
      <c r="O283" s="2"/>
      <c r="P283" s="2"/>
      <c r="Q283" s="2"/>
      <c r="R283" s="2"/>
      <c r="S283" s="2"/>
      <c r="T283" s="2"/>
      <c r="U283" s="3"/>
      <c r="V283" s="3"/>
      <c r="W283" s="2"/>
      <c r="X283" s="2"/>
      <c r="Y283" s="2"/>
      <c r="Z283" s="2"/>
      <c r="AA283" s="2"/>
      <c r="AB283" s="2"/>
      <c r="AC283" s="531">
        <v>80.67</v>
      </c>
      <c r="AD283" s="531">
        <v>78.25</v>
      </c>
      <c r="AE283" s="531">
        <v>75.900000000000006</v>
      </c>
      <c r="AF283" s="531">
        <v>74.59</v>
      </c>
      <c r="AG283" s="531">
        <v>77.37</v>
      </c>
      <c r="AH283" s="531">
        <v>80.150000000000006</v>
      </c>
      <c r="AI283" s="531">
        <v>82.41</v>
      </c>
      <c r="AJ283" s="531">
        <v>87.08</v>
      </c>
      <c r="AK283" s="420">
        <f t="shared" ref="AK283:AP283" si="396">AJ283*(1+AK284)</f>
        <v>92.014639000121335</v>
      </c>
      <c r="AL283" s="420">
        <f t="shared" si="396"/>
        <v>97.228913531495763</v>
      </c>
      <c r="AM283" s="420">
        <f t="shared" si="396"/>
        <v>102.73866994688328</v>
      </c>
      <c r="AN283" s="420">
        <f t="shared" si="396"/>
        <v>108.56065257826229</v>
      </c>
      <c r="AO283" s="420">
        <f t="shared" si="396"/>
        <v>114.71255462340832</v>
      </c>
      <c r="AP283" s="420">
        <f t="shared" si="396"/>
        <v>121.21307191610722</v>
      </c>
      <c r="AQ283" s="420">
        <f t="shared" ref="AQ283" si="397">AP283*(1+AQ284)</f>
        <v>128.08195974341243</v>
      </c>
      <c r="AR283" s="420">
        <f t="shared" ref="AR283:AS283" si="398">AQ283*(1+AR284)</f>
        <v>135.34009288261564</v>
      </c>
      <c r="AS283" s="420">
        <f t="shared" si="398"/>
        <v>143.0095290403855</v>
      </c>
      <c r="AT283" s="2"/>
      <c r="AU283" s="2"/>
    </row>
    <row r="284" spans="1:47" outlineLevel="1">
      <c r="A284" s="310"/>
      <c r="B284" s="322" t="s">
        <v>1099</v>
      </c>
      <c r="C284" s="310" t="s">
        <v>733</v>
      </c>
      <c r="D284" s="310"/>
      <c r="E284" s="310"/>
      <c r="F284" s="310"/>
      <c r="G284" s="310"/>
      <c r="H284" s="310"/>
      <c r="I284" s="310"/>
      <c r="J284" s="310"/>
      <c r="K284" s="311"/>
      <c r="L284" s="311"/>
      <c r="M284" s="311"/>
      <c r="N284" s="311"/>
      <c r="O284" s="311"/>
      <c r="P284" s="311"/>
      <c r="Q284" s="311"/>
      <c r="R284" s="311"/>
      <c r="S284" s="311"/>
      <c r="T284" s="311"/>
      <c r="U284" s="311"/>
      <c r="V284" s="311"/>
      <c r="W284" s="311"/>
      <c r="X284" s="311"/>
      <c r="Y284" s="311"/>
      <c r="Z284" s="311"/>
      <c r="AA284" s="311"/>
      <c r="AB284" s="311"/>
      <c r="AC284" s="311" t="s">
        <v>1456</v>
      </c>
      <c r="AD284" s="311">
        <f t="shared" ref="AD284:AJ284" si="399">IFERROR(AD283/AC283-1, "")</f>
        <v>-2.9998760381802381E-2</v>
      </c>
      <c r="AE284" s="311">
        <f t="shared" si="399"/>
        <v>-3.0031948881789061E-2</v>
      </c>
      <c r="AF284" s="311">
        <f t="shared" si="399"/>
        <v>-1.7259552042160786E-2</v>
      </c>
      <c r="AG284" s="311">
        <f t="shared" si="399"/>
        <v>3.7270411583322227E-2</v>
      </c>
      <c r="AH284" s="311">
        <f t="shared" si="399"/>
        <v>3.5931239498513623E-2</v>
      </c>
      <c r="AI284" s="311">
        <f t="shared" si="399"/>
        <v>2.8197130380536395E-2</v>
      </c>
      <c r="AJ284" s="311">
        <f t="shared" si="399"/>
        <v>5.6667880111636926E-2</v>
      </c>
      <c r="AK284" s="621">
        <f t="shared" ref="AK284:AP284" si="400">AJ284</f>
        <v>5.6667880111636926E-2</v>
      </c>
      <c r="AL284" s="621">
        <f t="shared" si="400"/>
        <v>5.6667880111636926E-2</v>
      </c>
      <c r="AM284" s="621">
        <f t="shared" si="400"/>
        <v>5.6667880111636926E-2</v>
      </c>
      <c r="AN284" s="621">
        <f t="shared" si="400"/>
        <v>5.6667880111636926E-2</v>
      </c>
      <c r="AO284" s="621">
        <f t="shared" si="400"/>
        <v>5.6667880111636926E-2</v>
      </c>
      <c r="AP284" s="621">
        <f t="shared" si="400"/>
        <v>5.6667880111636926E-2</v>
      </c>
      <c r="AQ284" s="621">
        <f t="shared" ref="AQ284" si="401">AP284</f>
        <v>5.6667880111636926E-2</v>
      </c>
      <c r="AR284" s="621">
        <f t="shared" ref="AR284:AS284" si="402">AQ284</f>
        <v>5.6667880111636926E-2</v>
      </c>
      <c r="AS284" s="621">
        <f t="shared" si="402"/>
        <v>5.6667880111636926E-2</v>
      </c>
      <c r="AT284" s="313"/>
      <c r="AU284" s="513"/>
    </row>
    <row r="285" spans="1:47" outlineLevel="1">
      <c r="A285" s="338"/>
      <c r="B285" s="9" t="s">
        <v>1277</v>
      </c>
      <c r="C285" s="48" t="s">
        <v>732</v>
      </c>
      <c r="D285" s="48"/>
      <c r="E285" s="48"/>
      <c r="F285" s="48"/>
      <c r="G285" s="48"/>
      <c r="H285" s="48"/>
      <c r="I285" s="48"/>
      <c r="J285" s="48"/>
      <c r="K285" s="9"/>
      <c r="L285" s="9"/>
      <c r="M285" s="9"/>
      <c r="N285" s="9"/>
      <c r="O285" s="9"/>
      <c r="P285" s="9"/>
      <c r="Q285" s="9"/>
      <c r="R285" s="9"/>
      <c r="S285" s="9"/>
      <c r="T285" s="9"/>
      <c r="U285" s="418"/>
      <c r="V285" s="418"/>
      <c r="W285" s="9"/>
      <c r="X285" s="9"/>
      <c r="Y285" s="9"/>
      <c r="Z285" s="9"/>
      <c r="AA285" s="9"/>
      <c r="AB285" s="9"/>
      <c r="AC285" s="9">
        <v>3406.5327600000001</v>
      </c>
      <c r="AD285" s="9">
        <f t="shared" ref="AD285:AO285" si="403">+AD280*AD283*0.012</f>
        <v>3355.047</v>
      </c>
      <c r="AE285" s="9">
        <f t="shared" si="403"/>
        <v>3340.8144000000002</v>
      </c>
      <c r="AF285" s="9">
        <f>+AF280*AF283*0.012</f>
        <v>3288.9714600000002</v>
      </c>
      <c r="AG285" s="9">
        <f>+AG280*AG283*0.012</f>
        <v>3316.3876800000003</v>
      </c>
      <c r="AH285" s="9">
        <f>+AH280*AH283*0.012</f>
        <v>3323.4999000000003</v>
      </c>
      <c r="AI285" s="9">
        <f>+AI280*AI283*0.012</f>
        <v>3313.8709199999998</v>
      </c>
      <c r="AJ285" s="9">
        <f>+AJ280*AJ283*0.012</f>
        <v>3381.4905600000002</v>
      </c>
      <c r="AK285" s="9">
        <f t="shared" si="403"/>
        <v>3445.152743754375</v>
      </c>
      <c r="AL285" s="9">
        <f t="shared" si="403"/>
        <v>3510.013473998371</v>
      </c>
      <c r="AM285" s="9">
        <f t="shared" si="403"/>
        <v>3576.0953153630317</v>
      </c>
      <c r="AN285" s="9">
        <f t="shared" si="403"/>
        <v>3643.4212572961064</v>
      </c>
      <c r="AO285" s="9">
        <f t="shared" si="403"/>
        <v>3712.014722059936</v>
      </c>
      <c r="AP285" s="9">
        <f>+AP280*AP283*0.012</f>
        <v>3781.8995728799032</v>
      </c>
      <c r="AQ285" s="9">
        <f t="shared" ref="AQ285:AR285" si="404">+AQ280*AQ283*0.012</f>
        <v>3853.100122246296</v>
      </c>
      <c r="AR285" s="9">
        <f t="shared" si="404"/>
        <v>3925.6411403724715</v>
      </c>
      <c r="AS285" s="9">
        <f t="shared" ref="AS285" si="405">+AS280*AS283*0.012</f>
        <v>3999.5478638122459</v>
      </c>
      <c r="AT285" s="9"/>
      <c r="AU285" s="9"/>
    </row>
    <row r="286" spans="1:47" outlineLevel="1">
      <c r="A286" s="298"/>
      <c r="B286" s="8"/>
      <c r="C286" s="14"/>
      <c r="D286" s="18"/>
      <c r="E286" s="18"/>
      <c r="F286" s="18"/>
      <c r="G286" s="18"/>
      <c r="H286" s="18"/>
      <c r="I286" s="18"/>
      <c r="J286" s="18"/>
      <c r="K286" s="2"/>
      <c r="L286" s="2"/>
      <c r="M286" s="2"/>
      <c r="N286" s="2"/>
      <c r="O286" s="2"/>
      <c r="P286" s="2"/>
      <c r="Q286" s="2"/>
      <c r="R286" s="2"/>
      <c r="S286" s="2"/>
      <c r="T286" s="2"/>
      <c r="U286" s="3"/>
      <c r="V286" s="3"/>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row>
    <row r="287" spans="1:47" outlineLevel="1">
      <c r="A287" s="298"/>
      <c r="B287" s="8" t="s">
        <v>1264</v>
      </c>
      <c r="C287" s="14" t="s">
        <v>846</v>
      </c>
      <c r="D287" s="18"/>
      <c r="E287" s="18"/>
      <c r="F287" s="18"/>
      <c r="G287" s="18"/>
      <c r="H287" s="18"/>
      <c r="I287" s="18"/>
      <c r="J287" s="18"/>
      <c r="K287" s="2"/>
      <c r="L287" s="2"/>
      <c r="M287" s="2"/>
      <c r="N287" s="2"/>
      <c r="O287" s="2"/>
      <c r="P287" s="2"/>
      <c r="Q287" s="2"/>
      <c r="R287" s="2"/>
      <c r="S287" s="2"/>
      <c r="T287" s="2"/>
      <c r="U287" s="3"/>
      <c r="V287" s="3"/>
      <c r="W287" s="2"/>
      <c r="X287" s="2"/>
      <c r="Y287" s="2"/>
      <c r="Z287" s="2"/>
      <c r="AA287" s="2"/>
      <c r="AB287" s="2"/>
      <c r="AC287" s="530">
        <v>1494</v>
      </c>
      <c r="AD287" s="530">
        <v>1061</v>
      </c>
      <c r="AE287" s="530">
        <v>692</v>
      </c>
      <c r="AF287" s="530">
        <v>478</v>
      </c>
      <c r="AG287" s="530">
        <v>376</v>
      </c>
      <c r="AH287" s="530">
        <v>316</v>
      </c>
      <c r="AI287" s="530">
        <v>271</v>
      </c>
      <c r="AJ287" s="530">
        <v>229</v>
      </c>
      <c r="AK287" s="334">
        <f t="shared" ref="AK287:AP287" si="406">AJ287*(1+AK288)</f>
        <v>193.50922509225092</v>
      </c>
      <c r="AL287" s="334">
        <f t="shared" si="406"/>
        <v>163.51886548385778</v>
      </c>
      <c r="AM287" s="334">
        <f t="shared" si="406"/>
        <v>138.17645828709755</v>
      </c>
      <c r="AN287" s="334">
        <f t="shared" si="406"/>
        <v>116.76165663374664</v>
      </c>
      <c r="AO287" s="334">
        <f t="shared" si="406"/>
        <v>98.665754129623537</v>
      </c>
      <c r="AP287" s="334">
        <f t="shared" si="406"/>
        <v>83.374382640899597</v>
      </c>
      <c r="AQ287" s="334">
        <f t="shared" ref="AQ287" si="407">AP287*(1+AQ288)</f>
        <v>70.452891604302607</v>
      </c>
      <c r="AR287" s="334">
        <f t="shared" ref="AR287:AS287" si="408">AQ287*(1+AR288)</f>
        <v>59.533993274484487</v>
      </c>
      <c r="AS287" s="334">
        <f t="shared" si="408"/>
        <v>50.307322730099436</v>
      </c>
      <c r="AT287" s="2"/>
      <c r="AU287" s="2"/>
    </row>
    <row r="288" spans="1:47" outlineLevel="1">
      <c r="A288" s="310"/>
      <c r="B288" s="322" t="s">
        <v>1099</v>
      </c>
      <c r="C288" s="310" t="s">
        <v>733</v>
      </c>
      <c r="D288" s="310"/>
      <c r="E288" s="310"/>
      <c r="F288" s="310"/>
      <c r="G288" s="310"/>
      <c r="H288" s="310"/>
      <c r="I288" s="310"/>
      <c r="J288" s="310"/>
      <c r="K288" s="311"/>
      <c r="L288" s="311"/>
      <c r="M288" s="311"/>
      <c r="N288" s="311"/>
      <c r="O288" s="311"/>
      <c r="P288" s="311"/>
      <c r="Q288" s="311"/>
      <c r="R288" s="311"/>
      <c r="S288" s="311"/>
      <c r="T288" s="311"/>
      <c r="U288" s="311"/>
      <c r="V288" s="311"/>
      <c r="W288" s="311"/>
      <c r="X288" s="311"/>
      <c r="Y288" s="311"/>
      <c r="Z288" s="311"/>
      <c r="AA288" s="311"/>
      <c r="AB288" s="311"/>
      <c r="AC288" s="311" t="s">
        <v>1456</v>
      </c>
      <c r="AD288" s="311">
        <f t="shared" ref="AD288:AJ288" si="409">IFERROR(AD287/AC287-1, "")</f>
        <v>-0.28982597054886217</v>
      </c>
      <c r="AE288" s="311">
        <f t="shared" si="409"/>
        <v>-0.34778510838831289</v>
      </c>
      <c r="AF288" s="311">
        <f t="shared" si="409"/>
        <v>-0.30924855491329484</v>
      </c>
      <c r="AG288" s="311">
        <f t="shared" si="409"/>
        <v>-0.21338912133891208</v>
      </c>
      <c r="AH288" s="311">
        <f t="shared" si="409"/>
        <v>-0.15957446808510634</v>
      </c>
      <c r="AI288" s="311">
        <f t="shared" si="409"/>
        <v>-0.14240506329113922</v>
      </c>
      <c r="AJ288" s="311">
        <f t="shared" si="409"/>
        <v>-0.15498154981549817</v>
      </c>
      <c r="AK288" s="621">
        <f t="shared" ref="AK288:AP288" si="410">AJ288</f>
        <v>-0.15498154981549817</v>
      </c>
      <c r="AL288" s="621">
        <f t="shared" si="410"/>
        <v>-0.15498154981549817</v>
      </c>
      <c r="AM288" s="621">
        <f t="shared" si="410"/>
        <v>-0.15498154981549817</v>
      </c>
      <c r="AN288" s="621">
        <f t="shared" si="410"/>
        <v>-0.15498154981549817</v>
      </c>
      <c r="AO288" s="621">
        <f t="shared" si="410"/>
        <v>-0.15498154981549817</v>
      </c>
      <c r="AP288" s="621">
        <f t="shared" si="410"/>
        <v>-0.15498154981549817</v>
      </c>
      <c r="AQ288" s="621">
        <f t="shared" ref="AQ288" si="411">AP288</f>
        <v>-0.15498154981549817</v>
      </c>
      <c r="AR288" s="621">
        <f t="shared" ref="AR288:AS288" si="412">AQ288</f>
        <v>-0.15498154981549817</v>
      </c>
      <c r="AS288" s="621">
        <f t="shared" si="412"/>
        <v>-0.15498154981549817</v>
      </c>
      <c r="AT288" s="313"/>
      <c r="AU288" s="513"/>
    </row>
    <row r="289" spans="1:47" outlineLevel="1">
      <c r="A289" s="298"/>
      <c r="B289" s="8" t="s">
        <v>1284</v>
      </c>
      <c r="C289" s="18" t="s">
        <v>846</v>
      </c>
      <c r="D289" s="18"/>
      <c r="E289" s="18"/>
      <c r="F289" s="18"/>
      <c r="G289" s="18"/>
      <c r="H289" s="18"/>
      <c r="I289" s="18"/>
      <c r="J289" s="18"/>
      <c r="K289" s="7"/>
      <c r="L289" s="7"/>
      <c r="M289" s="7"/>
      <c r="N289" s="7"/>
      <c r="O289" s="7"/>
      <c r="P289" s="7"/>
      <c r="Q289" s="7"/>
      <c r="R289" s="7"/>
      <c r="S289" s="7"/>
      <c r="T289" s="7"/>
      <c r="U289" s="7"/>
      <c r="V289" s="7"/>
      <c r="W289" s="7"/>
      <c r="X289" s="7"/>
      <c r="Y289" s="7"/>
      <c r="Z289" s="7"/>
      <c r="AA289" s="7"/>
      <c r="AB289" s="7"/>
      <c r="AC289" s="334">
        <v>1494</v>
      </c>
      <c r="AD289" s="334">
        <f t="shared" ref="AD289:AP289" si="413">AVERAGE(AC287:AD287)</f>
        <v>1277.5</v>
      </c>
      <c r="AE289" s="334">
        <f t="shared" si="413"/>
        <v>876.5</v>
      </c>
      <c r="AF289" s="334">
        <f t="shared" si="413"/>
        <v>585</v>
      </c>
      <c r="AG289" s="334">
        <f t="shared" si="413"/>
        <v>427</v>
      </c>
      <c r="AH289" s="334">
        <f t="shared" si="413"/>
        <v>346</v>
      </c>
      <c r="AI289" s="334">
        <f t="shared" si="413"/>
        <v>293.5</v>
      </c>
      <c r="AJ289" s="334">
        <f t="shared" si="413"/>
        <v>250</v>
      </c>
      <c r="AK289" s="334">
        <f t="shared" si="413"/>
        <v>211.25461254612546</v>
      </c>
      <c r="AL289" s="334">
        <f t="shared" si="413"/>
        <v>178.51404528805435</v>
      </c>
      <c r="AM289" s="334">
        <f t="shared" si="413"/>
        <v>150.84766188547766</v>
      </c>
      <c r="AN289" s="334">
        <f t="shared" si="413"/>
        <v>127.46905746042209</v>
      </c>
      <c r="AO289" s="334">
        <f t="shared" si="413"/>
        <v>107.71370538168509</v>
      </c>
      <c r="AP289" s="334">
        <f t="shared" si="413"/>
        <v>91.020068385261567</v>
      </c>
      <c r="AQ289" s="334">
        <f t="shared" ref="AQ289" si="414">AVERAGE(AP287:AQ287)</f>
        <v>76.913637122601102</v>
      </c>
      <c r="AR289" s="334">
        <f t="shared" ref="AR289:AS289" si="415">AVERAGE(AQ287:AR287)</f>
        <v>64.993442439393547</v>
      </c>
      <c r="AS289" s="334">
        <f t="shared" si="415"/>
        <v>54.920658002291958</v>
      </c>
      <c r="AT289" s="2"/>
      <c r="AU289" s="2"/>
    </row>
    <row r="290" spans="1:47" outlineLevel="1">
      <c r="A290" s="298"/>
      <c r="B290" s="8"/>
      <c r="C290" s="18"/>
      <c r="D290" s="18"/>
      <c r="E290" s="18"/>
      <c r="F290" s="18"/>
      <c r="G290" s="18"/>
      <c r="H290" s="18"/>
      <c r="I290" s="18"/>
      <c r="J290" s="18"/>
      <c r="K290" s="7"/>
      <c r="L290" s="7"/>
      <c r="M290" s="7"/>
      <c r="N290" s="7"/>
      <c r="O290" s="7"/>
      <c r="P290" s="7"/>
      <c r="Q290" s="7"/>
      <c r="R290" s="7"/>
      <c r="S290" s="7"/>
      <c r="T290" s="7"/>
      <c r="U290" s="7"/>
      <c r="V290" s="7"/>
      <c r="W290" s="7"/>
      <c r="X290" s="7"/>
      <c r="Y290" s="7"/>
      <c r="Z290" s="7"/>
      <c r="AA290" s="7"/>
      <c r="AB290" s="7"/>
      <c r="AC290" s="334"/>
      <c r="AD290" s="334"/>
      <c r="AE290" s="334"/>
      <c r="AF290" s="334"/>
      <c r="AG290" s="334"/>
      <c r="AH290" s="334"/>
      <c r="AI290" s="334"/>
      <c r="AJ290" s="334"/>
      <c r="AK290" s="334"/>
      <c r="AL290" s="334"/>
      <c r="AM290" s="334"/>
      <c r="AN290" s="334"/>
      <c r="AO290" s="334"/>
      <c r="AP290" s="334"/>
      <c r="AQ290" s="334"/>
      <c r="AR290" s="334"/>
      <c r="AS290" s="334"/>
      <c r="AT290" s="2"/>
      <c r="AU290" s="2"/>
    </row>
    <row r="291" spans="1:47" outlineLevel="1">
      <c r="A291" s="298"/>
      <c r="B291" s="8" t="s">
        <v>1265</v>
      </c>
      <c r="C291" s="14" t="s">
        <v>772</v>
      </c>
      <c r="D291" s="18"/>
      <c r="E291" s="18"/>
      <c r="F291" s="18"/>
      <c r="G291" s="18"/>
      <c r="H291" s="18"/>
      <c r="I291" s="18"/>
      <c r="J291" s="18"/>
      <c r="K291" s="2"/>
      <c r="L291" s="2"/>
      <c r="M291" s="2"/>
      <c r="N291" s="2"/>
      <c r="O291" s="2"/>
      <c r="P291" s="2"/>
      <c r="Q291" s="2"/>
      <c r="R291" s="2"/>
      <c r="S291" s="2"/>
      <c r="T291" s="2"/>
      <c r="U291" s="3"/>
      <c r="V291" s="3"/>
      <c r="W291" s="2"/>
      <c r="X291" s="2"/>
      <c r="Y291" s="2"/>
      <c r="Z291" s="2"/>
      <c r="AA291" s="2"/>
      <c r="AB291" s="2"/>
      <c r="AC291" s="531">
        <v>51.26</v>
      </c>
      <c r="AD291" s="531">
        <v>51.64</v>
      </c>
      <c r="AE291" s="531">
        <v>50.25</v>
      </c>
      <c r="AF291" s="531">
        <v>40.200000000000003</v>
      </c>
      <c r="AG291" s="531">
        <v>34.75</v>
      </c>
      <c r="AH291" s="531">
        <v>37.17</v>
      </c>
      <c r="AI291" s="531">
        <v>35.1</v>
      </c>
      <c r="AJ291" s="420">
        <f t="shared" ref="AJ291:AP291" si="416">AI291*(1+AJ292)</f>
        <v>33.145278450363193</v>
      </c>
      <c r="AK291" s="420">
        <f t="shared" si="416"/>
        <v>31.299415485815121</v>
      </c>
      <c r="AL291" s="420">
        <f t="shared" si="416"/>
        <v>29.556348763844788</v>
      </c>
      <c r="AM291" s="420">
        <f t="shared" si="416"/>
        <v>27.910353554235996</v>
      </c>
      <c r="AN291" s="420">
        <f t="shared" si="416"/>
        <v>26.356023937414136</v>
      </c>
      <c r="AO291" s="420">
        <f t="shared" si="416"/>
        <v>24.888255049858383</v>
      </c>
      <c r="AP291" s="420">
        <f t="shared" si="416"/>
        <v>23.502226318268207</v>
      </c>
      <c r="AQ291" s="420">
        <f t="shared" ref="AQ291" si="417">AP291*(1+AQ292)</f>
        <v>22.193385627420341</v>
      </c>
      <c r="AR291" s="420">
        <f t="shared" ref="AR291:AS291" si="418">AQ291*(1+AR292)</f>
        <v>20.957434369718964</v>
      </c>
      <c r="AS291" s="420">
        <f t="shared" si="418"/>
        <v>19.790313327337518</v>
      </c>
      <c r="AT291" s="2"/>
      <c r="AU291" s="2"/>
    </row>
    <row r="292" spans="1:47" outlineLevel="1">
      <c r="A292" s="310"/>
      <c r="B292" s="322" t="s">
        <v>1099</v>
      </c>
      <c r="C292" s="310" t="s">
        <v>733</v>
      </c>
      <c r="D292" s="310"/>
      <c r="E292" s="310"/>
      <c r="F292" s="310"/>
      <c r="G292" s="310"/>
      <c r="H292" s="310"/>
      <c r="I292" s="310"/>
      <c r="J292" s="310"/>
      <c r="K292" s="311"/>
      <c r="L292" s="311"/>
      <c r="M292" s="311"/>
      <c r="N292" s="311"/>
      <c r="O292" s="311"/>
      <c r="P292" s="311"/>
      <c r="Q292" s="311"/>
      <c r="R292" s="311"/>
      <c r="S292" s="311"/>
      <c r="T292" s="311"/>
      <c r="U292" s="311"/>
      <c r="V292" s="311"/>
      <c r="W292" s="311"/>
      <c r="X292" s="311"/>
      <c r="Y292" s="311"/>
      <c r="Z292" s="311"/>
      <c r="AA292" s="311"/>
      <c r="AB292" s="311"/>
      <c r="AC292" s="311" t="s">
        <v>1456</v>
      </c>
      <c r="AD292" s="311">
        <f t="shared" ref="AD292:AI292" si="419">IFERROR(AD291/AC291-1, "")</f>
        <v>7.413187670698429E-3</v>
      </c>
      <c r="AE292" s="311">
        <f t="shared" si="419"/>
        <v>-2.691711851278078E-2</v>
      </c>
      <c r="AF292" s="311">
        <f t="shared" si="419"/>
        <v>-0.19999999999999996</v>
      </c>
      <c r="AG292" s="311">
        <f t="shared" si="419"/>
        <v>-0.13557213930348266</v>
      </c>
      <c r="AH292" s="311">
        <f t="shared" si="419"/>
        <v>6.9640287769784148E-2</v>
      </c>
      <c r="AI292" s="311">
        <f t="shared" si="419"/>
        <v>-5.5690072639225208E-2</v>
      </c>
      <c r="AJ292" s="621">
        <f t="shared" ref="AJ292:AP292" si="420">AI292</f>
        <v>-5.5690072639225208E-2</v>
      </c>
      <c r="AK292" s="621">
        <f t="shared" si="420"/>
        <v>-5.5690072639225208E-2</v>
      </c>
      <c r="AL292" s="621">
        <f t="shared" si="420"/>
        <v>-5.5690072639225208E-2</v>
      </c>
      <c r="AM292" s="621">
        <f t="shared" si="420"/>
        <v>-5.5690072639225208E-2</v>
      </c>
      <c r="AN292" s="621">
        <f t="shared" si="420"/>
        <v>-5.5690072639225208E-2</v>
      </c>
      <c r="AO292" s="621">
        <f t="shared" si="420"/>
        <v>-5.5690072639225208E-2</v>
      </c>
      <c r="AP292" s="621">
        <f t="shared" si="420"/>
        <v>-5.5690072639225208E-2</v>
      </c>
      <c r="AQ292" s="621">
        <f t="shared" ref="AQ292" si="421">AP292</f>
        <v>-5.5690072639225208E-2</v>
      </c>
      <c r="AR292" s="621">
        <f t="shared" ref="AR292:AS292" si="422">AQ292</f>
        <v>-5.5690072639225208E-2</v>
      </c>
      <c r="AS292" s="621">
        <f t="shared" si="422"/>
        <v>-5.5690072639225208E-2</v>
      </c>
      <c r="AT292" s="313"/>
      <c r="AU292" s="513"/>
    </row>
    <row r="293" spans="1:47" outlineLevel="1">
      <c r="A293" s="338"/>
      <c r="B293" s="9" t="s">
        <v>1278</v>
      </c>
      <c r="C293" s="48" t="s">
        <v>732</v>
      </c>
      <c r="D293" s="48"/>
      <c r="E293" s="48"/>
      <c r="F293" s="48"/>
      <c r="G293" s="48"/>
      <c r="H293" s="48"/>
      <c r="I293" s="48"/>
      <c r="J293" s="48"/>
      <c r="K293" s="9"/>
      <c r="L293" s="9"/>
      <c r="M293" s="9"/>
      <c r="N293" s="9"/>
      <c r="O293" s="9"/>
      <c r="P293" s="9"/>
      <c r="Q293" s="9"/>
      <c r="R293" s="9"/>
      <c r="S293" s="9"/>
      <c r="T293" s="9"/>
      <c r="U293" s="418"/>
      <c r="V293" s="418"/>
      <c r="W293" s="9"/>
      <c r="X293" s="9"/>
      <c r="Y293" s="9"/>
      <c r="Z293" s="9"/>
      <c r="AA293" s="9"/>
      <c r="AB293" s="9"/>
      <c r="AC293" s="305">
        <v>918.98928000000001</v>
      </c>
      <c r="AD293" s="305">
        <f t="shared" ref="AD293:AO293" si="423">+AD289*AD291*0.012</f>
        <v>791.64120000000014</v>
      </c>
      <c r="AE293" s="305">
        <f t="shared" si="423"/>
        <v>528.52949999999998</v>
      </c>
      <c r="AF293" s="305">
        <f>+AF289*AF291*0.012</f>
        <v>282.20400000000001</v>
      </c>
      <c r="AG293" s="305">
        <f>+AG289*AG291*0.012</f>
        <v>178.059</v>
      </c>
      <c r="AH293" s="305">
        <f>+AH289*AH291*0.012</f>
        <v>154.32983999999999</v>
      </c>
      <c r="AI293" s="305">
        <f>+AI289*AI291*0.012</f>
        <v>123.62220000000001</v>
      </c>
      <c r="AJ293" s="305">
        <f t="shared" si="423"/>
        <v>99.43583535108958</v>
      </c>
      <c r="AK293" s="305">
        <f t="shared" si="423"/>
        <v>79.345750696512866</v>
      </c>
      <c r="AL293" s="305">
        <f>+AL289*AL291*0.012</f>
        <v>63.314680581342209</v>
      </c>
      <c r="AM293" s="305">
        <f t="shared" si="423"/>
        <v>50.522538912642382</v>
      </c>
      <c r="AN293" s="305">
        <f t="shared" si="423"/>
        <v>40.31493035647803</v>
      </c>
      <c r="AO293" s="305">
        <f t="shared" si="423"/>
        <v>32.169674062856181</v>
      </c>
      <c r="AP293" s="305">
        <f>+AP289*AP291*0.012</f>
        <v>25.670090960335994</v>
      </c>
      <c r="AQ293" s="305">
        <f t="shared" ref="AQ293:AR293" si="424">+AQ289*AQ291*0.012</f>
        <v>20.483688104032307</v>
      </c>
      <c r="AR293" s="305">
        <f t="shared" si="424"/>
        <v>16.345149652628368</v>
      </c>
      <c r="AS293" s="305">
        <f t="shared" ref="AS293" si="425">+AS289*AS291*0.012</f>
        <v>13.042764360106855</v>
      </c>
      <c r="AT293" s="9"/>
      <c r="AU293" s="9"/>
    </row>
    <row r="294" spans="1:47" outlineLevel="1">
      <c r="A294" s="298"/>
      <c r="B294" s="8"/>
      <c r="C294" s="14"/>
      <c r="D294" s="18"/>
      <c r="E294" s="18"/>
      <c r="F294" s="18"/>
      <c r="G294" s="18"/>
      <c r="H294" s="18"/>
      <c r="I294" s="18"/>
      <c r="J294" s="18"/>
      <c r="K294" s="2"/>
      <c r="L294" s="2"/>
      <c r="M294" s="2"/>
      <c r="N294" s="2"/>
      <c r="O294" s="2"/>
      <c r="P294" s="2"/>
      <c r="Q294" s="2"/>
      <c r="R294" s="2"/>
      <c r="S294" s="2"/>
      <c r="T294" s="2"/>
      <c r="U294" s="3"/>
      <c r="V294" s="3"/>
      <c r="W294" s="2"/>
      <c r="X294" s="2"/>
      <c r="Y294" s="2"/>
      <c r="Z294" s="2"/>
      <c r="AA294" s="2"/>
      <c r="AB294" s="2"/>
      <c r="AC294" s="422"/>
      <c r="AD294" s="422"/>
      <c r="AE294" s="422"/>
      <c r="AF294" s="422"/>
      <c r="AG294" s="422"/>
      <c r="AH294" s="422"/>
      <c r="AI294" s="422"/>
      <c r="AJ294" s="422"/>
      <c r="AK294" s="422"/>
      <c r="AL294" s="422"/>
      <c r="AM294" s="422"/>
      <c r="AN294" s="422"/>
      <c r="AO294" s="422"/>
      <c r="AP294" s="422"/>
      <c r="AQ294" s="422"/>
      <c r="AR294" s="422"/>
      <c r="AS294" s="422"/>
      <c r="AT294" s="2"/>
      <c r="AU294" s="2"/>
    </row>
    <row r="295" spans="1:47" outlineLevel="1">
      <c r="A295" s="298"/>
      <c r="B295" s="8" t="s">
        <v>1279</v>
      </c>
      <c r="C295" s="14" t="s">
        <v>732</v>
      </c>
      <c r="D295" s="18"/>
      <c r="E295" s="18"/>
      <c r="F295" s="18"/>
      <c r="G295" s="18"/>
      <c r="H295" s="18"/>
      <c r="I295" s="18"/>
      <c r="J295" s="18"/>
      <c r="K295" s="2"/>
      <c r="L295" s="2"/>
      <c r="M295" s="2"/>
      <c r="N295" s="2"/>
      <c r="O295" s="2"/>
      <c r="P295" s="2"/>
      <c r="Q295" s="2"/>
      <c r="R295" s="2"/>
      <c r="S295" s="2"/>
      <c r="T295" s="2"/>
      <c r="U295" s="3"/>
      <c r="V295" s="3"/>
      <c r="W295" s="2"/>
      <c r="X295" s="2"/>
      <c r="Y295" s="2"/>
      <c r="Z295" s="2"/>
      <c r="AA295" s="2"/>
      <c r="AB295" s="2"/>
      <c r="AC295" s="426">
        <v>4325.5220399999998</v>
      </c>
      <c r="AD295" s="426">
        <f t="shared" ref="AD295:AO295" si="426">+AD285+AD293</f>
        <v>4146.6882000000005</v>
      </c>
      <c r="AE295" s="426">
        <f>+AE285+AE293</f>
        <v>3869.3439000000003</v>
      </c>
      <c r="AF295" s="426">
        <f t="shared" si="426"/>
        <v>3571.1754600000004</v>
      </c>
      <c r="AG295" s="426">
        <f>+AG285+AG293</f>
        <v>3494.4466800000005</v>
      </c>
      <c r="AH295" s="426">
        <f>+AH285+AH293</f>
        <v>3477.8297400000001</v>
      </c>
      <c r="AI295" s="426">
        <f>+AI285+AI293</f>
        <v>3437.4931199999996</v>
      </c>
      <c r="AJ295" s="426">
        <f>+AJ285+AJ293</f>
        <v>3480.9263953510899</v>
      </c>
      <c r="AK295" s="426">
        <f t="shared" si="426"/>
        <v>3524.4984944508878</v>
      </c>
      <c r="AL295" s="426">
        <f t="shared" si="426"/>
        <v>3573.3281545797131</v>
      </c>
      <c r="AM295" s="426">
        <f t="shared" si="426"/>
        <v>3626.6178542756738</v>
      </c>
      <c r="AN295" s="426">
        <f t="shared" si="426"/>
        <v>3683.7361876525842</v>
      </c>
      <c r="AO295" s="426">
        <f t="shared" si="426"/>
        <v>3744.1843961227924</v>
      </c>
      <c r="AP295" s="426">
        <f>+AP285+AP293</f>
        <v>3807.5696638402392</v>
      </c>
      <c r="AQ295" s="426">
        <f t="shared" ref="AQ295:AR295" si="427">+AQ285+AQ293</f>
        <v>3873.5838103503283</v>
      </c>
      <c r="AR295" s="426">
        <f t="shared" si="427"/>
        <v>3941.9862900250996</v>
      </c>
      <c r="AS295" s="426">
        <f t="shared" ref="AS295" si="428">+AS285+AS293</f>
        <v>4012.5906281723528</v>
      </c>
      <c r="AT295" s="2"/>
      <c r="AU295" s="2"/>
    </row>
    <row r="296" spans="1:47" outlineLevel="1">
      <c r="A296" s="298"/>
      <c r="B296" s="243" t="s">
        <v>1036</v>
      </c>
      <c r="C296" s="18" t="s">
        <v>732</v>
      </c>
      <c r="D296" s="18"/>
      <c r="E296" s="18"/>
      <c r="F296" s="18"/>
      <c r="G296" s="18"/>
      <c r="H296" s="18"/>
      <c r="I296" s="18"/>
      <c r="J296" s="18"/>
      <c r="K296" s="7"/>
      <c r="L296" s="7"/>
      <c r="M296" s="7"/>
      <c r="N296" s="7"/>
      <c r="O296" s="7"/>
      <c r="P296" s="7"/>
      <c r="Q296" s="7"/>
      <c r="R296" s="7"/>
      <c r="S296" s="7"/>
      <c r="T296" s="7"/>
      <c r="U296" s="7"/>
      <c r="V296" s="2"/>
      <c r="W296" s="7"/>
      <c r="X296" s="7"/>
      <c r="Y296" s="451">
        <v>258</v>
      </c>
      <c r="Z296" s="450">
        <v>132</v>
      </c>
      <c r="AA296" s="450">
        <v>204</v>
      </c>
      <c r="AB296" s="450">
        <v>161</v>
      </c>
      <c r="AC296" s="450">
        <v>186</v>
      </c>
      <c r="AD296" s="450">
        <v>171</v>
      </c>
      <c r="AE296" s="450">
        <v>159</v>
      </c>
      <c r="AF296" s="450">
        <v>159</v>
      </c>
      <c r="AG296" s="450">
        <v>159</v>
      </c>
      <c r="AH296" s="450">
        <v>159</v>
      </c>
      <c r="AI296" s="450">
        <v>159</v>
      </c>
      <c r="AJ296" s="450">
        <v>159</v>
      </c>
      <c r="AK296" s="450">
        <v>159</v>
      </c>
      <c r="AL296" s="450">
        <v>159</v>
      </c>
      <c r="AM296" s="450">
        <v>159</v>
      </c>
      <c r="AN296" s="450">
        <v>159</v>
      </c>
      <c r="AO296" s="450">
        <v>159</v>
      </c>
      <c r="AP296" s="450">
        <v>159</v>
      </c>
      <c r="AQ296" s="450">
        <v>159</v>
      </c>
      <c r="AR296" s="450">
        <v>159</v>
      </c>
      <c r="AS296" s="450">
        <v>0</v>
      </c>
      <c r="AT296" s="2"/>
      <c r="AU296" s="2"/>
    </row>
    <row r="297" spans="1:47" outlineLevel="1">
      <c r="A297" s="298"/>
      <c r="B297" s="8" t="s">
        <v>1286</v>
      </c>
      <c r="C297" s="14" t="s">
        <v>732</v>
      </c>
      <c r="D297" s="18"/>
      <c r="E297" s="18"/>
      <c r="F297" s="18"/>
      <c r="G297" s="18"/>
      <c r="H297" s="18"/>
      <c r="I297" s="18"/>
      <c r="J297" s="18"/>
      <c r="K297" s="2"/>
      <c r="L297" s="2"/>
      <c r="M297" s="2"/>
      <c r="N297" s="2"/>
      <c r="O297" s="2"/>
      <c r="P297" s="2"/>
      <c r="Q297" s="2"/>
      <c r="R297" s="2"/>
      <c r="S297" s="2"/>
      <c r="T297" s="2"/>
      <c r="U297" s="3"/>
      <c r="V297" s="3"/>
      <c r="W297" s="2"/>
      <c r="X297" s="2"/>
      <c r="Y297" s="2"/>
      <c r="Z297" s="2"/>
      <c r="AA297" s="2"/>
      <c r="AB297" s="2"/>
      <c r="AC297" s="304">
        <v>109.47796000000017</v>
      </c>
      <c r="AD297" s="304">
        <f t="shared" ref="AD297:AI297" si="429">+AD254-AD296-AD295</f>
        <v>72.311799999999494</v>
      </c>
      <c r="AE297" s="304">
        <f t="shared" si="429"/>
        <v>19.656099999999697</v>
      </c>
      <c r="AF297" s="304">
        <f t="shared" si="429"/>
        <v>54.824539999999615</v>
      </c>
      <c r="AG297" s="304">
        <f t="shared" si="429"/>
        <v>-34.44668000000047</v>
      </c>
      <c r="AH297" s="304">
        <f t="shared" si="429"/>
        <v>-10.829740000000129</v>
      </c>
      <c r="AI297" s="304">
        <f t="shared" si="429"/>
        <v>-142.49311999999964</v>
      </c>
      <c r="AJ297" s="304">
        <f t="shared" ref="AJ297" si="430">+AJ254-AJ296-AJ295</f>
        <v>-194.92639535108992</v>
      </c>
      <c r="AK297" s="622">
        <f t="shared" ref="AK297:AP297" si="431">AJ297</f>
        <v>-194.92639535108992</v>
      </c>
      <c r="AL297" s="622">
        <f t="shared" si="431"/>
        <v>-194.92639535108992</v>
      </c>
      <c r="AM297" s="622">
        <f t="shared" si="431"/>
        <v>-194.92639535108992</v>
      </c>
      <c r="AN297" s="622">
        <f t="shared" si="431"/>
        <v>-194.92639535108992</v>
      </c>
      <c r="AO297" s="622">
        <f t="shared" si="431"/>
        <v>-194.92639535108992</v>
      </c>
      <c r="AP297" s="622">
        <f t="shared" si="431"/>
        <v>-194.92639535108992</v>
      </c>
      <c r="AQ297" s="622">
        <f t="shared" ref="AQ297" si="432">AP297</f>
        <v>-194.92639535108992</v>
      </c>
      <c r="AR297" s="622">
        <f t="shared" ref="AR297:AS297" si="433">AQ297</f>
        <v>-194.92639535108992</v>
      </c>
      <c r="AS297" s="622">
        <f t="shared" si="433"/>
        <v>-194.92639535108992</v>
      </c>
      <c r="AT297" s="2"/>
      <c r="AU297" s="2"/>
    </row>
    <row r="298" spans="1:47" outlineLevel="1">
      <c r="A298" s="338"/>
      <c r="B298" s="9" t="s">
        <v>1282</v>
      </c>
      <c r="C298" s="48" t="s">
        <v>732</v>
      </c>
      <c r="D298" s="48"/>
      <c r="E298" s="48"/>
      <c r="F298" s="48"/>
      <c r="G298" s="48"/>
      <c r="H298" s="48"/>
      <c r="I298" s="48"/>
      <c r="J298" s="48"/>
      <c r="K298" s="9"/>
      <c r="L298" s="9"/>
      <c r="M298" s="9"/>
      <c r="N298" s="9"/>
      <c r="O298" s="9"/>
      <c r="P298" s="9"/>
      <c r="Q298" s="9"/>
      <c r="R298" s="9"/>
      <c r="S298" s="9"/>
      <c r="T298" s="9"/>
      <c r="U298" s="418"/>
      <c r="V298" s="418"/>
      <c r="W298" s="9"/>
      <c r="X298" s="9"/>
      <c r="Y298" s="9"/>
      <c r="Z298" s="9"/>
      <c r="AA298" s="9"/>
      <c r="AB298" s="9"/>
      <c r="AC298" s="305">
        <v>4621</v>
      </c>
      <c r="AD298" s="305">
        <f t="shared" ref="AD298:AO298" si="434">SUM(AD295:AD297)</f>
        <v>4390</v>
      </c>
      <c r="AE298" s="305">
        <f t="shared" si="434"/>
        <v>4048</v>
      </c>
      <c r="AF298" s="305">
        <f t="shared" si="434"/>
        <v>3785</v>
      </c>
      <c r="AG298" s="305">
        <f>SUM(AG295:AG297)</f>
        <v>3619</v>
      </c>
      <c r="AH298" s="305">
        <f>SUM(AH295:AH297)</f>
        <v>3626</v>
      </c>
      <c r="AI298" s="305">
        <f>SUM(AI295:AI297)</f>
        <v>3454</v>
      </c>
      <c r="AJ298" s="305">
        <f>SUM(AJ295:AJ297)</f>
        <v>3445</v>
      </c>
      <c r="AK298" s="305">
        <f t="shared" si="434"/>
        <v>3488.5720990997979</v>
      </c>
      <c r="AL298" s="305">
        <f t="shared" si="434"/>
        <v>3537.4017592286232</v>
      </c>
      <c r="AM298" s="305">
        <f t="shared" si="434"/>
        <v>3590.6914589245839</v>
      </c>
      <c r="AN298" s="305">
        <f t="shared" si="434"/>
        <v>3647.8097923014943</v>
      </c>
      <c r="AO298" s="305">
        <f t="shared" si="434"/>
        <v>3708.2580007717024</v>
      </c>
      <c r="AP298" s="305">
        <f>SUM(AP295:AP297)</f>
        <v>3771.6432684891492</v>
      </c>
      <c r="AQ298" s="305">
        <f t="shared" ref="AQ298:AR298" si="435">SUM(AQ295:AQ297)</f>
        <v>3837.6574149992384</v>
      </c>
      <c r="AR298" s="305">
        <f t="shared" si="435"/>
        <v>3906.0598946740092</v>
      </c>
      <c r="AS298" s="305">
        <f t="shared" ref="AS298" si="436">SUM(AS295:AS297)</f>
        <v>3817.6642328212629</v>
      </c>
      <c r="AT298" s="9"/>
      <c r="AU298" s="9"/>
    </row>
    <row r="299" spans="1:47" outlineLevel="1">
      <c r="A299" s="298"/>
      <c r="B299" s="8"/>
      <c r="C299" s="14"/>
      <c r="D299" s="18"/>
      <c r="E299" s="18"/>
      <c r="F299" s="18"/>
      <c r="G299" s="18"/>
      <c r="H299" s="18"/>
      <c r="I299" s="18"/>
      <c r="J299" s="18"/>
      <c r="K299" s="2"/>
      <c r="L299" s="2"/>
      <c r="M299" s="2"/>
      <c r="N299" s="2"/>
      <c r="O299" s="2"/>
      <c r="P299" s="2"/>
      <c r="Q299" s="2"/>
      <c r="R299" s="2"/>
      <c r="S299" s="2"/>
      <c r="T299" s="2"/>
      <c r="U299" s="3"/>
      <c r="V299" s="3"/>
      <c r="W299" s="2"/>
      <c r="X299" s="2"/>
      <c r="Y299" s="2"/>
      <c r="Z299" s="2"/>
      <c r="AA299" s="2"/>
      <c r="AB299" s="2"/>
      <c r="AC299" s="304"/>
      <c r="AD299" s="426"/>
      <c r="AE299" s="426"/>
      <c r="AF299" s="422"/>
      <c r="AG299" s="422"/>
      <c r="AH299" s="422"/>
      <c r="AI299" s="422"/>
      <c r="AJ299" s="422"/>
      <c r="AK299" s="422"/>
      <c r="AL299" s="422"/>
      <c r="AM299" s="422"/>
      <c r="AN299" s="422"/>
      <c r="AO299" s="422"/>
      <c r="AP299" s="422"/>
      <c r="AQ299" s="422"/>
      <c r="AR299" s="422"/>
      <c r="AS299" s="422"/>
      <c r="AT299" s="2"/>
      <c r="AU299" s="2"/>
    </row>
    <row r="300" spans="1:47" ht="15.6" outlineLevel="1">
      <c r="A300" s="298"/>
      <c r="B300" s="237" t="s">
        <v>1253</v>
      </c>
      <c r="C300" s="238"/>
      <c r="D300" s="239"/>
      <c r="E300" s="239"/>
      <c r="F300" s="239"/>
      <c r="G300" s="239"/>
      <c r="H300" s="239"/>
      <c r="I300" s="239"/>
      <c r="J300" s="239"/>
      <c r="K300" s="239"/>
      <c r="L300" s="239"/>
      <c r="M300" s="239"/>
      <c r="N300" s="239"/>
      <c r="O300" s="239"/>
      <c r="P300" s="239"/>
      <c r="Q300" s="239"/>
      <c r="R300" s="239"/>
      <c r="S300" s="239"/>
      <c r="T300" s="239"/>
      <c r="U300" s="239"/>
      <c r="V300" s="239"/>
      <c r="W300" s="239"/>
      <c r="X300" s="239"/>
      <c r="Y300" s="239"/>
      <c r="Z300" s="239"/>
      <c r="AA300" s="239"/>
      <c r="AB300" s="239"/>
      <c r="AC300" s="239"/>
      <c r="AD300" s="239"/>
      <c r="AE300" s="239"/>
      <c r="AF300" s="239"/>
      <c r="AG300" s="239"/>
      <c r="AH300" s="239"/>
      <c r="AI300" s="239"/>
      <c r="AJ300" s="239"/>
      <c r="AK300" s="239"/>
      <c r="AL300" s="239"/>
      <c r="AM300" s="239"/>
      <c r="AN300" s="239"/>
      <c r="AO300" s="270"/>
      <c r="AP300" s="240"/>
      <c r="AQ300" s="240"/>
      <c r="AR300" s="240"/>
      <c r="AS300" s="240"/>
      <c r="AT300" s="2"/>
      <c r="AU300" s="2"/>
    </row>
    <row r="301" spans="1:47" outlineLevel="1">
      <c r="A301" s="298"/>
      <c r="B301" s="9"/>
      <c r="C301" s="18"/>
      <c r="D301" s="18"/>
      <c r="E301" s="18"/>
      <c r="F301" s="18"/>
      <c r="G301" s="18"/>
      <c r="H301" s="18"/>
      <c r="I301" s="18"/>
      <c r="J301" s="18"/>
      <c r="K301" s="7"/>
      <c r="L301" s="7"/>
      <c r="M301" s="7"/>
      <c r="N301" s="7"/>
      <c r="O301" s="7"/>
      <c r="P301" s="7"/>
      <c r="Q301" s="7"/>
      <c r="R301" s="7"/>
      <c r="S301" s="7"/>
      <c r="T301" s="7"/>
      <c r="U301" s="7"/>
      <c r="V301" s="7"/>
      <c r="W301" s="7"/>
      <c r="X301" s="7"/>
      <c r="Y301" s="7"/>
      <c r="Z301" s="7"/>
      <c r="AA301" s="7"/>
      <c r="AB301" s="7"/>
      <c r="AC301" s="7"/>
      <c r="AD301" s="7"/>
      <c r="AE301" s="7"/>
      <c r="AF301" s="7"/>
      <c r="AG301" s="7"/>
      <c r="AH301" s="7"/>
      <c r="AI301" s="7"/>
      <c r="AJ301" s="7"/>
      <c r="AK301" s="7"/>
      <c r="AL301" s="7"/>
      <c r="AM301" s="7"/>
      <c r="AN301" s="7"/>
      <c r="AO301" s="7"/>
      <c r="AP301" s="7"/>
      <c r="AQ301" s="7"/>
      <c r="AR301" s="7"/>
      <c r="AS301" s="7"/>
      <c r="AT301" s="2"/>
      <c r="AU301" s="2"/>
    </row>
    <row r="302" spans="1:47" outlineLevel="1">
      <c r="A302" s="410"/>
      <c r="B302" s="8" t="s">
        <v>1291</v>
      </c>
      <c r="C302" s="14" t="s">
        <v>846</v>
      </c>
      <c r="D302" s="14"/>
      <c r="E302" s="14"/>
      <c r="F302" s="14"/>
      <c r="G302" s="14"/>
      <c r="H302" s="14"/>
      <c r="I302" s="14"/>
      <c r="J302" s="14"/>
      <c r="K302" s="11"/>
      <c r="L302" s="11"/>
      <c r="M302" s="11"/>
      <c r="N302" s="11"/>
      <c r="O302" s="11"/>
      <c r="P302" s="11"/>
      <c r="Q302" s="11"/>
      <c r="R302" s="11"/>
      <c r="S302" s="532">
        <v>450</v>
      </c>
      <c r="T302" s="532">
        <v>450</v>
      </c>
      <c r="U302" s="532">
        <v>504</v>
      </c>
      <c r="V302" s="532">
        <v>508</v>
      </c>
      <c r="W302" s="532">
        <v>501</v>
      </c>
      <c r="X302" s="532">
        <v>500</v>
      </c>
      <c r="Y302" s="533">
        <v>526</v>
      </c>
      <c r="Z302" s="533">
        <v>623</v>
      </c>
      <c r="AA302" s="533">
        <v>751</v>
      </c>
      <c r="AB302" s="533">
        <v>808</v>
      </c>
      <c r="AC302" s="533">
        <v>790</v>
      </c>
      <c r="AD302" s="533">
        <v>730</v>
      </c>
      <c r="AE302" s="533">
        <v>632</v>
      </c>
      <c r="AF302" s="7"/>
      <c r="AG302" s="2"/>
      <c r="AH302" s="2"/>
      <c r="AI302" s="2"/>
      <c r="AJ302" s="2"/>
      <c r="AK302" s="2"/>
      <c r="AL302" s="2"/>
      <c r="AM302" s="2"/>
      <c r="AN302" s="2"/>
      <c r="AO302" s="2"/>
      <c r="AP302" s="2"/>
      <c r="AQ302" s="2"/>
      <c r="AR302" s="2"/>
      <c r="AS302" s="2"/>
      <c r="AT302" s="8"/>
      <c r="AU302" s="8"/>
    </row>
    <row r="303" spans="1:47" outlineLevel="1">
      <c r="A303" s="308"/>
      <c r="B303" s="325" t="s">
        <v>1099</v>
      </c>
      <c r="C303" s="310" t="s">
        <v>733</v>
      </c>
      <c r="D303" s="310"/>
      <c r="E303" s="310"/>
      <c r="F303" s="310"/>
      <c r="G303" s="310"/>
      <c r="H303" s="310"/>
      <c r="I303" s="310"/>
      <c r="J303" s="310"/>
      <c r="K303" s="311"/>
      <c r="L303" s="311"/>
      <c r="M303" s="311"/>
      <c r="N303" s="311"/>
      <c r="O303" s="311"/>
      <c r="P303" s="311"/>
      <c r="Q303" s="311"/>
      <c r="R303" s="311"/>
      <c r="S303" s="311"/>
      <c r="T303" s="311">
        <f t="shared" ref="T303:AE303" si="437">T302/S302-1</f>
        <v>0</v>
      </c>
      <c r="U303" s="311">
        <f t="shared" si="437"/>
        <v>0.12000000000000011</v>
      </c>
      <c r="V303" s="311">
        <f t="shared" si="437"/>
        <v>7.9365079365079083E-3</v>
      </c>
      <c r="W303" s="311">
        <f t="shared" si="437"/>
        <v>-1.3779527559055094E-2</v>
      </c>
      <c r="X303" s="311">
        <f t="shared" si="437"/>
        <v>-1.9960079840319889E-3</v>
      </c>
      <c r="Y303" s="311">
        <f t="shared" si="437"/>
        <v>5.2000000000000046E-2</v>
      </c>
      <c r="Z303" s="311">
        <f t="shared" si="437"/>
        <v>0.18441064638783278</v>
      </c>
      <c r="AA303" s="311">
        <f t="shared" si="437"/>
        <v>0.2054574638844302</v>
      </c>
      <c r="AB303" s="311">
        <v>7.5898801597869436E-2</v>
      </c>
      <c r="AC303" s="311">
        <v>-2.2277227722772297E-2</v>
      </c>
      <c r="AD303" s="311">
        <f t="shared" si="437"/>
        <v>-7.5949367088607556E-2</v>
      </c>
      <c r="AE303" s="311">
        <f t="shared" si="437"/>
        <v>-0.13424657534246576</v>
      </c>
      <c r="AF303" s="7"/>
      <c r="AG303" s="2"/>
      <c r="AH303" s="2"/>
      <c r="AI303" s="2"/>
      <c r="AJ303" s="2"/>
      <c r="AK303" s="2"/>
      <c r="AL303" s="2"/>
      <c r="AM303" s="2"/>
      <c r="AN303" s="2"/>
      <c r="AO303" s="2"/>
      <c r="AP303" s="2"/>
      <c r="AQ303" s="2"/>
      <c r="AR303" s="2"/>
      <c r="AS303" s="2"/>
      <c r="AT303" s="312"/>
      <c r="AU303" s="514"/>
    </row>
    <row r="304" spans="1:47" outlineLevel="1">
      <c r="A304" s="298"/>
      <c r="B304" s="8" t="s">
        <v>1292</v>
      </c>
      <c r="C304" s="18" t="s">
        <v>846</v>
      </c>
      <c r="D304" s="18"/>
      <c r="E304" s="18"/>
      <c r="F304" s="18"/>
      <c r="G304" s="18"/>
      <c r="H304" s="18"/>
      <c r="I304" s="18"/>
      <c r="J304" s="18"/>
      <c r="K304" s="7"/>
      <c r="L304" s="7"/>
      <c r="M304" s="7"/>
      <c r="N304" s="7"/>
      <c r="O304" s="7"/>
      <c r="P304" s="7"/>
      <c r="Q304" s="7"/>
      <c r="R304" s="7"/>
      <c r="S304" s="31">
        <f t="shared" ref="S304:AE304" si="438">AVERAGE(R302:S302)</f>
        <v>450</v>
      </c>
      <c r="T304" s="31">
        <f t="shared" si="438"/>
        <v>450</v>
      </c>
      <c r="U304" s="31">
        <f t="shared" si="438"/>
        <v>477</v>
      </c>
      <c r="V304" s="31">
        <f t="shared" si="438"/>
        <v>506</v>
      </c>
      <c r="W304" s="31">
        <f t="shared" si="438"/>
        <v>504.5</v>
      </c>
      <c r="X304" s="31">
        <f t="shared" si="438"/>
        <v>500.5</v>
      </c>
      <c r="Y304" s="31">
        <f t="shared" si="438"/>
        <v>513</v>
      </c>
      <c r="Z304" s="31">
        <f t="shared" si="438"/>
        <v>574.5</v>
      </c>
      <c r="AA304" s="31">
        <f t="shared" si="438"/>
        <v>687</v>
      </c>
      <c r="AB304" s="31">
        <v>779.5</v>
      </c>
      <c r="AC304" s="31">
        <v>799</v>
      </c>
      <c r="AD304" s="31">
        <f t="shared" si="438"/>
        <v>760</v>
      </c>
      <c r="AE304" s="31">
        <f t="shared" si="438"/>
        <v>681</v>
      </c>
      <c r="AF304" s="7"/>
      <c r="AG304" s="2"/>
      <c r="AH304" s="2"/>
      <c r="AI304" s="2"/>
      <c r="AJ304" s="2"/>
      <c r="AK304" s="2"/>
      <c r="AL304" s="2"/>
      <c r="AM304" s="2"/>
      <c r="AN304" s="2"/>
      <c r="AO304" s="2"/>
      <c r="AP304" s="2"/>
      <c r="AQ304" s="2"/>
      <c r="AR304" s="2"/>
      <c r="AS304" s="2"/>
      <c r="AT304" s="2"/>
      <c r="AU304" s="514"/>
    </row>
    <row r="305" spans="1:47" outlineLevel="1">
      <c r="A305" s="298"/>
      <c r="B305" s="8" t="s">
        <v>1015</v>
      </c>
      <c r="C305" s="18" t="s">
        <v>772</v>
      </c>
      <c r="D305" s="18"/>
      <c r="E305" s="18"/>
      <c r="F305" s="18"/>
      <c r="G305" s="18"/>
      <c r="H305" s="18"/>
      <c r="I305" s="18"/>
      <c r="J305" s="18"/>
      <c r="K305" s="7"/>
      <c r="L305" s="7"/>
      <c r="M305" s="7"/>
      <c r="N305" s="7"/>
      <c r="O305" s="7"/>
      <c r="P305" s="7"/>
      <c r="Q305" s="7"/>
      <c r="R305" s="7"/>
      <c r="S305" s="42">
        <f t="shared" ref="S305:AE305" si="439">S307/(S304*12)*100</f>
        <v>7.8888888888888884</v>
      </c>
      <c r="T305" s="42">
        <f t="shared" si="439"/>
        <v>8.648148148148147</v>
      </c>
      <c r="U305" s="42">
        <f t="shared" si="439"/>
        <v>8.9273235499650596</v>
      </c>
      <c r="V305" s="42">
        <f t="shared" si="439"/>
        <v>9.6179183135704882</v>
      </c>
      <c r="W305" s="42">
        <f t="shared" si="439"/>
        <v>9.9438387842748597</v>
      </c>
      <c r="X305" s="42">
        <f t="shared" si="439"/>
        <v>9.9067599067599073</v>
      </c>
      <c r="Y305" s="42">
        <f t="shared" si="439"/>
        <v>9.8278102664067575</v>
      </c>
      <c r="Z305" s="42">
        <f t="shared" si="439"/>
        <v>9.6025529445894993</v>
      </c>
      <c r="AA305" s="42">
        <f t="shared" si="439"/>
        <v>8.721494420184376</v>
      </c>
      <c r="AB305" s="42">
        <v>8.306606799230277</v>
      </c>
      <c r="AC305" s="42">
        <v>7.3216520650813521</v>
      </c>
      <c r="AD305" s="42">
        <f t="shared" si="439"/>
        <v>7.2807017543859658</v>
      </c>
      <c r="AE305" s="42">
        <f t="shared" si="439"/>
        <v>7.6480665687714149</v>
      </c>
      <c r="AF305" s="7"/>
      <c r="AG305" s="2"/>
      <c r="AH305" s="2"/>
      <c r="AI305" s="2"/>
      <c r="AJ305" s="2"/>
      <c r="AK305" s="2"/>
      <c r="AL305" s="2"/>
      <c r="AM305" s="2"/>
      <c r="AN305" s="2"/>
      <c r="AO305" s="2"/>
      <c r="AP305" s="2"/>
      <c r="AQ305" s="2"/>
      <c r="AR305" s="2"/>
      <c r="AS305" s="2"/>
      <c r="AT305" s="2"/>
      <c r="AU305" s="514"/>
    </row>
    <row r="306" spans="1:47" outlineLevel="1">
      <c r="A306" s="308"/>
      <c r="B306" s="325" t="s">
        <v>1099</v>
      </c>
      <c r="C306" s="310" t="s">
        <v>733</v>
      </c>
      <c r="D306" s="310"/>
      <c r="E306" s="310"/>
      <c r="F306" s="310"/>
      <c r="G306" s="310"/>
      <c r="H306" s="310"/>
      <c r="I306" s="310"/>
      <c r="J306" s="310"/>
      <c r="K306" s="311"/>
      <c r="L306" s="311"/>
      <c r="M306" s="311"/>
      <c r="N306" s="311"/>
      <c r="O306" s="311"/>
      <c r="P306" s="311"/>
      <c r="Q306" s="311"/>
      <c r="R306" s="311"/>
      <c r="S306" s="311"/>
      <c r="T306" s="311">
        <f t="shared" ref="T306:AE306" si="440">T305/S305-1</f>
        <v>9.6244131455399007E-2</v>
      </c>
      <c r="U306" s="311">
        <f t="shared" si="440"/>
        <v>3.2281523978829219E-2</v>
      </c>
      <c r="V306" s="311">
        <f t="shared" si="440"/>
        <v>7.7357425183512296E-2</v>
      </c>
      <c r="W306" s="311">
        <f t="shared" si="440"/>
        <v>3.3886799625290065E-2</v>
      </c>
      <c r="X306" s="311">
        <f t="shared" si="440"/>
        <v>-3.7288293102246683E-3</v>
      </c>
      <c r="Y306" s="311">
        <f t="shared" si="440"/>
        <v>-7.9692695791767632E-3</v>
      </c>
      <c r="Z306" s="311">
        <f t="shared" si="440"/>
        <v>-2.2920397902595702E-2</v>
      </c>
      <c r="AA306" s="311">
        <f t="shared" si="440"/>
        <v>-9.1752529716751074E-2</v>
      </c>
      <c r="AB306" s="311">
        <v>-4.7570703020105576E-2</v>
      </c>
      <c r="AC306" s="311">
        <v>-0.11857485950101732</v>
      </c>
      <c r="AD306" s="311">
        <f t="shared" si="440"/>
        <v>-5.5930424351476882E-3</v>
      </c>
      <c r="AE306" s="311">
        <f t="shared" si="440"/>
        <v>5.0457335951736404E-2</v>
      </c>
      <c r="AF306" s="2"/>
      <c r="AG306" s="2"/>
      <c r="AH306" s="2"/>
      <c r="AI306" s="2"/>
      <c r="AJ306" s="2"/>
      <c r="AK306" s="2"/>
      <c r="AL306" s="2"/>
      <c r="AM306" s="2"/>
      <c r="AN306" s="2"/>
      <c r="AO306" s="2"/>
      <c r="AP306" s="2"/>
      <c r="AQ306" s="2"/>
      <c r="AR306" s="2"/>
      <c r="AS306" s="2"/>
      <c r="AT306" s="312"/>
      <c r="AU306" s="514"/>
    </row>
    <row r="307" spans="1:47" outlineLevel="1">
      <c r="A307" s="298"/>
      <c r="B307" s="408" t="s">
        <v>1290</v>
      </c>
      <c r="C307" s="21" t="s">
        <v>732</v>
      </c>
      <c r="D307" s="21"/>
      <c r="E307" s="21"/>
      <c r="F307" s="21"/>
      <c r="G307" s="21"/>
      <c r="H307" s="21"/>
      <c r="I307" s="21"/>
      <c r="J307" s="21"/>
      <c r="K307" s="34"/>
      <c r="L307" s="34"/>
      <c r="M307" s="34"/>
      <c r="N307" s="534">
        <v>23</v>
      </c>
      <c r="O307" s="534">
        <v>154</v>
      </c>
      <c r="P307" s="534">
        <v>263</v>
      </c>
      <c r="Q307" s="534">
        <v>320</v>
      </c>
      <c r="R307" s="534">
        <v>344</v>
      </c>
      <c r="S307" s="534">
        <v>426</v>
      </c>
      <c r="T307" s="534">
        <v>467</v>
      </c>
      <c r="U307" s="534">
        <v>511</v>
      </c>
      <c r="V307" s="534">
        <v>584</v>
      </c>
      <c r="W307" s="535">
        <v>602</v>
      </c>
      <c r="X307" s="535">
        <v>595</v>
      </c>
      <c r="Y307" s="535">
        <v>605</v>
      </c>
      <c r="Z307" s="535">
        <v>662</v>
      </c>
      <c r="AA307" s="535">
        <v>719</v>
      </c>
      <c r="AB307" s="535">
        <v>777</v>
      </c>
      <c r="AC307" s="535">
        <v>702</v>
      </c>
      <c r="AD307" s="535">
        <v>664</v>
      </c>
      <c r="AE307" s="535">
        <v>625</v>
      </c>
      <c r="AF307" s="2"/>
      <c r="AG307" s="2"/>
      <c r="AH307" s="2"/>
      <c r="AI307" s="2"/>
      <c r="AJ307" s="2"/>
      <c r="AK307" s="2"/>
      <c r="AL307" s="2"/>
      <c r="AM307" s="2"/>
      <c r="AN307" s="2"/>
      <c r="AO307" s="2"/>
      <c r="AP307" s="2"/>
      <c r="AQ307" s="2"/>
      <c r="AR307" s="2"/>
      <c r="AS307" s="2"/>
      <c r="AT307" s="2"/>
      <c r="AU307" s="514"/>
    </row>
    <row r="308" spans="1:47" outlineLevel="1">
      <c r="A308" s="308"/>
      <c r="B308" s="325" t="s">
        <v>1099</v>
      </c>
      <c r="C308" s="310" t="s">
        <v>733</v>
      </c>
      <c r="D308" s="310"/>
      <c r="E308" s="310"/>
      <c r="F308" s="310"/>
      <c r="G308" s="310"/>
      <c r="H308" s="310"/>
      <c r="I308" s="310"/>
      <c r="J308" s="310"/>
      <c r="K308" s="311"/>
      <c r="L308" s="311"/>
      <c r="M308" s="311"/>
      <c r="N308" s="311"/>
      <c r="O308" s="311">
        <f t="shared" ref="O308:AE308" si="441">O307/N307-1</f>
        <v>5.6956521739130439</v>
      </c>
      <c r="P308" s="311">
        <f t="shared" si="441"/>
        <v>0.70779220779220786</v>
      </c>
      <c r="Q308" s="311">
        <f t="shared" si="441"/>
        <v>0.21673003802281365</v>
      </c>
      <c r="R308" s="311">
        <f t="shared" si="441"/>
        <v>7.4999999999999956E-2</v>
      </c>
      <c r="S308" s="311">
        <f t="shared" si="441"/>
        <v>0.23837209302325579</v>
      </c>
      <c r="T308" s="311">
        <f t="shared" si="441"/>
        <v>9.6244131455399007E-2</v>
      </c>
      <c r="U308" s="311">
        <f t="shared" si="441"/>
        <v>9.4218415417558932E-2</v>
      </c>
      <c r="V308" s="311">
        <f t="shared" si="441"/>
        <v>0.14285714285714279</v>
      </c>
      <c r="W308" s="311">
        <f t="shared" si="441"/>
        <v>3.082191780821919E-2</v>
      </c>
      <c r="X308" s="311">
        <f t="shared" si="441"/>
        <v>-1.1627906976744207E-2</v>
      </c>
      <c r="Y308" s="311">
        <f t="shared" si="441"/>
        <v>1.6806722689075571E-2</v>
      </c>
      <c r="Z308" s="311">
        <f t="shared" si="441"/>
        <v>9.4214876033057893E-2</v>
      </c>
      <c r="AA308" s="311">
        <f t="shared" si="441"/>
        <v>8.6102719033232633E-2</v>
      </c>
      <c r="AB308" s="311">
        <v>8.0667593880389354E-2</v>
      </c>
      <c r="AC308" s="311">
        <v>-9.6525096525096554E-2</v>
      </c>
      <c r="AD308" s="311">
        <f t="shared" si="441"/>
        <v>-5.4131054131054124E-2</v>
      </c>
      <c r="AE308" s="311">
        <f t="shared" si="441"/>
        <v>-5.8734939759036098E-2</v>
      </c>
      <c r="AF308" s="2"/>
      <c r="AG308" s="2"/>
      <c r="AH308" s="2"/>
      <c r="AI308" s="2"/>
      <c r="AJ308" s="2"/>
      <c r="AK308" s="2"/>
      <c r="AL308" s="2"/>
      <c r="AM308" s="2"/>
      <c r="AN308" s="2"/>
      <c r="AO308" s="2"/>
      <c r="AP308" s="2"/>
      <c r="AQ308" s="2"/>
      <c r="AR308" s="2"/>
      <c r="AS308" s="2"/>
      <c r="AT308" s="312"/>
      <c r="AU308" s="514"/>
    </row>
    <row r="309" spans="1:47" outlineLevel="1">
      <c r="A309" s="298"/>
      <c r="B309" s="2"/>
      <c r="C309" s="18"/>
      <c r="D309" s="18"/>
      <c r="E309" s="18"/>
      <c r="F309" s="18"/>
      <c r="G309" s="18"/>
      <c r="H309" s="18"/>
      <c r="I309" s="18"/>
      <c r="J309" s="18"/>
      <c r="K309" s="7"/>
      <c r="L309" s="7"/>
      <c r="M309" s="7"/>
      <c r="N309" s="7"/>
      <c r="O309" s="7"/>
      <c r="P309" s="7"/>
      <c r="Q309" s="7"/>
      <c r="R309" s="7"/>
      <c r="S309" s="7"/>
      <c r="T309" s="7"/>
      <c r="U309" s="7"/>
      <c r="V309" s="7"/>
      <c r="W309" s="7"/>
      <c r="X309" s="7"/>
      <c r="Y309" s="7"/>
      <c r="Z309" s="7"/>
      <c r="AA309" s="7"/>
      <c r="AB309" s="7"/>
      <c r="AC309" s="7"/>
      <c r="AD309" s="7"/>
      <c r="AE309" s="7"/>
      <c r="AF309" s="2"/>
      <c r="AG309" s="2"/>
      <c r="AH309" s="2"/>
      <c r="AI309" s="2"/>
      <c r="AJ309" s="2"/>
      <c r="AK309" s="2"/>
      <c r="AL309" s="2"/>
      <c r="AM309" s="2"/>
      <c r="AN309" s="2"/>
      <c r="AO309" s="2"/>
      <c r="AP309" s="2"/>
      <c r="AQ309" s="2"/>
      <c r="AR309" s="2"/>
      <c r="AS309" s="2"/>
      <c r="AT309" s="2"/>
      <c r="AU309" s="514"/>
    </row>
    <row r="310" spans="1:47" outlineLevel="1">
      <c r="A310" s="410"/>
      <c r="B310" s="8" t="s">
        <v>1293</v>
      </c>
      <c r="C310" s="14" t="s">
        <v>846</v>
      </c>
      <c r="D310" s="14"/>
      <c r="E310" s="14"/>
      <c r="F310" s="14"/>
      <c r="G310" s="14"/>
      <c r="H310" s="14"/>
      <c r="I310" s="14"/>
      <c r="J310" s="14"/>
      <c r="K310" s="11"/>
      <c r="L310" s="11"/>
      <c r="M310" s="11"/>
      <c r="N310" s="11"/>
      <c r="O310" s="11"/>
      <c r="P310" s="11"/>
      <c r="Q310" s="11"/>
      <c r="R310" s="11"/>
      <c r="S310" s="11"/>
      <c r="T310" s="11"/>
      <c r="U310" s="532">
        <v>100</v>
      </c>
      <c r="V310" s="532">
        <v>150</v>
      </c>
      <c r="W310" s="536">
        <v>388</v>
      </c>
      <c r="X310" s="536">
        <v>563</v>
      </c>
      <c r="Y310" s="536">
        <v>761</v>
      </c>
      <c r="Z310" s="47">
        <f t="shared" ref="Z310:AE310" si="442">Y310*(1+Z311)</f>
        <v>799.05000000000007</v>
      </c>
      <c r="AA310" s="47">
        <f t="shared" si="442"/>
        <v>759.09750000000008</v>
      </c>
      <c r="AB310" s="47">
        <v>721.14262500000007</v>
      </c>
      <c r="AC310" s="47">
        <v>685.08549375000007</v>
      </c>
      <c r="AD310" s="47">
        <f t="shared" si="442"/>
        <v>650.83121906250005</v>
      </c>
      <c r="AE310" s="47">
        <f t="shared" si="442"/>
        <v>618.28965810937507</v>
      </c>
      <c r="AF310" s="2"/>
      <c r="AG310" s="2"/>
      <c r="AH310" s="2"/>
      <c r="AI310" s="2"/>
      <c r="AJ310" s="2"/>
      <c r="AK310" s="2"/>
      <c r="AL310" s="2"/>
      <c r="AM310" s="2"/>
      <c r="AN310" s="2"/>
      <c r="AO310" s="2"/>
      <c r="AP310" s="2"/>
      <c r="AQ310" s="2"/>
      <c r="AR310" s="2"/>
      <c r="AS310" s="2"/>
      <c r="AT310" s="8"/>
      <c r="AU310" s="514"/>
    </row>
    <row r="311" spans="1:47" outlineLevel="1">
      <c r="A311" s="308"/>
      <c r="B311" s="325" t="s">
        <v>1099</v>
      </c>
      <c r="C311" s="310" t="s">
        <v>733</v>
      </c>
      <c r="D311" s="310"/>
      <c r="E311" s="310"/>
      <c r="F311" s="310"/>
      <c r="G311" s="310"/>
      <c r="H311" s="310"/>
      <c r="I311" s="310"/>
      <c r="J311" s="310"/>
      <c r="K311" s="311"/>
      <c r="L311" s="311"/>
      <c r="M311" s="311"/>
      <c r="N311" s="311"/>
      <c r="O311" s="311"/>
      <c r="P311" s="311"/>
      <c r="Q311" s="311"/>
      <c r="R311" s="311"/>
      <c r="S311" s="311"/>
      <c r="T311" s="311"/>
      <c r="U311" s="311"/>
      <c r="V311" s="311">
        <f>V310/U310-1</f>
        <v>0.5</v>
      </c>
      <c r="W311" s="311">
        <f>W310/V310-1</f>
        <v>1.5866666666666664</v>
      </c>
      <c r="X311" s="311">
        <f>X310/W310-1</f>
        <v>0.4510309278350515</v>
      </c>
      <c r="Y311" s="311">
        <f>Y310/X310-1</f>
        <v>0.35168738898756668</v>
      </c>
      <c r="Z311" s="528">
        <v>0.05</v>
      </c>
      <c r="AA311" s="621">
        <v>-0.05</v>
      </c>
      <c r="AB311" s="621">
        <v>-0.05</v>
      </c>
      <c r="AC311" s="621">
        <v>-0.05</v>
      </c>
      <c r="AD311" s="621">
        <f>AC311</f>
        <v>-0.05</v>
      </c>
      <c r="AE311" s="621">
        <f>AD311</f>
        <v>-0.05</v>
      </c>
      <c r="AF311" s="2"/>
      <c r="AG311" s="2"/>
      <c r="AH311" s="2"/>
      <c r="AI311" s="2"/>
      <c r="AJ311" s="2"/>
      <c r="AK311" s="2"/>
      <c r="AL311" s="2"/>
      <c r="AM311" s="2"/>
      <c r="AN311" s="2"/>
      <c r="AO311" s="2"/>
      <c r="AP311" s="2"/>
      <c r="AQ311" s="2"/>
      <c r="AR311" s="2"/>
      <c r="AS311" s="2"/>
      <c r="AT311" s="312"/>
      <c r="AU311" s="514"/>
    </row>
    <row r="312" spans="1:47" outlineLevel="1">
      <c r="A312" s="298"/>
      <c r="B312" s="8" t="s">
        <v>1294</v>
      </c>
      <c r="C312" s="18" t="s">
        <v>846</v>
      </c>
      <c r="D312" s="18"/>
      <c r="E312" s="18"/>
      <c r="F312" s="18"/>
      <c r="G312" s="18"/>
      <c r="H312" s="18"/>
      <c r="I312" s="18"/>
      <c r="J312" s="18"/>
      <c r="K312" s="7"/>
      <c r="L312" s="7"/>
      <c r="M312" s="7"/>
      <c r="N312" s="7"/>
      <c r="O312" s="7"/>
      <c r="P312" s="7"/>
      <c r="Q312" s="7"/>
      <c r="R312" s="7"/>
      <c r="S312" s="7"/>
      <c r="T312" s="7"/>
      <c r="U312" s="7"/>
      <c r="V312" s="7">
        <f t="shared" ref="V312:AE312" si="443">AVERAGE(U310:V310)</f>
        <v>125</v>
      </c>
      <c r="W312" s="7">
        <f t="shared" si="443"/>
        <v>269</v>
      </c>
      <c r="X312" s="31">
        <f t="shared" si="443"/>
        <v>475.5</v>
      </c>
      <c r="Y312" s="31">
        <f t="shared" si="443"/>
        <v>662</v>
      </c>
      <c r="Z312" s="31">
        <f t="shared" si="443"/>
        <v>780.02500000000009</v>
      </c>
      <c r="AA312" s="31">
        <f t="shared" si="443"/>
        <v>779.07375000000002</v>
      </c>
      <c r="AB312" s="31">
        <v>740.12006250000013</v>
      </c>
      <c r="AC312" s="31">
        <v>703.11405937500012</v>
      </c>
      <c r="AD312" s="31">
        <f t="shared" si="443"/>
        <v>667.95835640625</v>
      </c>
      <c r="AE312" s="31">
        <f t="shared" si="443"/>
        <v>634.56043858593762</v>
      </c>
      <c r="AF312" s="2"/>
      <c r="AG312" s="2"/>
      <c r="AH312" s="2"/>
      <c r="AI312" s="2"/>
      <c r="AJ312" s="2"/>
      <c r="AK312" s="2"/>
      <c r="AL312" s="2"/>
      <c r="AM312" s="2"/>
      <c r="AN312" s="2"/>
      <c r="AO312" s="2"/>
      <c r="AP312" s="2"/>
      <c r="AQ312" s="2"/>
      <c r="AR312" s="2"/>
      <c r="AS312" s="2"/>
      <c r="AT312" s="2"/>
      <c r="AU312" s="514"/>
    </row>
    <row r="313" spans="1:47" outlineLevel="1">
      <c r="A313" s="298"/>
      <c r="B313" s="8" t="s">
        <v>1295</v>
      </c>
      <c r="C313" s="18" t="s">
        <v>772</v>
      </c>
      <c r="D313" s="18"/>
      <c r="E313" s="18"/>
      <c r="F313" s="18"/>
      <c r="G313" s="18"/>
      <c r="H313" s="18"/>
      <c r="I313" s="18"/>
      <c r="J313" s="18"/>
      <c r="K313" s="7"/>
      <c r="L313" s="7"/>
      <c r="M313" s="7"/>
      <c r="N313" s="7"/>
      <c r="O313" s="7"/>
      <c r="P313" s="7"/>
      <c r="Q313" s="7"/>
      <c r="R313" s="7"/>
      <c r="S313" s="7"/>
      <c r="T313" s="7"/>
      <c r="U313" s="7"/>
      <c r="V313" s="42">
        <f t="shared" ref="V313:AE313" si="444">V315/(12*V312)*100</f>
        <v>2.666666666666667</v>
      </c>
      <c r="W313" s="42">
        <f t="shared" si="444"/>
        <v>1.3630731102850062</v>
      </c>
      <c r="X313" s="42">
        <f t="shared" si="444"/>
        <v>0.80616894497020675</v>
      </c>
      <c r="Y313" s="42">
        <f t="shared" si="444"/>
        <v>0.86858006042296076</v>
      </c>
      <c r="Z313" s="28">
        <f t="shared" si="444"/>
        <v>0.76920611518861559</v>
      </c>
      <c r="AA313" s="28">
        <f t="shared" si="444"/>
        <v>0.80223470499423188</v>
      </c>
      <c r="AB313" s="28">
        <v>0.84445758420445449</v>
      </c>
      <c r="AC313" s="28">
        <v>0.73482624871124458</v>
      </c>
      <c r="AD313" s="28">
        <f t="shared" si="444"/>
        <v>0.61131555495502532</v>
      </c>
      <c r="AE313" s="28">
        <f t="shared" si="444"/>
        <v>0.68288740832784778</v>
      </c>
      <c r="AF313" s="2"/>
      <c r="AG313" s="2"/>
      <c r="AH313" s="2"/>
      <c r="AI313" s="2"/>
      <c r="AJ313" s="2"/>
      <c r="AK313" s="2"/>
      <c r="AL313" s="2"/>
      <c r="AM313" s="2"/>
      <c r="AN313" s="2"/>
      <c r="AO313" s="2"/>
      <c r="AP313" s="2"/>
      <c r="AQ313" s="2"/>
      <c r="AR313" s="2"/>
      <c r="AS313" s="2"/>
      <c r="AT313" s="2"/>
      <c r="AU313" s="514"/>
    </row>
    <row r="314" spans="1:47" outlineLevel="1">
      <c r="A314" s="308"/>
      <c r="B314" s="325" t="s">
        <v>1099</v>
      </c>
      <c r="C314" s="310" t="s">
        <v>733</v>
      </c>
      <c r="D314" s="310"/>
      <c r="E314" s="310"/>
      <c r="F314" s="310"/>
      <c r="G314" s="310"/>
      <c r="H314" s="310"/>
      <c r="I314" s="310"/>
      <c r="J314" s="310"/>
      <c r="K314" s="311"/>
      <c r="L314" s="311"/>
      <c r="M314" s="311"/>
      <c r="N314" s="311"/>
      <c r="O314" s="311"/>
      <c r="P314" s="311"/>
      <c r="Q314" s="311"/>
      <c r="R314" s="311"/>
      <c r="S314" s="311"/>
      <c r="T314" s="311"/>
      <c r="U314" s="311"/>
      <c r="V314" s="311"/>
      <c r="W314" s="311">
        <f t="shared" ref="W314:AE314" si="445">W313/V313-1</f>
        <v>-0.48884758364312275</v>
      </c>
      <c r="X314" s="311">
        <f t="shared" si="445"/>
        <v>-0.40856514673549382</v>
      </c>
      <c r="Y314" s="311">
        <f t="shared" si="445"/>
        <v>7.7416918429003223E-2</v>
      </c>
      <c r="Z314" s="311">
        <f t="shared" si="445"/>
        <v>-0.11440965520893309</v>
      </c>
      <c r="AA314" s="311">
        <f t="shared" si="445"/>
        <v>4.2938542938543156E-2</v>
      </c>
      <c r="AB314" s="311">
        <v>5.2631578947368363E-2</v>
      </c>
      <c r="AC314" s="311">
        <v>-0.12982456140350884</v>
      </c>
      <c r="AD314" s="311">
        <f t="shared" si="445"/>
        <v>-0.16808149405772477</v>
      </c>
      <c r="AE314" s="311">
        <f t="shared" si="445"/>
        <v>0.11707841031149302</v>
      </c>
      <c r="AF314" s="2"/>
      <c r="AG314" s="2"/>
      <c r="AH314" s="2"/>
      <c r="AI314" s="2"/>
      <c r="AJ314" s="2"/>
      <c r="AK314" s="2"/>
      <c r="AL314" s="2"/>
      <c r="AM314" s="2"/>
      <c r="AN314" s="2"/>
      <c r="AO314" s="2"/>
      <c r="AP314" s="2"/>
      <c r="AQ314" s="2"/>
      <c r="AR314" s="2"/>
      <c r="AS314" s="2"/>
      <c r="AT314" s="312"/>
      <c r="AU314" s="514"/>
    </row>
    <row r="315" spans="1:47" outlineLevel="1">
      <c r="A315" s="298"/>
      <c r="B315" s="408" t="s">
        <v>1296</v>
      </c>
      <c r="C315" s="21" t="s">
        <v>732</v>
      </c>
      <c r="D315" s="21"/>
      <c r="E315" s="21"/>
      <c r="F315" s="21"/>
      <c r="G315" s="21"/>
      <c r="H315" s="21"/>
      <c r="I315" s="21"/>
      <c r="J315" s="21"/>
      <c r="K315" s="34"/>
      <c r="L315" s="34"/>
      <c r="M315" s="34"/>
      <c r="N315" s="34"/>
      <c r="O315" s="34"/>
      <c r="P315" s="34"/>
      <c r="Q315" s="34"/>
      <c r="R315" s="34"/>
      <c r="S315" s="34"/>
      <c r="T315" s="534">
        <v>0</v>
      </c>
      <c r="U315" s="534">
        <v>1</v>
      </c>
      <c r="V315" s="534">
        <v>40</v>
      </c>
      <c r="W315" s="535">
        <v>44</v>
      </c>
      <c r="X315" s="535">
        <v>46</v>
      </c>
      <c r="Y315" s="535">
        <v>69</v>
      </c>
      <c r="Z315" s="535">
        <v>72</v>
      </c>
      <c r="AA315" s="535">
        <v>75</v>
      </c>
      <c r="AB315" s="535">
        <v>75</v>
      </c>
      <c r="AC315" s="535">
        <v>62</v>
      </c>
      <c r="AD315" s="535">
        <v>49</v>
      </c>
      <c r="AE315" s="535">
        <v>52</v>
      </c>
      <c r="AF315" s="2"/>
      <c r="AG315" s="2"/>
      <c r="AH315" s="2"/>
      <c r="AI315" s="2"/>
      <c r="AJ315" s="2"/>
      <c r="AK315" s="2"/>
      <c r="AL315" s="2"/>
      <c r="AM315" s="2"/>
      <c r="AN315" s="2"/>
      <c r="AO315" s="2"/>
      <c r="AP315" s="2"/>
      <c r="AQ315" s="2"/>
      <c r="AR315" s="2"/>
      <c r="AS315" s="2"/>
      <c r="AT315" s="2"/>
      <c r="AU315" s="515"/>
    </row>
    <row r="316" spans="1:47" outlineLevel="1">
      <c r="A316" s="308"/>
      <c r="B316" s="325" t="s">
        <v>1099</v>
      </c>
      <c r="C316" s="310" t="s">
        <v>733</v>
      </c>
      <c r="D316" s="310"/>
      <c r="E316" s="310"/>
      <c r="F316" s="310"/>
      <c r="G316" s="310"/>
      <c r="H316" s="310"/>
      <c r="I316" s="310"/>
      <c r="J316" s="310"/>
      <c r="K316" s="311"/>
      <c r="L316" s="311"/>
      <c r="M316" s="311"/>
      <c r="N316" s="311"/>
      <c r="O316" s="311"/>
      <c r="P316" s="311"/>
      <c r="Q316" s="311"/>
      <c r="R316" s="311"/>
      <c r="S316" s="311"/>
      <c r="T316" s="311"/>
      <c r="U316" s="311"/>
      <c r="V316" s="311">
        <f t="shared" ref="V316:AE316" si="446">V315/U315-1</f>
        <v>39</v>
      </c>
      <c r="W316" s="311">
        <f t="shared" si="446"/>
        <v>0.10000000000000009</v>
      </c>
      <c r="X316" s="311">
        <f t="shared" si="446"/>
        <v>4.5454545454545414E-2</v>
      </c>
      <c r="Y316" s="311">
        <f t="shared" si="446"/>
        <v>0.5</v>
      </c>
      <c r="Z316" s="311">
        <f t="shared" si="446"/>
        <v>4.3478260869565188E-2</v>
      </c>
      <c r="AA316" s="311">
        <f t="shared" si="446"/>
        <v>4.1666666666666741E-2</v>
      </c>
      <c r="AB316" s="311">
        <v>0</v>
      </c>
      <c r="AC316" s="311">
        <v>-0.17333333333333334</v>
      </c>
      <c r="AD316" s="311">
        <f t="shared" si="446"/>
        <v>-0.20967741935483875</v>
      </c>
      <c r="AE316" s="311">
        <f t="shared" si="446"/>
        <v>6.1224489795918435E-2</v>
      </c>
      <c r="AF316" s="2"/>
      <c r="AG316" s="2"/>
      <c r="AH316" s="2"/>
      <c r="AI316" s="2"/>
      <c r="AJ316" s="2"/>
      <c r="AK316" s="2"/>
      <c r="AL316" s="2"/>
      <c r="AM316" s="2"/>
      <c r="AN316" s="2"/>
      <c r="AO316" s="2"/>
      <c r="AP316" s="2"/>
      <c r="AQ316" s="2"/>
      <c r="AR316" s="2"/>
      <c r="AS316" s="2"/>
      <c r="AT316" s="312"/>
      <c r="AU316" s="514"/>
    </row>
    <row r="317" spans="1:47" outlineLevel="1">
      <c r="A317" s="308"/>
      <c r="B317" s="325"/>
      <c r="C317" s="310"/>
      <c r="D317" s="310"/>
      <c r="E317" s="310"/>
      <c r="F317" s="310"/>
      <c r="G317" s="310"/>
      <c r="H317" s="310"/>
      <c r="I317" s="310"/>
      <c r="J317" s="310"/>
      <c r="K317" s="311"/>
      <c r="L317" s="311"/>
      <c r="M317" s="311"/>
      <c r="N317" s="311"/>
      <c r="O317" s="311"/>
      <c r="P317" s="311"/>
      <c r="Q317" s="311"/>
      <c r="R317" s="311"/>
      <c r="S317" s="311"/>
      <c r="T317" s="311"/>
      <c r="U317" s="311"/>
      <c r="V317" s="311"/>
      <c r="W317" s="311"/>
      <c r="X317" s="311"/>
      <c r="Y317" s="311"/>
      <c r="Z317" s="311"/>
      <c r="AA317" s="311"/>
      <c r="AB317" s="311"/>
      <c r="AC317" s="311"/>
      <c r="AD317" s="311"/>
      <c r="AE317" s="311"/>
      <c r="AF317" s="2"/>
      <c r="AG317" s="2"/>
      <c r="AH317" s="311"/>
      <c r="AI317" s="311"/>
      <c r="AJ317" s="311"/>
      <c r="AK317" s="311"/>
      <c r="AL317" s="311"/>
      <c r="AM317" s="311"/>
      <c r="AN317" s="311"/>
      <c r="AO317" s="311"/>
      <c r="AP317" s="311"/>
      <c r="AQ317" s="311"/>
      <c r="AR317" s="311"/>
      <c r="AS317" s="311"/>
      <c r="AT317" s="312"/>
      <c r="AU317" s="514"/>
    </row>
    <row r="318" spans="1:47" outlineLevel="1">
      <c r="A318" s="298"/>
      <c r="B318" s="336" t="s">
        <v>1300</v>
      </c>
      <c r="C318" s="14" t="s">
        <v>732</v>
      </c>
      <c r="D318" s="18"/>
      <c r="E318" s="18"/>
      <c r="F318" s="18"/>
      <c r="G318" s="18"/>
      <c r="H318" s="18"/>
      <c r="I318" s="18"/>
      <c r="J318" s="18"/>
      <c r="K318" s="7"/>
      <c r="L318" s="7"/>
      <c r="M318" s="7"/>
      <c r="N318" s="7"/>
      <c r="O318" s="7"/>
      <c r="P318" s="7"/>
      <c r="Q318" s="7"/>
      <c r="R318" s="7"/>
      <c r="S318" s="7"/>
      <c r="T318" s="7"/>
      <c r="U318" s="7"/>
      <c r="V318" s="7"/>
      <c r="W318" s="7"/>
      <c r="X318" s="7"/>
      <c r="Y318" s="7"/>
      <c r="Z318" s="7">
        <f t="shared" ref="Z318:AE318" si="447">+Z307+Z315</f>
        <v>734</v>
      </c>
      <c r="AA318" s="7">
        <f t="shared" si="447"/>
        <v>794</v>
      </c>
      <c r="AB318" s="7">
        <v>852</v>
      </c>
      <c r="AC318" s="7">
        <v>764</v>
      </c>
      <c r="AD318" s="7">
        <f t="shared" si="447"/>
        <v>713</v>
      </c>
      <c r="AE318" s="7">
        <f t="shared" si="447"/>
        <v>677</v>
      </c>
      <c r="AF318" s="2"/>
      <c r="AG318" s="7"/>
      <c r="AH318" s="7"/>
      <c r="AI318" s="7"/>
      <c r="AJ318" s="7"/>
      <c r="AK318" s="7"/>
      <c r="AL318" s="7"/>
      <c r="AM318" s="7"/>
      <c r="AN318" s="7"/>
      <c r="AO318" s="7"/>
      <c r="AP318" s="7"/>
      <c r="AQ318" s="7"/>
      <c r="AR318" s="7"/>
      <c r="AS318" s="7"/>
      <c r="AT318" s="2"/>
      <c r="AU318" s="514"/>
    </row>
    <row r="319" spans="1:47" outlineLevel="1">
      <c r="A319" s="298"/>
      <c r="B319" s="336" t="s">
        <v>1034</v>
      </c>
      <c r="C319" s="14" t="s">
        <v>732</v>
      </c>
      <c r="D319" s="18"/>
      <c r="E319" s="18"/>
      <c r="F319" s="18"/>
      <c r="G319" s="18"/>
      <c r="H319" s="18"/>
      <c r="I319" s="18"/>
      <c r="J319" s="18"/>
      <c r="K319" s="7"/>
      <c r="L319" s="7"/>
      <c r="M319" s="7"/>
      <c r="N319" s="7"/>
      <c r="O319" s="7"/>
      <c r="P319" s="7"/>
      <c r="Q319" s="7"/>
      <c r="R319" s="7"/>
      <c r="S319" s="7"/>
      <c r="T319" s="7"/>
      <c r="U319" s="7"/>
      <c r="V319" s="7"/>
      <c r="W319" s="7"/>
      <c r="X319" s="7"/>
      <c r="Y319" s="7"/>
      <c r="Z319" s="7"/>
      <c r="AA319" s="7"/>
      <c r="AB319" s="7"/>
      <c r="AC319" s="7">
        <v>57</v>
      </c>
      <c r="AD319" s="7">
        <f>+AD320-AD318</f>
        <v>52</v>
      </c>
      <c r="AE319" s="7">
        <f>+AE320-AE318</f>
        <v>50</v>
      </c>
      <c r="AF319" s="2"/>
      <c r="AG319" s="7"/>
      <c r="AH319" s="7"/>
      <c r="AI319" s="7"/>
      <c r="AJ319" s="7"/>
      <c r="AK319" s="7"/>
      <c r="AL319" s="7"/>
      <c r="AM319" s="7"/>
      <c r="AN319" s="7"/>
      <c r="AO319" s="7"/>
      <c r="AP319" s="7"/>
      <c r="AQ319" s="7"/>
      <c r="AR319" s="7"/>
      <c r="AS319" s="7"/>
      <c r="AT319" s="2"/>
      <c r="AU319" s="514"/>
    </row>
    <row r="320" spans="1:47" outlineLevel="1">
      <c r="A320" s="338"/>
      <c r="B320" s="337" t="s">
        <v>1303</v>
      </c>
      <c r="C320" s="48" t="s">
        <v>732</v>
      </c>
      <c r="D320" s="48"/>
      <c r="E320" s="48"/>
      <c r="F320" s="48"/>
      <c r="G320" s="48"/>
      <c r="H320" s="48"/>
      <c r="I320" s="48"/>
      <c r="J320" s="48"/>
      <c r="K320" s="49"/>
      <c r="L320" s="49"/>
      <c r="M320" s="49"/>
      <c r="N320" s="49"/>
      <c r="O320" s="49"/>
      <c r="P320" s="49"/>
      <c r="Q320" s="49"/>
      <c r="R320" s="49"/>
      <c r="S320" s="49"/>
      <c r="T320" s="49"/>
      <c r="U320" s="49"/>
      <c r="V320" s="49"/>
      <c r="W320" s="49"/>
      <c r="X320" s="49"/>
      <c r="Y320" s="49"/>
      <c r="Z320" s="49"/>
      <c r="AA320" s="49"/>
      <c r="AB320" s="49"/>
      <c r="AC320" s="524">
        <v>821</v>
      </c>
      <c r="AD320" s="524">
        <v>765</v>
      </c>
      <c r="AE320" s="524">
        <v>727</v>
      </c>
      <c r="AF320" s="524">
        <v>661</v>
      </c>
      <c r="AG320" s="524">
        <v>600</v>
      </c>
      <c r="AH320" s="524">
        <v>591</v>
      </c>
      <c r="AI320" s="524">
        <v>539</v>
      </c>
      <c r="AJ320" s="524">
        <v>444</v>
      </c>
      <c r="AK320" s="9">
        <f t="shared" ref="AK320:AP320" si="448">+AJ320*(1+AK321)</f>
        <v>365.74397031539888</v>
      </c>
      <c r="AL320" s="9">
        <f t="shared" si="448"/>
        <v>301.2807473470076</v>
      </c>
      <c r="AM320" s="9">
        <f t="shared" si="448"/>
        <v>248.17931692406563</v>
      </c>
      <c r="AN320" s="9">
        <f t="shared" si="448"/>
        <v>204.43713676119694</v>
      </c>
      <c r="AO320" s="9">
        <f t="shared" si="448"/>
        <v>168.40461729493774</v>
      </c>
      <c r="AP320" s="9">
        <f t="shared" si="448"/>
        <v>138.72291294796355</v>
      </c>
      <c r="AQ320" s="9">
        <f t="shared" ref="AQ320" si="449">+AP320*(1+AQ321)</f>
        <v>114.27267782726497</v>
      </c>
      <c r="AR320" s="9">
        <f t="shared" ref="AR320:AS320" si="450">+AQ320*(1+AR321)</f>
        <v>94.131853349361137</v>
      </c>
      <c r="AS320" s="9">
        <f t="shared" si="450"/>
        <v>77.54089589446447</v>
      </c>
      <c r="AT320" s="9"/>
      <c r="AU320" s="516"/>
    </row>
    <row r="321" spans="1:47" outlineLevel="1">
      <c r="A321" s="308"/>
      <c r="B321" s="325" t="s">
        <v>1099</v>
      </c>
      <c r="C321" s="310" t="s">
        <v>733</v>
      </c>
      <c r="D321" s="310"/>
      <c r="E321" s="310"/>
      <c r="F321" s="310"/>
      <c r="G321" s="310"/>
      <c r="H321" s="310"/>
      <c r="I321" s="310"/>
      <c r="J321" s="310"/>
      <c r="K321" s="311"/>
      <c r="L321" s="311"/>
      <c r="M321" s="311"/>
      <c r="N321" s="311"/>
      <c r="O321" s="311"/>
      <c r="P321" s="311"/>
      <c r="Q321" s="311"/>
      <c r="R321" s="311"/>
      <c r="S321" s="311"/>
      <c r="T321" s="311"/>
      <c r="U321" s="311"/>
      <c r="V321" s="311"/>
      <c r="W321" s="311"/>
      <c r="X321" s="311"/>
      <c r="Y321" s="311"/>
      <c r="Z321" s="311"/>
      <c r="AA321" s="311"/>
      <c r="AB321" s="311"/>
      <c r="AC321" s="311"/>
      <c r="AD321" s="311">
        <f t="shared" ref="AD321:AJ321" si="451">AD320/AC320-1</f>
        <v>-6.8209500609013429E-2</v>
      </c>
      <c r="AE321" s="311">
        <f t="shared" si="451"/>
        <v>-4.9673202614379131E-2</v>
      </c>
      <c r="AF321" s="311">
        <f t="shared" si="451"/>
        <v>-9.0784044016506193E-2</v>
      </c>
      <c r="AG321" s="311">
        <f t="shared" si="451"/>
        <v>-9.2284417549167941E-2</v>
      </c>
      <c r="AH321" s="311">
        <f t="shared" si="451"/>
        <v>-1.5000000000000013E-2</v>
      </c>
      <c r="AI321" s="311">
        <f t="shared" si="451"/>
        <v>-8.7986463620981392E-2</v>
      </c>
      <c r="AJ321" s="311">
        <f t="shared" si="451"/>
        <v>-0.17625231910946193</v>
      </c>
      <c r="AK321" s="621">
        <f t="shared" ref="AK321:AP321" si="452">AJ321</f>
        <v>-0.17625231910946193</v>
      </c>
      <c r="AL321" s="621">
        <f t="shared" si="452"/>
        <v>-0.17625231910946193</v>
      </c>
      <c r="AM321" s="621">
        <f t="shared" si="452"/>
        <v>-0.17625231910946193</v>
      </c>
      <c r="AN321" s="621">
        <f t="shared" si="452"/>
        <v>-0.17625231910946193</v>
      </c>
      <c r="AO321" s="621">
        <f t="shared" si="452"/>
        <v>-0.17625231910946193</v>
      </c>
      <c r="AP321" s="621">
        <f t="shared" si="452"/>
        <v>-0.17625231910946193</v>
      </c>
      <c r="AQ321" s="621">
        <f t="shared" ref="AQ321" si="453">AP321</f>
        <v>-0.17625231910946193</v>
      </c>
      <c r="AR321" s="621">
        <f t="shared" ref="AR321:AS321" si="454">AQ321</f>
        <v>-0.17625231910946193</v>
      </c>
      <c r="AS321" s="621">
        <f t="shared" si="454"/>
        <v>-0.17625231910946193</v>
      </c>
      <c r="AT321" s="312"/>
      <c r="AU321" s="514"/>
    </row>
    <row r="322" spans="1:47" outlineLevel="1">
      <c r="A322" s="298"/>
      <c r="B322" s="55"/>
      <c r="C322" s="18"/>
      <c r="D322" s="18"/>
      <c r="E322" s="18"/>
      <c r="F322" s="18"/>
      <c r="G322" s="18"/>
      <c r="H322" s="18"/>
      <c r="I322" s="18"/>
      <c r="J322" s="18"/>
      <c r="K322" s="7"/>
      <c r="L322" s="7"/>
      <c r="M322" s="7"/>
      <c r="N322" s="7"/>
      <c r="O322" s="7"/>
      <c r="P322" s="7"/>
      <c r="Q322" s="7"/>
      <c r="R322" s="7"/>
      <c r="S322" s="7"/>
      <c r="T322" s="7"/>
      <c r="U322" s="7"/>
      <c r="V322" s="7"/>
      <c r="W322" s="7"/>
      <c r="X322" s="7"/>
      <c r="Y322" s="7"/>
      <c r="Z322" s="7"/>
      <c r="AA322" s="7"/>
      <c r="AB322" s="7"/>
      <c r="AC322" s="7"/>
      <c r="AD322" s="7"/>
      <c r="AE322" s="7"/>
      <c r="AF322" s="7"/>
      <c r="AG322" s="7"/>
      <c r="AH322" s="7"/>
      <c r="AI322" s="7"/>
      <c r="AJ322" s="7"/>
      <c r="AK322" s="7"/>
      <c r="AL322" s="7"/>
      <c r="AM322" s="7"/>
      <c r="AN322" s="7"/>
      <c r="AO322" s="7"/>
      <c r="AP322" s="7"/>
      <c r="AQ322" s="7"/>
      <c r="AR322" s="7"/>
      <c r="AS322" s="7"/>
      <c r="AT322" s="2"/>
      <c r="AU322" s="514"/>
    </row>
    <row r="323" spans="1:47" ht="15.6" outlineLevel="1">
      <c r="A323" s="298"/>
      <c r="B323" s="237" t="s">
        <v>28</v>
      </c>
      <c r="C323" s="238"/>
      <c r="D323" s="239"/>
      <c r="E323" s="239"/>
      <c r="F323" s="239"/>
      <c r="G323" s="239"/>
      <c r="H323" s="239"/>
      <c r="I323" s="239"/>
      <c r="J323" s="239"/>
      <c r="K323" s="239"/>
      <c r="L323" s="239"/>
      <c r="M323" s="239"/>
      <c r="N323" s="239"/>
      <c r="O323" s="239"/>
      <c r="P323" s="239"/>
      <c r="Q323" s="239"/>
      <c r="R323" s="239"/>
      <c r="S323" s="239"/>
      <c r="T323" s="239"/>
      <c r="U323" s="239"/>
      <c r="V323" s="239"/>
      <c r="W323" s="239"/>
      <c r="X323" s="239"/>
      <c r="Y323" s="239"/>
      <c r="Z323" s="239"/>
      <c r="AA323" s="239"/>
      <c r="AB323" s="239"/>
      <c r="AC323" s="239"/>
      <c r="AD323" s="239"/>
      <c r="AE323" s="239"/>
      <c r="AF323" s="239"/>
      <c r="AG323" s="239"/>
      <c r="AH323" s="239"/>
      <c r="AI323" s="239"/>
      <c r="AJ323" s="239"/>
      <c r="AK323" s="239"/>
      <c r="AL323" s="239"/>
      <c r="AM323" s="239"/>
      <c r="AN323" s="239"/>
      <c r="AO323" s="270"/>
      <c r="AP323" s="240"/>
      <c r="AQ323" s="240"/>
      <c r="AR323" s="240"/>
      <c r="AS323" s="240"/>
      <c r="AT323" s="2"/>
      <c r="AU323" s="2"/>
    </row>
    <row r="324" spans="1:47" outlineLevel="1">
      <c r="A324" s="298"/>
      <c r="B324" s="8"/>
      <c r="C324" s="14"/>
      <c r="D324" s="18"/>
      <c r="E324" s="18"/>
      <c r="F324" s="18"/>
      <c r="G324" s="18"/>
      <c r="H324" s="18"/>
      <c r="I324" s="18"/>
      <c r="J324" s="18"/>
      <c r="K324" s="2"/>
      <c r="L324" s="2"/>
      <c r="M324" s="2"/>
      <c r="N324" s="2"/>
      <c r="O324" s="2"/>
      <c r="P324" s="2"/>
      <c r="Q324" s="2"/>
      <c r="R324" s="2"/>
      <c r="S324" s="2"/>
      <c r="T324" s="2"/>
      <c r="U324" s="3"/>
      <c r="V324" s="3"/>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514"/>
    </row>
    <row r="325" spans="1:47" outlineLevel="1">
      <c r="A325" s="298"/>
      <c r="B325" s="9" t="s">
        <v>1247</v>
      </c>
      <c r="C325" s="18"/>
      <c r="D325" s="18"/>
      <c r="E325" s="18"/>
      <c r="F325" s="18"/>
      <c r="G325" s="18"/>
      <c r="H325" s="18"/>
      <c r="I325" s="18"/>
      <c r="J325" s="18"/>
      <c r="K325" s="7"/>
      <c r="L325" s="7"/>
      <c r="M325" s="7"/>
      <c r="N325" s="7"/>
      <c r="O325" s="7"/>
      <c r="P325" s="7"/>
      <c r="Q325" s="7"/>
      <c r="R325" s="7"/>
      <c r="S325" s="7"/>
      <c r="T325" s="7"/>
      <c r="U325" s="7"/>
      <c r="V325" s="7"/>
      <c r="W325" s="7"/>
      <c r="X325" s="7"/>
      <c r="Y325" s="7"/>
      <c r="Z325" s="7"/>
      <c r="AA325" s="7"/>
      <c r="AB325" s="7"/>
      <c r="AC325" s="7"/>
      <c r="AD325" s="7"/>
      <c r="AE325" s="7"/>
      <c r="AF325" s="7"/>
      <c r="AG325" s="7"/>
      <c r="AH325" s="7"/>
      <c r="AI325" s="7"/>
      <c r="AJ325" s="7"/>
      <c r="AK325" s="7"/>
      <c r="AL325" s="7"/>
      <c r="AM325" s="7"/>
      <c r="AN325" s="7"/>
      <c r="AO325" s="7"/>
      <c r="AP325" s="7"/>
      <c r="AQ325" s="7"/>
      <c r="AR325" s="7"/>
      <c r="AS325" s="7"/>
      <c r="AT325" s="2"/>
      <c r="AU325" s="514"/>
    </row>
    <row r="326" spans="1:47" outlineLevel="1">
      <c r="A326" s="298"/>
      <c r="B326" s="8" t="s">
        <v>1254</v>
      </c>
      <c r="C326" s="14" t="s">
        <v>732</v>
      </c>
      <c r="D326" s="18"/>
      <c r="E326" s="18"/>
      <c r="F326" s="18"/>
      <c r="G326" s="18"/>
      <c r="H326" s="18"/>
      <c r="I326" s="18"/>
      <c r="J326" s="18"/>
      <c r="K326" s="2"/>
      <c r="L326" s="2"/>
      <c r="M326" s="2"/>
      <c r="N326" s="2"/>
      <c r="O326" s="2"/>
      <c r="P326" s="2"/>
      <c r="Q326" s="2"/>
      <c r="R326" s="2"/>
      <c r="S326" s="2"/>
      <c r="T326" s="2"/>
      <c r="U326" s="3"/>
      <c r="V326" s="3"/>
      <c r="W326" s="2"/>
      <c r="X326" s="2"/>
      <c r="Y326" s="2"/>
      <c r="Z326" s="2"/>
      <c r="AA326" s="2"/>
      <c r="AB326" s="2"/>
      <c r="AC326" s="530">
        <v>197</v>
      </c>
      <c r="AD326" s="530">
        <v>183</v>
      </c>
      <c r="AE326" s="530">
        <v>193</v>
      </c>
      <c r="AF326" s="530">
        <v>183</v>
      </c>
      <c r="AG326" s="530">
        <v>168</v>
      </c>
      <c r="AH326" s="530">
        <v>158</v>
      </c>
      <c r="AI326" s="530">
        <v>153</v>
      </c>
      <c r="AJ326" s="530">
        <v>149</v>
      </c>
      <c r="AK326" s="2">
        <f t="shared" ref="AK326:AP326" si="455">+AJ326*(1+AK330)</f>
        <v>145.10457516339869</v>
      </c>
      <c r="AL326" s="2">
        <f t="shared" si="455"/>
        <v>141.31099149899612</v>
      </c>
      <c r="AM326" s="2">
        <f t="shared" si="455"/>
        <v>137.61658649248642</v>
      </c>
      <c r="AN326" s="2">
        <f t="shared" si="455"/>
        <v>134.01876723778088</v>
      </c>
      <c r="AO326" s="2">
        <f t="shared" si="455"/>
        <v>130.51500861718529</v>
      </c>
      <c r="AP326" s="2">
        <f t="shared" si="455"/>
        <v>127.10285152915429</v>
      </c>
      <c r="AQ326" s="2">
        <f t="shared" ref="AQ326:AQ327" si="456">+AP326*(1+AQ330)</f>
        <v>123.77990116237902</v>
      </c>
      <c r="AR326" s="2">
        <f t="shared" ref="AR326:AS327" si="457">+AQ326*(1+AR330)</f>
        <v>120.54382531499655</v>
      </c>
      <c r="AS326" s="2">
        <f t="shared" si="457"/>
        <v>117.39235275774173</v>
      </c>
      <c r="AT326" s="2"/>
      <c r="AU326" s="514"/>
    </row>
    <row r="327" spans="1:47" outlineLevel="1">
      <c r="A327" s="298"/>
      <c r="B327" s="8" t="s">
        <v>1255</v>
      </c>
      <c r="C327" s="14" t="s">
        <v>732</v>
      </c>
      <c r="D327" s="18"/>
      <c r="E327" s="18"/>
      <c r="F327" s="18"/>
      <c r="G327" s="18"/>
      <c r="H327" s="18"/>
      <c r="I327" s="18"/>
      <c r="J327" s="18"/>
      <c r="K327" s="2"/>
      <c r="L327" s="2"/>
      <c r="M327" s="2"/>
      <c r="N327" s="2"/>
      <c r="O327" s="2"/>
      <c r="P327" s="2"/>
      <c r="Q327" s="2"/>
      <c r="R327" s="2"/>
      <c r="S327" s="2"/>
      <c r="T327" s="2"/>
      <c r="U327" s="3"/>
      <c r="V327" s="3"/>
      <c r="W327" s="2"/>
      <c r="X327" s="2"/>
      <c r="Y327" s="2"/>
      <c r="Z327" s="2"/>
      <c r="AA327" s="2"/>
      <c r="AB327" s="2"/>
      <c r="AC327" s="530">
        <v>172</v>
      </c>
      <c r="AD327" s="530">
        <v>147</v>
      </c>
      <c r="AE327" s="530">
        <v>115</v>
      </c>
      <c r="AF327" s="530">
        <v>107</v>
      </c>
      <c r="AG327" s="530">
        <v>99</v>
      </c>
      <c r="AH327" s="530">
        <v>82</v>
      </c>
      <c r="AI327" s="530">
        <v>209</v>
      </c>
      <c r="AJ327" s="530">
        <f>4299-AJ326-AJ320-AJ254</f>
        <v>261</v>
      </c>
      <c r="AK327" s="2">
        <f t="shared" ref="AK327:AP327" si="458">+AJ327*(1+AK331)</f>
        <v>325.93779904306217</v>
      </c>
      <c r="AL327" s="2">
        <f t="shared" si="458"/>
        <v>407.03237105377622</v>
      </c>
      <c r="AM327" s="2">
        <f t="shared" si="458"/>
        <v>508.30358299060089</v>
      </c>
      <c r="AN327" s="2">
        <f t="shared" si="458"/>
        <v>634.77146009831017</v>
      </c>
      <c r="AO327" s="2">
        <f t="shared" si="458"/>
        <v>792.70502911798542</v>
      </c>
      <c r="AP327" s="2">
        <f t="shared" si="458"/>
        <v>989.93307464016357</v>
      </c>
      <c r="AQ327" s="2">
        <f t="shared" si="456"/>
        <v>1236.2322128281469</v>
      </c>
      <c r="AR327" s="2">
        <f t="shared" si="457"/>
        <v>1543.8115193691212</v>
      </c>
      <c r="AS327" s="2">
        <f t="shared" si="457"/>
        <v>1927.9177347145485</v>
      </c>
      <c r="AT327" s="2"/>
      <c r="AU327" s="514"/>
    </row>
    <row r="328" spans="1:47" outlineLevel="1">
      <c r="A328" s="298"/>
      <c r="B328" s="2"/>
      <c r="C328" s="18"/>
      <c r="D328" s="18"/>
      <c r="E328" s="18"/>
      <c r="F328" s="18"/>
      <c r="G328" s="18"/>
      <c r="H328" s="18"/>
      <c r="I328" s="18"/>
      <c r="J328" s="18"/>
      <c r="K328" s="2"/>
      <c r="L328" s="2"/>
      <c r="M328" s="2"/>
      <c r="N328" s="2"/>
      <c r="O328" s="2"/>
      <c r="P328" s="2"/>
      <c r="Q328" s="2"/>
      <c r="R328" s="2"/>
      <c r="S328" s="2"/>
      <c r="T328" s="2"/>
      <c r="U328" s="3"/>
      <c r="V328" s="3"/>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514"/>
    </row>
    <row r="329" spans="1:47" outlineLevel="1">
      <c r="A329" s="298"/>
      <c r="B329" s="9" t="s">
        <v>1099</v>
      </c>
      <c r="C329" s="18"/>
      <c r="D329" s="18"/>
      <c r="E329" s="18"/>
      <c r="F329" s="18"/>
      <c r="G329" s="18"/>
      <c r="H329" s="18"/>
      <c r="I329" s="18"/>
      <c r="J329" s="18"/>
      <c r="K329" s="7"/>
      <c r="L329" s="7"/>
      <c r="M329" s="7"/>
      <c r="N329" s="7"/>
      <c r="O329" s="7"/>
      <c r="P329" s="7"/>
      <c r="Q329" s="7"/>
      <c r="R329" s="7"/>
      <c r="S329" s="7"/>
      <c r="T329" s="7"/>
      <c r="U329" s="7"/>
      <c r="V329" s="7"/>
      <c r="W329" s="7"/>
      <c r="X329" s="7"/>
      <c r="Y329" s="7"/>
      <c r="Z329" s="7"/>
      <c r="AA329" s="7"/>
      <c r="AB329" s="7"/>
      <c r="AC329" s="7"/>
      <c r="AD329" s="7"/>
      <c r="AE329" s="7"/>
      <c r="AF329" s="7"/>
      <c r="AG329" s="7"/>
      <c r="AH329" s="7"/>
      <c r="AI329" s="7"/>
      <c r="AJ329" s="7"/>
      <c r="AK329" s="7"/>
      <c r="AL329" s="7"/>
      <c r="AM329" s="7"/>
      <c r="AN329" s="7"/>
      <c r="AO329" s="7"/>
      <c r="AP329" s="7"/>
      <c r="AQ329" s="7"/>
      <c r="AR329" s="7"/>
      <c r="AS329" s="7"/>
      <c r="AT329" s="2"/>
      <c r="AU329" s="2"/>
    </row>
    <row r="330" spans="1:47" outlineLevel="1">
      <c r="A330" s="298"/>
      <c r="B330" s="8" t="s">
        <v>1254</v>
      </c>
      <c r="C330" s="14" t="s">
        <v>733</v>
      </c>
      <c r="D330" s="18"/>
      <c r="E330" s="18"/>
      <c r="F330" s="18"/>
      <c r="G330" s="18"/>
      <c r="H330" s="18"/>
      <c r="I330" s="18"/>
      <c r="J330" s="18"/>
      <c r="K330" s="7"/>
      <c r="L330" s="7"/>
      <c r="M330" s="7"/>
      <c r="N330" s="7"/>
      <c r="O330" s="7"/>
      <c r="P330" s="7"/>
      <c r="Q330" s="7"/>
      <c r="R330" s="7"/>
      <c r="S330" s="7"/>
      <c r="T330" s="7"/>
      <c r="U330" s="7"/>
      <c r="V330" s="7"/>
      <c r="W330" s="7"/>
      <c r="X330" s="7"/>
      <c r="Y330" s="7"/>
      <c r="Z330" s="7"/>
      <c r="AA330" s="7"/>
      <c r="AB330" s="7"/>
      <c r="AC330" s="311"/>
      <c r="AD330" s="311">
        <f t="shared" ref="AD330:AJ331" si="459">+IFERROR(AD326/AC326-1,"")</f>
        <v>-7.1065989847715727E-2</v>
      </c>
      <c r="AE330" s="311">
        <f t="shared" si="459"/>
        <v>5.464480874316946E-2</v>
      </c>
      <c r="AF330" s="311">
        <f t="shared" si="459"/>
        <v>-5.1813471502590636E-2</v>
      </c>
      <c r="AG330" s="311">
        <f t="shared" si="459"/>
        <v>-8.1967213114754078E-2</v>
      </c>
      <c r="AH330" s="311">
        <f t="shared" si="459"/>
        <v>-5.9523809523809534E-2</v>
      </c>
      <c r="AI330" s="311">
        <f t="shared" si="459"/>
        <v>-3.1645569620253111E-2</v>
      </c>
      <c r="AJ330" s="311">
        <f t="shared" si="459"/>
        <v>-2.6143790849673221E-2</v>
      </c>
      <c r="AK330" s="621">
        <f t="shared" ref="AK330:AP330" si="460">+AJ330</f>
        <v>-2.6143790849673221E-2</v>
      </c>
      <c r="AL330" s="621">
        <f t="shared" si="460"/>
        <v>-2.6143790849673221E-2</v>
      </c>
      <c r="AM330" s="621">
        <f t="shared" si="460"/>
        <v>-2.6143790849673221E-2</v>
      </c>
      <c r="AN330" s="621">
        <f t="shared" si="460"/>
        <v>-2.6143790849673221E-2</v>
      </c>
      <c r="AO330" s="621">
        <f t="shared" si="460"/>
        <v>-2.6143790849673221E-2</v>
      </c>
      <c r="AP330" s="621">
        <f t="shared" si="460"/>
        <v>-2.6143790849673221E-2</v>
      </c>
      <c r="AQ330" s="621">
        <f t="shared" ref="AQ330:AQ331" si="461">+AP330</f>
        <v>-2.6143790849673221E-2</v>
      </c>
      <c r="AR330" s="621">
        <f t="shared" ref="AR330:AS331" si="462">+AQ330</f>
        <v>-2.6143790849673221E-2</v>
      </c>
      <c r="AS330" s="621">
        <f t="shared" si="462"/>
        <v>-2.6143790849673221E-2</v>
      </c>
      <c r="AT330" s="2"/>
      <c r="AU330" s="2"/>
    </row>
    <row r="331" spans="1:47" outlineLevel="1">
      <c r="A331" s="298"/>
      <c r="B331" s="8" t="s">
        <v>1255</v>
      </c>
      <c r="C331" s="14" t="s">
        <v>733</v>
      </c>
      <c r="D331" s="18"/>
      <c r="E331" s="18"/>
      <c r="F331" s="18"/>
      <c r="G331" s="18"/>
      <c r="H331" s="18"/>
      <c r="I331" s="18"/>
      <c r="J331" s="18"/>
      <c r="K331" s="7"/>
      <c r="L331" s="7"/>
      <c r="M331" s="7"/>
      <c r="N331" s="7"/>
      <c r="O331" s="7"/>
      <c r="P331" s="7"/>
      <c r="Q331" s="7"/>
      <c r="R331" s="7"/>
      <c r="S331" s="7"/>
      <c r="T331" s="7"/>
      <c r="U331" s="7"/>
      <c r="V331" s="7"/>
      <c r="W331" s="7"/>
      <c r="X331" s="7"/>
      <c r="Y331" s="7"/>
      <c r="Z331" s="7"/>
      <c r="AA331" s="7"/>
      <c r="AB331" s="7"/>
      <c r="AC331" s="311" t="s">
        <v>1456</v>
      </c>
      <c r="AD331" s="311">
        <f t="shared" si="459"/>
        <v>-0.14534883720930236</v>
      </c>
      <c r="AE331" s="311">
        <f t="shared" si="459"/>
        <v>-0.21768707482993199</v>
      </c>
      <c r="AF331" s="311">
        <f t="shared" si="459"/>
        <v>-6.956521739130439E-2</v>
      </c>
      <c r="AG331" s="311">
        <f t="shared" si="459"/>
        <v>-7.4766355140186924E-2</v>
      </c>
      <c r="AH331" s="311">
        <f t="shared" si="459"/>
        <v>-0.17171717171717171</v>
      </c>
      <c r="AI331" s="311">
        <f t="shared" si="459"/>
        <v>1.5487804878048781</v>
      </c>
      <c r="AJ331" s="311">
        <f t="shared" si="459"/>
        <v>0.24880382775119614</v>
      </c>
      <c r="AK331" s="621">
        <f t="shared" ref="AK331:AP331" si="463">+AJ331</f>
        <v>0.24880382775119614</v>
      </c>
      <c r="AL331" s="621">
        <f t="shared" si="463"/>
        <v>0.24880382775119614</v>
      </c>
      <c r="AM331" s="621">
        <f t="shared" si="463"/>
        <v>0.24880382775119614</v>
      </c>
      <c r="AN331" s="621">
        <f t="shared" si="463"/>
        <v>0.24880382775119614</v>
      </c>
      <c r="AO331" s="621">
        <f t="shared" si="463"/>
        <v>0.24880382775119614</v>
      </c>
      <c r="AP331" s="621">
        <f t="shared" si="463"/>
        <v>0.24880382775119614</v>
      </c>
      <c r="AQ331" s="621">
        <f t="shared" si="461"/>
        <v>0.24880382775119614</v>
      </c>
      <c r="AR331" s="621">
        <f t="shared" si="462"/>
        <v>0.24880382775119614</v>
      </c>
      <c r="AS331" s="621">
        <f t="shared" si="462"/>
        <v>0.24880382775119614</v>
      </c>
      <c r="AT331" s="2"/>
      <c r="AU331" s="2"/>
    </row>
    <row r="332" spans="1:47" outlineLevel="1">
      <c r="A332" s="298"/>
      <c r="B332" s="9"/>
      <c r="C332" s="18"/>
      <c r="D332" s="18"/>
      <c r="E332" s="18"/>
      <c r="F332" s="18"/>
      <c r="G332" s="18"/>
      <c r="H332" s="18"/>
      <c r="I332" s="18"/>
      <c r="J332" s="18"/>
      <c r="K332" s="7"/>
      <c r="L332" s="7"/>
      <c r="M332" s="7"/>
      <c r="N332" s="7"/>
      <c r="O332" s="7"/>
      <c r="P332" s="7"/>
      <c r="Q332" s="7"/>
      <c r="R332" s="7"/>
      <c r="S332" s="7"/>
      <c r="T332" s="7"/>
      <c r="U332" s="7"/>
      <c r="V332" s="7"/>
      <c r="W332" s="7"/>
      <c r="X332" s="7"/>
      <c r="Y332" s="7"/>
      <c r="Z332" s="7"/>
      <c r="AA332" s="7"/>
      <c r="AB332" s="7"/>
      <c r="AC332" s="7"/>
      <c r="AD332" s="7"/>
      <c r="AE332" s="7"/>
      <c r="AF332" s="7"/>
      <c r="AG332" s="7"/>
      <c r="AH332" s="7"/>
      <c r="AI332" s="7"/>
      <c r="AJ332" s="7"/>
      <c r="AK332" s="7"/>
      <c r="AL332" s="7"/>
      <c r="AM332" s="7"/>
      <c r="AN332" s="7"/>
      <c r="AO332" s="7"/>
      <c r="AP332" s="7"/>
      <c r="AQ332" s="7"/>
      <c r="AR332" s="7"/>
      <c r="AS332" s="7"/>
      <c r="AT332" s="2"/>
      <c r="AU332" s="2"/>
    </row>
    <row r="333" spans="1:47" ht="15.6" outlineLevel="1">
      <c r="A333" s="298"/>
      <c r="B333" s="237" t="s">
        <v>1256</v>
      </c>
      <c r="C333" s="238"/>
      <c r="D333" s="239"/>
      <c r="E333" s="239"/>
      <c r="F333" s="239"/>
      <c r="G333" s="239"/>
      <c r="H333" s="239"/>
      <c r="I333" s="239"/>
      <c r="J333" s="239"/>
      <c r="K333" s="239"/>
      <c r="L333" s="239"/>
      <c r="M333" s="239"/>
      <c r="N333" s="239"/>
      <c r="O333" s="239"/>
      <c r="P333" s="239"/>
      <c r="Q333" s="239"/>
      <c r="R333" s="239"/>
      <c r="S333" s="239"/>
      <c r="T333" s="239"/>
      <c r="U333" s="239"/>
      <c r="V333" s="239"/>
      <c r="W333" s="239"/>
      <c r="X333" s="239"/>
      <c r="Y333" s="239"/>
      <c r="Z333" s="239"/>
      <c r="AA333" s="239"/>
      <c r="AB333" s="239"/>
      <c r="AC333" s="239"/>
      <c r="AD333" s="239"/>
      <c r="AE333" s="239"/>
      <c r="AF333" s="239"/>
      <c r="AG333" s="239"/>
      <c r="AH333" s="239"/>
      <c r="AI333" s="239"/>
      <c r="AJ333" s="239"/>
      <c r="AK333" s="239"/>
      <c r="AL333" s="239"/>
      <c r="AM333" s="239"/>
      <c r="AN333" s="239"/>
      <c r="AO333" s="270"/>
      <c r="AP333" s="240"/>
      <c r="AQ333" s="240"/>
      <c r="AR333" s="240"/>
      <c r="AS333" s="240"/>
      <c r="AT333" s="2"/>
      <c r="AU333" s="2"/>
    </row>
    <row r="334" spans="1:47" outlineLevel="1">
      <c r="A334" s="298"/>
      <c r="B334" s="8"/>
      <c r="C334" s="14"/>
      <c r="D334" s="18"/>
      <c r="E334" s="18"/>
      <c r="F334" s="18"/>
      <c r="G334" s="18"/>
      <c r="H334" s="18"/>
      <c r="I334" s="18"/>
      <c r="J334" s="18"/>
      <c r="K334" s="2"/>
      <c r="L334" s="2"/>
      <c r="M334" s="2"/>
      <c r="N334" s="2"/>
      <c r="O334" s="2"/>
      <c r="P334" s="2"/>
      <c r="Q334" s="2"/>
      <c r="R334" s="2"/>
      <c r="S334" s="2"/>
      <c r="T334" s="2"/>
      <c r="U334" s="3"/>
      <c r="V334" s="3"/>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row>
    <row r="335" spans="1:47" outlineLevel="1">
      <c r="A335" s="338"/>
      <c r="B335" s="9" t="s">
        <v>1304</v>
      </c>
      <c r="C335" s="48" t="s">
        <v>732</v>
      </c>
      <c r="D335" s="48"/>
      <c r="E335" s="48"/>
      <c r="F335" s="48"/>
      <c r="G335" s="48"/>
      <c r="H335" s="48"/>
      <c r="I335" s="48"/>
      <c r="J335" s="48"/>
      <c r="K335" s="9"/>
      <c r="L335" s="9"/>
      <c r="M335" s="9"/>
      <c r="N335" s="9"/>
      <c r="O335" s="9"/>
      <c r="P335" s="9"/>
      <c r="Q335" s="9"/>
      <c r="R335" s="9"/>
      <c r="S335" s="9"/>
      <c r="T335" s="9"/>
      <c r="U335" s="418"/>
      <c r="V335" s="418"/>
      <c r="W335" s="9"/>
      <c r="X335" s="9"/>
      <c r="Y335" s="9"/>
      <c r="Z335" s="9"/>
      <c r="AA335" s="9"/>
      <c r="AB335" s="9"/>
      <c r="AC335" s="9">
        <v>5811</v>
      </c>
      <c r="AD335" s="9">
        <f t="shared" ref="AD335:AO335" si="464">+AD298+AD320+AD326+AD327</f>
        <v>5485</v>
      </c>
      <c r="AE335" s="9">
        <f t="shared" si="464"/>
        <v>5083</v>
      </c>
      <c r="AF335" s="9">
        <f>+AF298+AF320+AF326+AF327</f>
        <v>4736</v>
      </c>
      <c r="AG335" s="9">
        <f t="shared" si="464"/>
        <v>4486</v>
      </c>
      <c r="AH335" s="9">
        <f t="shared" si="464"/>
        <v>4457</v>
      </c>
      <c r="AI335" s="9">
        <f t="shared" si="464"/>
        <v>4355</v>
      </c>
      <c r="AJ335" s="9">
        <f t="shared" si="464"/>
        <v>4299</v>
      </c>
      <c r="AK335" s="9">
        <f t="shared" si="464"/>
        <v>4325.3584436216579</v>
      </c>
      <c r="AL335" s="9">
        <f t="shared" si="464"/>
        <v>4387.0258691284025</v>
      </c>
      <c r="AM335" s="9">
        <f t="shared" si="464"/>
        <v>4484.790945331737</v>
      </c>
      <c r="AN335" s="9">
        <f t="shared" si="464"/>
        <v>4621.0371563987828</v>
      </c>
      <c r="AO335" s="9">
        <f t="shared" si="464"/>
        <v>4799.8826558018109</v>
      </c>
      <c r="AP335" s="9">
        <f>+AP298+AP320+AP326+AP327</f>
        <v>5027.40210760643</v>
      </c>
      <c r="AQ335" s="9">
        <f t="shared" ref="AQ335:AR335" si="465">+AQ298+AQ320+AQ326+AQ327</f>
        <v>5311.9422068170288</v>
      </c>
      <c r="AR335" s="9">
        <f t="shared" si="465"/>
        <v>5664.5470927074884</v>
      </c>
      <c r="AS335" s="9">
        <f t="shared" ref="AS335" si="466">+AS298+AS320+AS326+AS327</f>
        <v>5940.5152161880178</v>
      </c>
      <c r="AT335" s="9"/>
      <c r="AU335" s="9"/>
    </row>
    <row r="336" spans="1:47" outlineLevel="1">
      <c r="A336" s="308"/>
      <c r="B336" s="325" t="s">
        <v>1099</v>
      </c>
      <c r="C336" s="310" t="s">
        <v>733</v>
      </c>
      <c r="D336" s="310"/>
      <c r="E336" s="310"/>
      <c r="F336" s="310"/>
      <c r="G336" s="310"/>
      <c r="H336" s="310"/>
      <c r="I336" s="310"/>
      <c r="J336" s="310"/>
      <c r="K336" s="311"/>
      <c r="L336" s="311"/>
      <c r="M336" s="311"/>
      <c r="N336" s="311"/>
      <c r="O336" s="311"/>
      <c r="P336" s="311"/>
      <c r="Q336" s="311"/>
      <c r="R336" s="311"/>
      <c r="S336" s="311"/>
      <c r="T336" s="311"/>
      <c r="U336" s="311"/>
      <c r="V336" s="311"/>
      <c r="W336" s="311"/>
      <c r="X336" s="311"/>
      <c r="Y336" s="311"/>
      <c r="Z336" s="311"/>
      <c r="AA336" s="311"/>
      <c r="AB336" s="311"/>
      <c r="AC336" s="311"/>
      <c r="AD336" s="311">
        <f t="shared" ref="AD336:AP336" si="467">AD335/AC335-1</f>
        <v>-5.6100499053519215E-2</v>
      </c>
      <c r="AE336" s="311">
        <f t="shared" si="467"/>
        <v>-7.3290793072014582E-2</v>
      </c>
      <c r="AF336" s="311">
        <f t="shared" si="467"/>
        <v>-6.8266771591579789E-2</v>
      </c>
      <c r="AG336" s="311">
        <f t="shared" si="467"/>
        <v>-5.2787162162162171E-2</v>
      </c>
      <c r="AH336" s="311">
        <f t="shared" si="467"/>
        <v>-6.4645563976817311E-3</v>
      </c>
      <c r="AI336" s="311">
        <f t="shared" si="467"/>
        <v>-2.2885348889387536E-2</v>
      </c>
      <c r="AJ336" s="311">
        <f t="shared" si="467"/>
        <v>-1.2858783008036778E-2</v>
      </c>
      <c r="AK336" s="311">
        <f t="shared" si="467"/>
        <v>6.1312964925930302E-3</v>
      </c>
      <c r="AL336" s="311">
        <f t="shared" si="467"/>
        <v>1.425718268451992E-2</v>
      </c>
      <c r="AM336" s="311">
        <f t="shared" si="467"/>
        <v>2.2285046662548602E-2</v>
      </c>
      <c r="AN336" s="311">
        <f t="shared" si="467"/>
        <v>3.0379612500971875E-2</v>
      </c>
      <c r="AO336" s="311">
        <f t="shared" si="467"/>
        <v>3.8702458636451276E-2</v>
      </c>
      <c r="AP336" s="311">
        <f t="shared" si="467"/>
        <v>4.740104459212291E-2</v>
      </c>
      <c r="AQ336" s="311">
        <f t="shared" ref="AQ336" si="468">AQ335/AP335-1</f>
        <v>5.6597839822697171E-2</v>
      </c>
      <c r="AR336" s="311">
        <f t="shared" ref="AR336:AS336" si="469">AR335/AQ335-1</f>
        <v>6.6379654025216617E-2</v>
      </c>
      <c r="AS336" s="311">
        <f t="shared" si="469"/>
        <v>4.8718479865020425E-2</v>
      </c>
      <c r="AT336" s="312"/>
      <c r="AU336" s="514"/>
    </row>
    <row r="337" spans="1:47">
      <c r="A337" s="298"/>
      <c r="B337" s="2"/>
      <c r="C337" s="18"/>
      <c r="D337" s="18"/>
      <c r="E337" s="18"/>
      <c r="F337" s="18"/>
      <c r="G337" s="18"/>
      <c r="H337" s="18"/>
      <c r="I337" s="18"/>
      <c r="J337" s="18"/>
      <c r="K337" s="2"/>
      <c r="L337" s="2"/>
      <c r="M337" s="2"/>
      <c r="N337" s="2"/>
      <c r="O337" s="2"/>
      <c r="P337" s="2"/>
      <c r="Q337" s="2"/>
      <c r="R337" s="2"/>
      <c r="S337" s="2"/>
      <c r="T337" s="2"/>
      <c r="U337" s="3"/>
      <c r="V337" s="3"/>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row>
    <row r="338" spans="1:47">
      <c r="A338" s="299" t="s">
        <v>1163</v>
      </c>
      <c r="B338" s="1073" t="s">
        <v>1320</v>
      </c>
      <c r="C338" s="1074"/>
      <c r="D338" s="1073"/>
      <c r="E338" s="1073"/>
      <c r="F338" s="1073"/>
      <c r="G338" s="1073"/>
      <c r="H338" s="1073"/>
      <c r="I338" s="1073"/>
      <c r="J338" s="1073"/>
      <c r="K338" s="1073"/>
      <c r="L338" s="1073"/>
      <c r="M338" s="1073"/>
      <c r="N338" s="1073"/>
      <c r="O338" s="1073"/>
      <c r="P338" s="1073"/>
      <c r="Q338" s="1073"/>
      <c r="R338" s="1073"/>
      <c r="S338" s="1073"/>
      <c r="T338" s="1073"/>
      <c r="U338" s="1073"/>
      <c r="V338" s="1073"/>
      <c r="W338" s="1073"/>
      <c r="X338" s="1073"/>
      <c r="Y338" s="1073"/>
      <c r="Z338" s="1073"/>
      <c r="AA338" s="1073"/>
      <c r="AB338" s="1073"/>
      <c r="AC338" s="1073"/>
      <c r="AD338" s="1073"/>
      <c r="AE338" s="1073"/>
      <c r="AF338" s="1073"/>
      <c r="AG338" s="1073"/>
      <c r="AH338" s="1073"/>
      <c r="AI338" s="1073"/>
      <c r="AJ338" s="1073"/>
      <c r="AK338" s="1073"/>
      <c r="AL338" s="1073"/>
      <c r="AM338" s="1073"/>
      <c r="AN338" s="1073"/>
      <c r="AO338" s="1073"/>
      <c r="AP338" s="1073"/>
      <c r="AQ338" s="1073"/>
      <c r="AR338" s="1073"/>
      <c r="AS338" s="1073"/>
      <c r="AT338" s="2"/>
      <c r="AU338" s="2"/>
    </row>
    <row r="339" spans="1:47" outlineLevel="1">
      <c r="A339" s="298"/>
      <c r="B339" s="2"/>
      <c r="C339" s="18"/>
      <c r="D339" s="18"/>
      <c r="E339" s="18"/>
      <c r="F339" s="18"/>
      <c r="G339" s="18"/>
      <c r="H339" s="18"/>
      <c r="I339" s="18"/>
      <c r="J339" s="18"/>
      <c r="K339" s="7"/>
      <c r="L339" s="7"/>
      <c r="M339" s="7"/>
      <c r="N339" s="7"/>
      <c r="O339" s="7"/>
      <c r="P339" s="7"/>
      <c r="Q339" s="7"/>
      <c r="R339" s="7"/>
      <c r="S339" s="7"/>
      <c r="T339" s="7"/>
      <c r="U339" s="7"/>
      <c r="V339" s="7"/>
      <c r="W339" s="7"/>
      <c r="X339" s="7"/>
      <c r="Y339" s="7"/>
      <c r="Z339" s="7"/>
      <c r="AA339" s="7"/>
      <c r="AB339" s="7"/>
      <c r="AC339" s="7"/>
      <c r="AD339" s="7"/>
      <c r="AE339" s="7"/>
      <c r="AF339" s="7"/>
      <c r="AG339" s="7"/>
      <c r="AH339" s="7"/>
      <c r="AI339" s="7"/>
      <c r="AJ339" s="7"/>
      <c r="AK339" s="7"/>
      <c r="AL339" s="7"/>
      <c r="AM339" s="7"/>
      <c r="AN339" s="7"/>
      <c r="AO339" s="7"/>
      <c r="AP339" s="7"/>
      <c r="AQ339" s="7"/>
      <c r="AR339" s="7"/>
      <c r="AS339" s="7"/>
      <c r="AT339" s="2"/>
      <c r="AU339" s="2"/>
    </row>
    <row r="340" spans="1:47" ht="15.6" outlineLevel="1">
      <c r="A340" s="298"/>
      <c r="B340" s="237" t="s">
        <v>1244</v>
      </c>
      <c r="C340" s="238"/>
      <c r="D340" s="239"/>
      <c r="E340" s="239"/>
      <c r="F340" s="239"/>
      <c r="G340" s="239"/>
      <c r="H340" s="239"/>
      <c r="I340" s="239"/>
      <c r="J340" s="239"/>
      <c r="K340" s="239"/>
      <c r="L340" s="239"/>
      <c r="M340" s="239"/>
      <c r="N340" s="239"/>
      <c r="O340" s="239"/>
      <c r="P340" s="239"/>
      <c r="Q340" s="239"/>
      <c r="R340" s="239"/>
      <c r="S340" s="239"/>
      <c r="T340" s="239"/>
      <c r="U340" s="239"/>
      <c r="V340" s="239"/>
      <c r="W340" s="239"/>
      <c r="X340" s="239"/>
      <c r="Y340" s="239"/>
      <c r="Z340" s="239"/>
      <c r="AA340" s="239"/>
      <c r="AB340" s="239"/>
      <c r="AC340" s="239"/>
      <c r="AD340" s="239"/>
      <c r="AE340" s="239"/>
      <c r="AF340" s="239"/>
      <c r="AG340" s="239"/>
      <c r="AH340" s="239"/>
      <c r="AI340" s="239"/>
      <c r="AJ340" s="239"/>
      <c r="AK340" s="239"/>
      <c r="AL340" s="239"/>
      <c r="AM340" s="239"/>
      <c r="AN340" s="239"/>
      <c r="AO340" s="270"/>
      <c r="AP340" s="240"/>
      <c r="AQ340" s="240"/>
      <c r="AR340" s="240"/>
      <c r="AS340" s="240"/>
      <c r="AT340" s="2"/>
      <c r="AU340" s="2"/>
    </row>
    <row r="341" spans="1:47" outlineLevel="1">
      <c r="A341" s="298"/>
      <c r="B341" s="2"/>
      <c r="C341" s="18"/>
      <c r="D341" s="18"/>
      <c r="E341" s="18"/>
      <c r="F341" s="18"/>
      <c r="G341" s="18"/>
      <c r="H341" s="18"/>
      <c r="I341" s="18"/>
      <c r="J341" s="18"/>
      <c r="K341" s="7"/>
      <c r="L341" s="7"/>
      <c r="M341" s="7"/>
      <c r="N341" s="7"/>
      <c r="O341" s="7"/>
      <c r="P341" s="7"/>
      <c r="Q341" s="7"/>
      <c r="R341" s="7"/>
      <c r="S341" s="7"/>
      <c r="T341" s="7"/>
      <c r="U341" s="7"/>
      <c r="V341" s="7"/>
      <c r="W341" s="7"/>
      <c r="X341" s="7"/>
      <c r="Y341" s="7"/>
      <c r="Z341" s="7"/>
      <c r="AA341" s="7"/>
      <c r="AB341" s="7"/>
      <c r="AC341" s="7"/>
      <c r="AD341" s="7"/>
      <c r="AE341" s="7"/>
      <c r="AF341" s="7"/>
      <c r="AG341" s="7"/>
      <c r="AH341" s="7"/>
      <c r="AI341" s="7"/>
      <c r="AJ341" s="7"/>
      <c r="AK341" s="7"/>
      <c r="AL341" s="7"/>
      <c r="AM341" s="7"/>
      <c r="AN341" s="7"/>
      <c r="AO341" s="7"/>
      <c r="AP341" s="7"/>
      <c r="AQ341" s="7"/>
      <c r="AR341" s="7"/>
      <c r="AS341" s="7"/>
      <c r="AT341" s="2"/>
      <c r="AU341" s="2"/>
    </row>
    <row r="342" spans="1:47" outlineLevel="1">
      <c r="A342" s="338"/>
      <c r="B342" s="9" t="s">
        <v>1285</v>
      </c>
      <c r="C342" s="48"/>
      <c r="D342" s="48"/>
      <c r="E342" s="48"/>
      <c r="F342" s="48"/>
      <c r="G342" s="48"/>
      <c r="H342" s="48"/>
      <c r="I342" s="48"/>
      <c r="J342" s="48"/>
      <c r="K342" s="49"/>
      <c r="L342" s="49"/>
      <c r="M342" s="49"/>
      <c r="N342" s="49"/>
      <c r="O342" s="49"/>
      <c r="P342" s="49"/>
      <c r="Q342" s="49"/>
      <c r="R342" s="49"/>
      <c r="S342" s="49"/>
      <c r="T342" s="49"/>
      <c r="U342" s="49"/>
      <c r="V342" s="49"/>
      <c r="W342" s="49"/>
      <c r="X342" s="49"/>
      <c r="Y342" s="49"/>
      <c r="Z342" s="49"/>
      <c r="AA342" s="49"/>
      <c r="AB342" s="49"/>
      <c r="AC342" s="49"/>
      <c r="AD342" s="49"/>
      <c r="AE342" s="49"/>
      <c r="AF342" s="49"/>
      <c r="AG342" s="49"/>
      <c r="AH342" s="49"/>
      <c r="AI342" s="49"/>
      <c r="AJ342" s="49"/>
      <c r="AK342" s="49"/>
      <c r="AL342" s="49"/>
      <c r="AM342" s="49"/>
      <c r="AN342" s="49"/>
      <c r="AO342" s="49"/>
      <c r="AP342" s="49"/>
      <c r="AQ342" s="49"/>
      <c r="AR342" s="49"/>
      <c r="AS342" s="49"/>
      <c r="AT342" s="9"/>
      <c r="AU342" s="9"/>
    </row>
    <row r="343" spans="1:47" outlineLevel="1">
      <c r="A343" s="298"/>
      <c r="B343" s="8" t="s">
        <v>1309</v>
      </c>
      <c r="C343" s="14" t="s">
        <v>846</v>
      </c>
      <c r="D343" s="18"/>
      <c r="E343" s="18"/>
      <c r="F343" s="18"/>
      <c r="G343" s="18"/>
      <c r="H343" s="18"/>
      <c r="I343" s="18"/>
      <c r="J343" s="18"/>
      <c r="K343" s="7"/>
      <c r="L343" s="7"/>
      <c r="M343" s="7"/>
      <c r="N343" s="7"/>
      <c r="O343" s="7"/>
      <c r="P343" s="7"/>
      <c r="Q343" s="7"/>
      <c r="R343" s="7"/>
      <c r="S343" s="7"/>
      <c r="T343" s="7"/>
      <c r="U343" s="7"/>
      <c r="V343" s="7"/>
      <c r="W343" s="7"/>
      <c r="X343" s="7"/>
      <c r="Y343" s="7"/>
      <c r="Z343" s="7"/>
      <c r="AA343" s="7"/>
      <c r="AB343" s="7"/>
      <c r="AC343" s="532"/>
      <c r="AD343" s="532"/>
      <c r="AE343" s="538">
        <v>203</v>
      </c>
      <c r="AF343" s="538">
        <v>188</v>
      </c>
      <c r="AG343" s="538">
        <v>179</v>
      </c>
      <c r="AH343" s="538">
        <v>160</v>
      </c>
      <c r="AI343" s="538">
        <v>154</v>
      </c>
      <c r="AJ343" s="538">
        <v>139.19999999999999</v>
      </c>
      <c r="AK343" s="12">
        <f t="shared" ref="AK343:AP343" si="470">AJ343*(1+AK344)</f>
        <v>125.82233766233765</v>
      </c>
      <c r="AL343" s="12">
        <f t="shared" si="470"/>
        <v>113.73032079608701</v>
      </c>
      <c r="AM343" s="12">
        <f t="shared" si="470"/>
        <v>102.80039386243709</v>
      </c>
      <c r="AN343" s="12">
        <f t="shared" si="470"/>
        <v>92.92087549124183</v>
      </c>
      <c r="AO343" s="12">
        <f t="shared" si="470"/>
        <v>83.990817327148463</v>
      </c>
      <c r="AP343" s="12">
        <f t="shared" si="470"/>
        <v>75.918972545058864</v>
      </c>
      <c r="AQ343" s="12">
        <f t="shared" ref="AQ343" si="471">AP343*(1+AQ344)</f>
        <v>68.62286349527399</v>
      </c>
      <c r="AR343" s="12">
        <f t="shared" ref="AR343:AS343" si="472">AQ343*(1+AR344)</f>
        <v>62.027938951572331</v>
      </c>
      <c r="AS343" s="12">
        <f t="shared" si="472"/>
        <v>56.066812351031615</v>
      </c>
      <c r="AT343" s="2"/>
      <c r="AU343" s="2"/>
    </row>
    <row r="344" spans="1:47" outlineLevel="1">
      <c r="A344" s="308"/>
      <c r="B344" s="325" t="s">
        <v>1099</v>
      </c>
      <c r="C344" s="310" t="s">
        <v>733</v>
      </c>
      <c r="D344" s="310"/>
      <c r="E344" s="310"/>
      <c r="F344" s="310"/>
      <c r="G344" s="310"/>
      <c r="H344" s="310"/>
      <c r="I344" s="310"/>
      <c r="J344" s="310"/>
      <c r="K344" s="311"/>
      <c r="L344" s="311"/>
      <c r="M344" s="311"/>
      <c r="N344" s="311"/>
      <c r="O344" s="311"/>
      <c r="P344" s="311"/>
      <c r="Q344" s="311"/>
      <c r="R344" s="311"/>
      <c r="S344" s="311"/>
      <c r="T344" s="311"/>
      <c r="U344" s="311"/>
      <c r="V344" s="311"/>
      <c r="W344" s="311"/>
      <c r="X344" s="311"/>
      <c r="Y344" s="311"/>
      <c r="Z344" s="311"/>
      <c r="AA344" s="311"/>
      <c r="AB344" s="311"/>
      <c r="AC344" s="311"/>
      <c r="AD344" s="311"/>
      <c r="AE344" s="311"/>
      <c r="AF344" s="313">
        <f>IFERROR(AF343/AE343-1, "")</f>
        <v>-7.3891625615763568E-2</v>
      </c>
      <c r="AG344" s="313">
        <f>IFERROR(AG343/AF343-1, "")</f>
        <v>-4.7872340425531901E-2</v>
      </c>
      <c r="AH344" s="313">
        <f>IFERROR(AH343/AG343-1, "")</f>
        <v>-0.1061452513966481</v>
      </c>
      <c r="AI344" s="313">
        <f>IFERROR(AI343/AH343-1, "")</f>
        <v>-3.7499999999999978E-2</v>
      </c>
      <c r="AJ344" s="313">
        <f>IFERROR(AJ343/AI343-1, "")</f>
        <v>-9.6103896103896136E-2</v>
      </c>
      <c r="AK344" s="621">
        <f t="shared" ref="AK344:AP344" si="473">AJ344</f>
        <v>-9.6103896103896136E-2</v>
      </c>
      <c r="AL344" s="621">
        <f t="shared" si="473"/>
        <v>-9.6103896103896136E-2</v>
      </c>
      <c r="AM344" s="621">
        <f t="shared" si="473"/>
        <v>-9.6103896103896136E-2</v>
      </c>
      <c r="AN344" s="621">
        <f t="shared" si="473"/>
        <v>-9.6103896103896136E-2</v>
      </c>
      <c r="AO344" s="621">
        <f t="shared" si="473"/>
        <v>-9.6103896103896136E-2</v>
      </c>
      <c r="AP344" s="621">
        <f t="shared" si="473"/>
        <v>-9.6103896103896136E-2</v>
      </c>
      <c r="AQ344" s="621">
        <f t="shared" ref="AQ344" si="474">AP344</f>
        <v>-9.6103896103896136E-2</v>
      </c>
      <c r="AR344" s="621">
        <f t="shared" ref="AR344:AS344" si="475">AQ344</f>
        <v>-9.6103896103896136E-2</v>
      </c>
      <c r="AS344" s="621">
        <f t="shared" si="475"/>
        <v>-9.6103896103896136E-2</v>
      </c>
      <c r="AT344" s="312"/>
      <c r="AU344" s="514"/>
    </row>
    <row r="345" spans="1:47" outlineLevel="1">
      <c r="A345" s="298"/>
      <c r="B345" s="8" t="s">
        <v>1311</v>
      </c>
      <c r="C345" s="14" t="s">
        <v>846</v>
      </c>
      <c r="D345" s="18"/>
      <c r="E345" s="18"/>
      <c r="F345" s="18"/>
      <c r="G345" s="18"/>
      <c r="H345" s="18"/>
      <c r="I345" s="18"/>
      <c r="J345" s="18"/>
      <c r="K345" s="7"/>
      <c r="L345" s="7"/>
      <c r="M345" s="7"/>
      <c r="N345" s="7"/>
      <c r="O345" s="7"/>
      <c r="P345" s="7"/>
      <c r="Q345" s="7"/>
      <c r="R345" s="7"/>
      <c r="S345" s="7"/>
      <c r="T345" s="7"/>
      <c r="U345" s="7"/>
      <c r="V345" s="7"/>
      <c r="W345" s="7"/>
      <c r="X345" s="7"/>
      <c r="Y345" s="7"/>
      <c r="Z345" s="7"/>
      <c r="AA345" s="7"/>
      <c r="AB345" s="7"/>
      <c r="AC345" s="7"/>
      <c r="AD345" s="7"/>
      <c r="AE345" s="334">
        <f t="shared" ref="AE345:AP345" si="476">AVERAGE(AD343:AE343)</f>
        <v>203</v>
      </c>
      <c r="AF345" s="334">
        <f t="shared" si="476"/>
        <v>195.5</v>
      </c>
      <c r="AG345" s="334">
        <f t="shared" si="476"/>
        <v>183.5</v>
      </c>
      <c r="AH345" s="334">
        <f t="shared" si="476"/>
        <v>169.5</v>
      </c>
      <c r="AI345" s="334">
        <f t="shared" si="476"/>
        <v>157</v>
      </c>
      <c r="AJ345" s="334">
        <f t="shared" si="476"/>
        <v>146.6</v>
      </c>
      <c r="AK345" s="334">
        <f t="shared" si="476"/>
        <v>132.51116883116882</v>
      </c>
      <c r="AL345" s="334">
        <f t="shared" si="476"/>
        <v>119.77632922921234</v>
      </c>
      <c r="AM345" s="334">
        <f t="shared" si="476"/>
        <v>108.26535732926206</v>
      </c>
      <c r="AN345" s="334">
        <f t="shared" si="476"/>
        <v>97.860634676839453</v>
      </c>
      <c r="AO345" s="334">
        <f t="shared" si="476"/>
        <v>88.455846409195146</v>
      </c>
      <c r="AP345" s="334">
        <f t="shared" si="476"/>
        <v>79.95489493610367</v>
      </c>
      <c r="AQ345" s="334">
        <f t="shared" ref="AQ345" si="477">AVERAGE(AP343:AQ343)</f>
        <v>72.27091802016642</v>
      </c>
      <c r="AR345" s="334">
        <f t="shared" ref="AR345:AS345" si="478">AVERAGE(AQ343:AR343)</f>
        <v>65.325401223423157</v>
      </c>
      <c r="AS345" s="334">
        <f t="shared" si="478"/>
        <v>59.047375651301977</v>
      </c>
      <c r="AT345" s="2"/>
      <c r="AU345" s="2"/>
    </row>
    <row r="346" spans="1:47" outlineLevel="1">
      <c r="A346" s="298"/>
      <c r="B346" s="8" t="s">
        <v>1310</v>
      </c>
      <c r="C346" s="14" t="s">
        <v>772</v>
      </c>
      <c r="D346" s="18"/>
      <c r="E346" s="18"/>
      <c r="F346" s="18"/>
      <c r="G346" s="18"/>
      <c r="H346" s="18"/>
      <c r="I346" s="18"/>
      <c r="J346" s="18"/>
      <c r="K346" s="7"/>
      <c r="L346" s="7"/>
      <c r="M346" s="7"/>
      <c r="N346" s="7"/>
      <c r="O346" s="7"/>
      <c r="P346" s="7"/>
      <c r="Q346" s="7"/>
      <c r="R346" s="7"/>
      <c r="S346" s="7"/>
      <c r="T346" s="7"/>
      <c r="U346" s="7"/>
      <c r="V346" s="7"/>
      <c r="W346" s="7"/>
      <c r="X346" s="7"/>
      <c r="Y346" s="7"/>
      <c r="Z346" s="7"/>
      <c r="AA346" s="7"/>
      <c r="AB346" s="7"/>
      <c r="AC346" s="7"/>
      <c r="AD346" s="7"/>
      <c r="AE346" s="539">
        <v>481.44</v>
      </c>
      <c r="AF346" s="539">
        <v>472.58</v>
      </c>
      <c r="AG346" s="539">
        <v>425.34</v>
      </c>
      <c r="AH346" s="539">
        <v>393.81</v>
      </c>
      <c r="AI346" s="419">
        <f>AI352-AI343</f>
        <v>594</v>
      </c>
      <c r="AJ346" s="419">
        <f t="shared" ref="AJ346:AP346" si="479">AI346*(1+AJ347)</f>
        <v>564.29999999999995</v>
      </c>
      <c r="AK346" s="419">
        <f t="shared" si="479"/>
        <v>564.29999999999995</v>
      </c>
      <c r="AL346" s="419">
        <f t="shared" si="479"/>
        <v>564.29999999999995</v>
      </c>
      <c r="AM346" s="419">
        <f t="shared" si="479"/>
        <v>564.29999999999995</v>
      </c>
      <c r="AN346" s="419">
        <f t="shared" si="479"/>
        <v>564.29999999999995</v>
      </c>
      <c r="AO346" s="419">
        <f t="shared" si="479"/>
        <v>564.29999999999995</v>
      </c>
      <c r="AP346" s="419">
        <f t="shared" si="479"/>
        <v>564.29999999999995</v>
      </c>
      <c r="AQ346" s="419">
        <f t="shared" ref="AQ346" si="480">AP346*(1+AQ347)</f>
        <v>564.29999999999995</v>
      </c>
      <c r="AR346" s="419">
        <f t="shared" ref="AR346:AS346" si="481">AQ346*(1+AR347)</f>
        <v>564.29999999999995</v>
      </c>
      <c r="AS346" s="419">
        <f t="shared" si="481"/>
        <v>564.29999999999995</v>
      </c>
      <c r="AT346" s="2"/>
      <c r="AU346" s="2"/>
    </row>
    <row r="347" spans="1:47" outlineLevel="1">
      <c r="A347" s="298"/>
      <c r="B347" s="325" t="s">
        <v>1099</v>
      </c>
      <c r="C347" s="14" t="s">
        <v>733</v>
      </c>
      <c r="D347" s="18"/>
      <c r="E347" s="18"/>
      <c r="F347" s="18"/>
      <c r="G347" s="18"/>
      <c r="H347" s="18"/>
      <c r="I347" s="18"/>
      <c r="J347" s="18"/>
      <c r="K347" s="7"/>
      <c r="L347" s="7"/>
      <c r="M347" s="7"/>
      <c r="N347" s="7"/>
      <c r="O347" s="7"/>
      <c r="P347" s="7"/>
      <c r="Q347" s="7"/>
      <c r="R347" s="7"/>
      <c r="S347" s="7"/>
      <c r="T347" s="7"/>
      <c r="U347" s="7"/>
      <c r="V347" s="7"/>
      <c r="W347" s="7"/>
      <c r="X347" s="7"/>
      <c r="Y347" s="7"/>
      <c r="Z347" s="7"/>
      <c r="AA347" s="7"/>
      <c r="AB347" s="7"/>
      <c r="AC347" s="7"/>
      <c r="AD347" s="7"/>
      <c r="AE347" s="7"/>
      <c r="AF347" s="313">
        <f>IFERROR(AF346/AE346-1, "")</f>
        <v>-1.8403123961449053E-2</v>
      </c>
      <c r="AG347" s="313">
        <f>IFERROR(AG346/AF346-1, "")</f>
        <v>-9.9961911210800336E-2</v>
      </c>
      <c r="AH347" s="313">
        <f>IFERROR(AH346/AG346-1, "")</f>
        <v>-7.4128932148398885E-2</v>
      </c>
      <c r="AI347" s="621">
        <v>-0.05</v>
      </c>
      <c r="AJ347" s="621">
        <f>AI347</f>
        <v>-0.05</v>
      </c>
      <c r="AK347" s="621">
        <v>0</v>
      </c>
      <c r="AL347" s="621">
        <f t="shared" ref="AL347:AP347" si="482">AK347</f>
        <v>0</v>
      </c>
      <c r="AM347" s="621">
        <f t="shared" si="482"/>
        <v>0</v>
      </c>
      <c r="AN347" s="621">
        <f t="shared" si="482"/>
        <v>0</v>
      </c>
      <c r="AO347" s="621">
        <f t="shared" si="482"/>
        <v>0</v>
      </c>
      <c r="AP347" s="621">
        <f t="shared" si="482"/>
        <v>0</v>
      </c>
      <c r="AQ347" s="621">
        <f t="shared" ref="AQ347" si="483">AP347</f>
        <v>0</v>
      </c>
      <c r="AR347" s="621">
        <f t="shared" ref="AR347:AS347" si="484">AQ347</f>
        <v>0</v>
      </c>
      <c r="AS347" s="621">
        <f t="shared" si="484"/>
        <v>0</v>
      </c>
      <c r="AT347" s="2"/>
      <c r="AU347" s="2"/>
    </row>
    <row r="348" spans="1:47" outlineLevel="1">
      <c r="A348" s="298"/>
      <c r="B348" s="8" t="s">
        <v>1312</v>
      </c>
      <c r="C348" s="14" t="s">
        <v>732</v>
      </c>
      <c r="D348" s="14"/>
      <c r="E348" s="18"/>
      <c r="F348" s="18"/>
      <c r="G348" s="18"/>
      <c r="H348" s="18"/>
      <c r="I348" s="18"/>
      <c r="J348" s="18"/>
      <c r="K348" s="7"/>
      <c r="L348" s="7"/>
      <c r="M348" s="7"/>
      <c r="N348" s="7"/>
      <c r="O348" s="7"/>
      <c r="P348" s="7"/>
      <c r="Q348" s="7"/>
      <c r="R348" s="7"/>
      <c r="S348" s="7"/>
      <c r="T348" s="7"/>
      <c r="U348" s="7"/>
      <c r="V348" s="7"/>
      <c r="W348" s="7"/>
      <c r="X348" s="7"/>
      <c r="Y348" s="7"/>
      <c r="Z348" s="7"/>
      <c r="AA348" s="7"/>
      <c r="AB348" s="7"/>
      <c r="AC348" s="7"/>
      <c r="AD348" s="7"/>
      <c r="AE348" s="7">
        <f>+AE345*AE346/1000*12</f>
        <v>1172.78784</v>
      </c>
      <c r="AF348" s="7">
        <f>+AF345*AF346/1000*12</f>
        <v>1108.6726800000001</v>
      </c>
      <c r="AG348" s="7">
        <f>+AG345*AG346/1000*12</f>
        <v>936.59868000000006</v>
      </c>
      <c r="AH348" s="7">
        <f>+AH345*AH346/1000*12</f>
        <v>801.00954000000002</v>
      </c>
      <c r="AI348" s="7">
        <f t="shared" ref="AI348:AO348" si="485">+AI345*AI346/1000*12</f>
        <v>1119.096</v>
      </c>
      <c r="AJ348" s="7">
        <f t="shared" si="485"/>
        <v>992.71655999999984</v>
      </c>
      <c r="AK348" s="7">
        <f t="shared" si="485"/>
        <v>897.31263085714272</v>
      </c>
      <c r="AL348" s="7">
        <f t="shared" si="485"/>
        <v>811.07739100853416</v>
      </c>
      <c r="AM348" s="7">
        <f t="shared" si="485"/>
        <v>733.12969369083089</v>
      </c>
      <c r="AN348" s="7">
        <f t="shared" si="485"/>
        <v>662.673073777686</v>
      </c>
      <c r="AO348" s="7">
        <f t="shared" si="485"/>
        <v>598.98760954450586</v>
      </c>
      <c r="AP348" s="7">
        <f>+AP345*AP346/1000*12</f>
        <v>541.42256654931964</v>
      </c>
      <c r="AQ348" s="7">
        <f t="shared" ref="AQ348:AR348" si="486">+AQ345*AQ346/1000*12</f>
        <v>489.38974846535882</v>
      </c>
      <c r="AR348" s="7">
        <f t="shared" si="486"/>
        <v>442.35748692453217</v>
      </c>
      <c r="AS348" s="7">
        <f t="shared" ref="AS348" si="487">+AS345*AS346/1000*12</f>
        <v>399.84520896035639</v>
      </c>
      <c r="AT348" s="2"/>
      <c r="AU348" s="2"/>
    </row>
    <row r="349" spans="1:47" outlineLevel="1">
      <c r="A349" s="298"/>
      <c r="B349" s="322" t="s">
        <v>1099</v>
      </c>
      <c r="C349" s="310" t="s">
        <v>733</v>
      </c>
      <c r="D349" s="18"/>
      <c r="E349" s="18"/>
      <c r="F349" s="18"/>
      <c r="G349" s="18"/>
      <c r="H349" s="18"/>
      <c r="I349" s="18"/>
      <c r="J349" s="18"/>
      <c r="K349" s="254"/>
      <c r="L349" s="254"/>
      <c r="M349" s="254"/>
      <c r="N349" s="254"/>
      <c r="O349" s="254"/>
      <c r="P349" s="254"/>
      <c r="Q349" s="254"/>
      <c r="R349" s="254"/>
      <c r="S349" s="254"/>
      <c r="T349" s="254"/>
      <c r="U349" s="254"/>
      <c r="V349" s="254"/>
      <c r="W349" s="254"/>
      <c r="X349" s="254"/>
      <c r="Y349" s="254"/>
      <c r="Z349" s="254"/>
      <c r="AA349" s="254"/>
      <c r="AB349" s="254"/>
      <c r="AC349" s="313"/>
      <c r="AD349" s="313"/>
      <c r="AE349" s="313"/>
      <c r="AF349" s="313">
        <f t="shared" ref="AF349:AP349" si="488">IFERROR(AF348/AE348-1, "")</f>
        <v>-5.4669018396370728E-2</v>
      </c>
      <c r="AG349" s="313">
        <f t="shared" si="488"/>
        <v>-0.15520721589351338</v>
      </c>
      <c r="AH349" s="313">
        <f>IFERROR(AH348/AG348-1, "")</f>
        <v>-0.14476759672563289</v>
      </c>
      <c r="AI349" s="313">
        <f t="shared" si="488"/>
        <v>0.39710695580479594</v>
      </c>
      <c r="AJ349" s="313">
        <f>IFERROR(AJ348/AI348-1, "")</f>
        <v>-0.11292993630573267</v>
      </c>
      <c r="AK349" s="313">
        <f t="shared" si="488"/>
        <v>-9.6103896103896136E-2</v>
      </c>
      <c r="AL349" s="313">
        <f t="shared" si="488"/>
        <v>-9.6103896103896136E-2</v>
      </c>
      <c r="AM349" s="313">
        <f t="shared" si="488"/>
        <v>-9.6103896103896136E-2</v>
      </c>
      <c r="AN349" s="313">
        <f t="shared" si="488"/>
        <v>-9.6103896103896247E-2</v>
      </c>
      <c r="AO349" s="313">
        <f t="shared" si="488"/>
        <v>-9.6103896103896025E-2</v>
      </c>
      <c r="AP349" s="313">
        <f t="shared" si="488"/>
        <v>-9.6103896103896025E-2</v>
      </c>
      <c r="AQ349" s="313">
        <f t="shared" ref="AQ349" si="489">IFERROR(AQ348/AP348-1, "")</f>
        <v>-9.610389610389658E-2</v>
      </c>
      <c r="AR349" s="313">
        <f t="shared" ref="AR349:AS349" si="490">IFERROR(AR348/AQ348-1, "")</f>
        <v>-9.6103896103896025E-2</v>
      </c>
      <c r="AS349" s="313">
        <f t="shared" si="490"/>
        <v>-9.6103896103896025E-2</v>
      </c>
      <c r="AT349" s="2"/>
      <c r="AU349" s="2"/>
    </row>
    <row r="350" spans="1:47" outlineLevel="1">
      <c r="A350" s="298"/>
      <c r="B350" s="9"/>
      <c r="C350" s="8"/>
      <c r="D350" s="14"/>
      <c r="E350" s="18"/>
      <c r="F350" s="18"/>
      <c r="G350" s="18"/>
      <c r="H350" s="18"/>
      <c r="I350" s="18"/>
      <c r="J350" s="18"/>
      <c r="K350" s="7"/>
      <c r="L350" s="7"/>
      <c r="M350" s="7"/>
      <c r="N350" s="7"/>
      <c r="O350" s="7"/>
      <c r="P350" s="7"/>
      <c r="Q350" s="7"/>
      <c r="R350" s="7"/>
      <c r="S350" s="7"/>
      <c r="T350" s="7"/>
      <c r="U350" s="7"/>
      <c r="V350" s="7"/>
      <c r="W350" s="7"/>
      <c r="X350" s="7"/>
      <c r="Y350" s="7"/>
      <c r="Z350" s="7"/>
      <c r="AA350" s="7"/>
      <c r="AB350" s="7"/>
      <c r="AC350" s="7"/>
      <c r="AD350" s="7"/>
      <c r="AE350" s="7"/>
      <c r="AF350" s="7"/>
      <c r="AG350" s="7"/>
      <c r="AH350" s="7"/>
      <c r="AI350" s="7"/>
      <c r="AJ350" s="7"/>
      <c r="AK350" s="7"/>
      <c r="AL350" s="7"/>
      <c r="AM350" s="7"/>
      <c r="AN350" s="7"/>
      <c r="AO350" s="7"/>
      <c r="AP350" s="7"/>
      <c r="AQ350" s="7"/>
      <c r="AR350" s="7"/>
      <c r="AS350" s="7"/>
      <c r="AT350" s="2"/>
      <c r="AU350" s="2"/>
    </row>
    <row r="351" spans="1:47" outlineLevel="1">
      <c r="A351" s="298"/>
      <c r="B351" s="9" t="s">
        <v>1166</v>
      </c>
      <c r="C351" s="8"/>
      <c r="D351" s="14"/>
      <c r="E351" s="18"/>
      <c r="F351" s="18"/>
      <c r="G351" s="18"/>
      <c r="H351" s="18"/>
      <c r="I351" s="18"/>
      <c r="J351" s="18"/>
      <c r="K351" s="7"/>
      <c r="L351" s="7"/>
      <c r="M351" s="7"/>
      <c r="N351" s="7"/>
      <c r="O351" s="7"/>
      <c r="P351" s="7"/>
      <c r="Q351" s="7"/>
      <c r="R351" s="7"/>
      <c r="S351" s="7"/>
      <c r="T351" s="7"/>
      <c r="U351" s="7"/>
      <c r="V351" s="7"/>
      <c r="W351" s="7"/>
      <c r="X351" s="7"/>
      <c r="Y351" s="7"/>
      <c r="Z351" s="7"/>
      <c r="AA351" s="7"/>
      <c r="AB351" s="7"/>
      <c r="AC351" s="7"/>
      <c r="AD351" s="7"/>
      <c r="AE351" s="7"/>
      <c r="AF351" s="7"/>
      <c r="AG351" s="7"/>
      <c r="AH351" s="7"/>
      <c r="AI351" s="7"/>
      <c r="AJ351" s="7"/>
      <c r="AK351" s="7"/>
      <c r="AL351" s="7"/>
      <c r="AM351" s="7"/>
      <c r="AN351" s="7"/>
      <c r="AO351" s="7"/>
      <c r="AP351" s="7"/>
      <c r="AQ351" s="7"/>
      <c r="AR351" s="7"/>
      <c r="AS351" s="7"/>
      <c r="AT351" s="2"/>
      <c r="AU351" s="2"/>
    </row>
    <row r="352" spans="1:47" outlineLevel="1">
      <c r="A352" s="298"/>
      <c r="B352" s="8" t="s">
        <v>1244</v>
      </c>
      <c r="C352" s="14" t="s">
        <v>732</v>
      </c>
      <c r="D352" s="18"/>
      <c r="E352" s="18"/>
      <c r="F352" s="18"/>
      <c r="G352" s="18"/>
      <c r="H352" s="18"/>
      <c r="I352" s="18"/>
      <c r="J352" s="18"/>
      <c r="K352" s="7"/>
      <c r="L352" s="7"/>
      <c r="M352" s="7"/>
      <c r="N352" s="7"/>
      <c r="O352" s="7"/>
      <c r="P352" s="7"/>
      <c r="Q352" s="7"/>
      <c r="R352" s="7"/>
      <c r="S352" s="7"/>
      <c r="T352" s="7"/>
      <c r="U352" s="7"/>
      <c r="V352" s="7"/>
      <c r="W352" s="7"/>
      <c r="X352" s="7"/>
      <c r="Y352" s="7"/>
      <c r="Z352" s="7"/>
      <c r="AA352" s="7"/>
      <c r="AB352" s="7"/>
      <c r="AC352" s="532">
        <v>1366</v>
      </c>
      <c r="AD352" s="532">
        <v>1281</v>
      </c>
      <c r="AE352" s="532">
        <v>1193</v>
      </c>
      <c r="AF352" s="532">
        <v>1103</v>
      </c>
      <c r="AG352" s="532">
        <v>956</v>
      </c>
      <c r="AH352" s="532">
        <v>801</v>
      </c>
      <c r="AI352" s="532">
        <v>748</v>
      </c>
      <c r="AJ352" s="532">
        <v>679</v>
      </c>
      <c r="AK352" s="2"/>
      <c r="AL352" s="2"/>
      <c r="AM352" s="2"/>
      <c r="AN352" s="2"/>
      <c r="AO352" s="2"/>
      <c r="AP352" s="2"/>
      <c r="AQ352" s="2"/>
      <c r="AR352" s="2"/>
      <c r="AS352" s="2"/>
      <c r="AT352" s="2"/>
      <c r="AU352" s="2"/>
    </row>
    <row r="353" spans="1:47" outlineLevel="1">
      <c r="A353" s="298"/>
      <c r="B353" s="9"/>
      <c r="C353" s="8"/>
      <c r="D353" s="14"/>
      <c r="E353" s="18"/>
      <c r="F353" s="18"/>
      <c r="G353" s="18"/>
      <c r="H353" s="18"/>
      <c r="I353" s="18"/>
      <c r="J353" s="18"/>
      <c r="K353" s="7"/>
      <c r="L353" s="7"/>
      <c r="M353" s="7"/>
      <c r="N353" s="7"/>
      <c r="O353" s="7"/>
      <c r="P353" s="7"/>
      <c r="Q353" s="7"/>
      <c r="R353" s="7"/>
      <c r="S353" s="7"/>
      <c r="T353" s="7"/>
      <c r="U353" s="7"/>
      <c r="V353" s="7"/>
      <c r="W353" s="7"/>
      <c r="X353" s="7"/>
      <c r="Y353" s="7"/>
      <c r="Z353" s="7"/>
      <c r="AA353" s="7"/>
      <c r="AB353" s="7"/>
      <c r="AC353" s="7"/>
      <c r="AD353" s="7"/>
      <c r="AE353" s="7"/>
      <c r="AF353" s="7"/>
      <c r="AG353" s="7"/>
      <c r="AH353" s="7"/>
      <c r="AI353" s="7"/>
      <c r="AJ353" s="7"/>
      <c r="AK353" s="7"/>
      <c r="AL353" s="7"/>
      <c r="AM353" s="7"/>
      <c r="AN353" s="7"/>
      <c r="AO353" s="7"/>
      <c r="AP353" s="7"/>
      <c r="AQ353" s="7"/>
      <c r="AR353" s="7"/>
      <c r="AS353" s="7"/>
      <c r="AT353" s="2"/>
      <c r="AU353" s="2"/>
    </row>
    <row r="354" spans="1:47" outlineLevel="1">
      <c r="A354" s="338"/>
      <c r="B354" s="9" t="s">
        <v>731</v>
      </c>
      <c r="C354" s="48" t="s">
        <v>732</v>
      </c>
      <c r="D354" s="48"/>
      <c r="E354" s="48"/>
      <c r="F354" s="48"/>
      <c r="G354" s="48"/>
      <c r="H354" s="48"/>
      <c r="I354" s="48"/>
      <c r="J354" s="48"/>
      <c r="K354" s="49"/>
      <c r="L354" s="49"/>
      <c r="M354" s="49"/>
      <c r="N354" s="49"/>
      <c r="O354" s="49"/>
      <c r="P354" s="49"/>
      <c r="Q354" s="49"/>
      <c r="R354" s="49"/>
      <c r="S354" s="49"/>
      <c r="T354" s="49"/>
      <c r="U354" s="49"/>
      <c r="V354" s="49"/>
      <c r="W354" s="49"/>
      <c r="X354" s="49"/>
      <c r="Y354" s="49"/>
      <c r="Z354" s="49"/>
      <c r="AA354" s="49"/>
      <c r="AB354" s="49"/>
      <c r="AC354" s="49">
        <v>1366</v>
      </c>
      <c r="AD354" s="49">
        <f>+AD352</f>
        <v>1281</v>
      </c>
      <c r="AE354" s="49">
        <f>+AE352</f>
        <v>1193</v>
      </c>
      <c r="AF354" s="49">
        <f>+AF352</f>
        <v>1103</v>
      </c>
      <c r="AG354" s="49">
        <f>+AG352</f>
        <v>956</v>
      </c>
      <c r="AH354" s="49">
        <f>+AH348</f>
        <v>801.00954000000002</v>
      </c>
      <c r="AI354" s="49">
        <f>AI352</f>
        <v>748</v>
      </c>
      <c r="AJ354" s="49">
        <f>AJ352</f>
        <v>679</v>
      </c>
      <c r="AK354" s="49">
        <f t="shared" ref="AK354:AO354" si="491">+AK348</f>
        <v>897.31263085714272</v>
      </c>
      <c r="AL354" s="49">
        <f t="shared" si="491"/>
        <v>811.07739100853416</v>
      </c>
      <c r="AM354" s="49">
        <f t="shared" si="491"/>
        <v>733.12969369083089</v>
      </c>
      <c r="AN354" s="49">
        <f t="shared" si="491"/>
        <v>662.673073777686</v>
      </c>
      <c r="AO354" s="49">
        <f t="shared" si="491"/>
        <v>598.98760954450586</v>
      </c>
      <c r="AP354" s="49">
        <f>+AP348</f>
        <v>541.42256654931964</v>
      </c>
      <c r="AQ354" s="49">
        <f t="shared" ref="AQ354:AR354" si="492">+AQ348</f>
        <v>489.38974846535882</v>
      </c>
      <c r="AR354" s="49">
        <f t="shared" si="492"/>
        <v>442.35748692453217</v>
      </c>
      <c r="AS354" s="49">
        <f t="shared" ref="AS354" si="493">+AS348</f>
        <v>399.84520896035639</v>
      </c>
      <c r="AT354" s="9"/>
      <c r="AU354" s="9"/>
    </row>
    <row r="355" spans="1:47" outlineLevel="1">
      <c r="A355" s="298"/>
      <c r="B355" s="322" t="s">
        <v>1099</v>
      </c>
      <c r="C355" s="310" t="s">
        <v>733</v>
      </c>
      <c r="D355" s="18"/>
      <c r="E355" s="18"/>
      <c r="F355" s="18"/>
      <c r="G355" s="18"/>
      <c r="H355" s="18"/>
      <c r="I355" s="18"/>
      <c r="J355" s="18"/>
      <c r="K355" s="254"/>
      <c r="L355" s="254"/>
      <c r="M355" s="254"/>
      <c r="N355" s="254"/>
      <c r="O355" s="254"/>
      <c r="P355" s="254"/>
      <c r="Q355" s="254"/>
      <c r="R355" s="254"/>
      <c r="S355" s="254"/>
      <c r="T355" s="254"/>
      <c r="U355" s="254"/>
      <c r="V355" s="254"/>
      <c r="W355" s="254"/>
      <c r="X355" s="254"/>
      <c r="Y355" s="254"/>
      <c r="Z355" s="254"/>
      <c r="AA355" s="254"/>
      <c r="AB355" s="254"/>
      <c r="AC355" s="313"/>
      <c r="AD355" s="313">
        <f t="shared" ref="AD355:AP355" si="494">IFERROR(AD354/AC354-1, "")</f>
        <v>-6.2225475841874101E-2</v>
      </c>
      <c r="AE355" s="313">
        <f t="shared" si="494"/>
        <v>-6.8696330991412924E-2</v>
      </c>
      <c r="AF355" s="313">
        <f t="shared" si="494"/>
        <v>-7.5440067057837346E-2</v>
      </c>
      <c r="AG355" s="313">
        <f t="shared" si="494"/>
        <v>-0.13327289211242066</v>
      </c>
      <c r="AH355" s="313">
        <f>IFERROR(AH354/AG354-1, "")</f>
        <v>-0.16212391213389121</v>
      </c>
      <c r="AI355" s="313">
        <f>IFERROR(AI354/AH354-1, "")</f>
        <v>-6.6178412806419229E-2</v>
      </c>
      <c r="AJ355" s="313">
        <f>IFERROR(AJ354/AI354-1, "")</f>
        <v>-9.224598930481287E-2</v>
      </c>
      <c r="AK355" s="313">
        <f t="shared" si="494"/>
        <v>0.32152081127708798</v>
      </c>
      <c r="AL355" s="313">
        <f t="shared" si="494"/>
        <v>-9.6103896103896136E-2</v>
      </c>
      <c r="AM355" s="313">
        <f t="shared" si="494"/>
        <v>-9.6103896103896136E-2</v>
      </c>
      <c r="AN355" s="313">
        <f t="shared" si="494"/>
        <v>-9.6103896103896247E-2</v>
      </c>
      <c r="AO355" s="313">
        <f t="shared" si="494"/>
        <v>-9.6103896103896025E-2</v>
      </c>
      <c r="AP355" s="313">
        <f t="shared" si="494"/>
        <v>-9.6103896103896025E-2</v>
      </c>
      <c r="AQ355" s="313">
        <f t="shared" ref="AQ355" si="495">IFERROR(AQ354/AP354-1, "")</f>
        <v>-9.610389610389658E-2</v>
      </c>
      <c r="AR355" s="313">
        <f t="shared" ref="AR355:AS355" si="496">IFERROR(AR354/AQ354-1, "")</f>
        <v>-9.6103896103896025E-2</v>
      </c>
      <c r="AS355" s="313">
        <f t="shared" si="496"/>
        <v>-9.6103896103896025E-2</v>
      </c>
      <c r="AT355" s="2"/>
      <c r="AU355" s="2"/>
    </row>
    <row r="356" spans="1:47" outlineLevel="1">
      <c r="A356" s="298"/>
      <c r="B356" s="9"/>
      <c r="C356" s="8"/>
      <c r="D356" s="14"/>
      <c r="E356" s="18"/>
      <c r="F356" s="18"/>
      <c r="G356" s="18"/>
      <c r="H356" s="18"/>
      <c r="I356" s="18"/>
      <c r="J356" s="18"/>
      <c r="K356" s="7"/>
      <c r="L356" s="7"/>
      <c r="M356" s="7"/>
      <c r="N356" s="7"/>
      <c r="O356" s="7"/>
      <c r="P356" s="7"/>
      <c r="Q356" s="7"/>
      <c r="R356" s="7"/>
      <c r="S356" s="7"/>
      <c r="T356" s="7"/>
      <c r="U356" s="7"/>
      <c r="V356" s="7"/>
      <c r="W356" s="7"/>
      <c r="X356" s="7"/>
      <c r="Y356" s="7"/>
      <c r="Z356" s="7"/>
      <c r="AA356" s="7"/>
      <c r="AB356" s="7"/>
      <c r="AC356" s="7"/>
      <c r="AD356" s="7"/>
      <c r="AE356" s="7"/>
      <c r="AF356" s="7"/>
      <c r="AG356" s="7"/>
      <c r="AH356" s="7"/>
      <c r="AI356" s="7"/>
      <c r="AJ356" s="7"/>
      <c r="AK356" s="7"/>
      <c r="AL356" s="7"/>
      <c r="AM356" s="7"/>
      <c r="AN356" s="7"/>
      <c r="AO356" s="7"/>
      <c r="AP356" s="7"/>
      <c r="AQ356" s="7"/>
      <c r="AR356" s="7"/>
      <c r="AS356" s="7"/>
      <c r="AT356" s="2"/>
      <c r="AU356" s="2"/>
    </row>
    <row r="357" spans="1:47" ht="15.6" outlineLevel="1">
      <c r="A357" s="298"/>
      <c r="B357" s="237" t="s">
        <v>657</v>
      </c>
      <c r="C357" s="238"/>
      <c r="D357" s="239"/>
      <c r="E357" s="239"/>
      <c r="F357" s="239"/>
      <c r="G357" s="239"/>
      <c r="H357" s="239"/>
      <c r="I357" s="239"/>
      <c r="J357" s="239"/>
      <c r="K357" s="239"/>
      <c r="L357" s="239"/>
      <c r="M357" s="239"/>
      <c r="N357" s="239"/>
      <c r="O357" s="239"/>
      <c r="P357" s="239"/>
      <c r="Q357" s="239"/>
      <c r="R357" s="239"/>
      <c r="S357" s="239"/>
      <c r="T357" s="239"/>
      <c r="U357" s="239"/>
      <c r="V357" s="239"/>
      <c r="W357" s="239"/>
      <c r="X357" s="239"/>
      <c r="Y357" s="239"/>
      <c r="Z357" s="239"/>
      <c r="AA357" s="239"/>
      <c r="AB357" s="239"/>
      <c r="AC357" s="239"/>
      <c r="AD357" s="239"/>
      <c r="AE357" s="239"/>
      <c r="AF357" s="239"/>
      <c r="AG357" s="239"/>
      <c r="AH357" s="239"/>
      <c r="AI357" s="239"/>
      <c r="AJ357" s="239"/>
      <c r="AK357" s="239"/>
      <c r="AL357" s="239"/>
      <c r="AM357" s="239"/>
      <c r="AN357" s="239"/>
      <c r="AO357" s="270"/>
      <c r="AP357" s="240"/>
      <c r="AQ357" s="240"/>
      <c r="AR357" s="240"/>
      <c r="AS357" s="240"/>
      <c r="AT357" s="2"/>
      <c r="AU357" s="2"/>
    </row>
    <row r="358" spans="1:47" outlineLevel="1">
      <c r="A358" s="298"/>
      <c r="B358" s="2"/>
      <c r="C358" s="18"/>
      <c r="D358" s="18"/>
      <c r="E358" s="18"/>
      <c r="F358" s="18"/>
      <c r="G358" s="18"/>
      <c r="H358" s="18"/>
      <c r="I358" s="18"/>
      <c r="J358" s="18"/>
      <c r="K358" s="6"/>
      <c r="L358" s="6"/>
      <c r="M358" s="6"/>
      <c r="N358" s="6"/>
      <c r="O358" s="6"/>
      <c r="P358" s="6"/>
      <c r="Q358" s="6"/>
      <c r="R358" s="6"/>
      <c r="S358" s="6"/>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row>
    <row r="359" spans="1:47" outlineLevel="1">
      <c r="A359" s="298"/>
      <c r="B359" s="9" t="s">
        <v>1247</v>
      </c>
      <c r="C359" s="18"/>
      <c r="D359" s="18"/>
      <c r="E359" s="18"/>
      <c r="F359" s="18"/>
      <c r="G359" s="18"/>
      <c r="H359" s="18"/>
      <c r="I359" s="18"/>
      <c r="J359" s="18"/>
      <c r="K359" s="6"/>
      <c r="L359" s="6"/>
      <c r="M359" s="6"/>
      <c r="N359" s="6"/>
      <c r="O359" s="6"/>
      <c r="P359" s="6"/>
      <c r="Q359" s="6"/>
      <c r="R359" s="6"/>
      <c r="S359" s="6"/>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row>
    <row r="360" spans="1:47" outlineLevel="1">
      <c r="A360" s="298"/>
      <c r="B360" s="438" t="s">
        <v>1257</v>
      </c>
      <c r="C360" s="14" t="s">
        <v>732</v>
      </c>
      <c r="D360" s="18"/>
      <c r="E360" s="18"/>
      <c r="F360" s="18"/>
      <c r="G360" s="18"/>
      <c r="H360" s="18"/>
      <c r="I360" s="18"/>
      <c r="J360" s="18"/>
      <c r="K360" s="7"/>
      <c r="L360" s="7"/>
      <c r="M360" s="7"/>
      <c r="N360" s="7"/>
      <c r="O360" s="7"/>
      <c r="P360" s="7"/>
      <c r="Q360" s="7"/>
      <c r="R360" s="7"/>
      <c r="S360" s="7"/>
      <c r="T360" s="7"/>
      <c r="U360" s="7"/>
      <c r="V360" s="7"/>
      <c r="W360" s="7"/>
      <c r="X360" s="7"/>
      <c r="Y360" s="7"/>
      <c r="Z360" s="7"/>
      <c r="AA360" s="7"/>
      <c r="AB360" s="7"/>
      <c r="AC360" s="532">
        <v>1027</v>
      </c>
      <c r="AD360" s="532">
        <v>946</v>
      </c>
      <c r="AE360" s="532">
        <v>828</v>
      </c>
      <c r="AF360" s="532">
        <v>708</v>
      </c>
      <c r="AG360" s="532">
        <v>637</v>
      </c>
      <c r="AH360" s="532">
        <v>480</v>
      </c>
      <c r="AI360" s="532">
        <v>412</v>
      </c>
      <c r="AJ360" s="532">
        <v>389</v>
      </c>
      <c r="AK360" s="7">
        <f t="shared" ref="AK360:AP360" si="497">+AJ360*(1+AK369)</f>
        <v>367.28398058252429</v>
      </c>
      <c r="AL360" s="7">
        <f t="shared" si="497"/>
        <v>346.78026321990768</v>
      </c>
      <c r="AM360" s="7">
        <f t="shared" si="497"/>
        <v>327.42117085568952</v>
      </c>
      <c r="AN360" s="7">
        <f t="shared" si="497"/>
        <v>309.14280452151269</v>
      </c>
      <c r="AO360" s="7">
        <f t="shared" si="497"/>
        <v>291.88483242443795</v>
      </c>
      <c r="AP360" s="7">
        <f t="shared" si="497"/>
        <v>275.59029080851059</v>
      </c>
      <c r="AQ360" s="7">
        <f t="shared" ref="AQ360:AQ365" si="498">+AP360*(1+AQ369)</f>
        <v>260.20539593327823</v>
      </c>
      <c r="AR360" s="7">
        <f t="shared" ref="AR360:AS365" si="499">+AQ360*(1+AR369)</f>
        <v>245.67936654865349</v>
      </c>
      <c r="AS360" s="7">
        <f t="shared" si="499"/>
        <v>231.9642562801607</v>
      </c>
      <c r="AT360" s="2"/>
      <c r="AU360" s="2"/>
    </row>
    <row r="361" spans="1:47" outlineLevel="1">
      <c r="A361" s="298"/>
      <c r="B361" s="438" t="s">
        <v>1258</v>
      </c>
      <c r="C361" s="18" t="s">
        <v>732</v>
      </c>
      <c r="D361" s="18"/>
      <c r="E361" s="18"/>
      <c r="F361" s="18"/>
      <c r="G361" s="18"/>
      <c r="H361" s="18"/>
      <c r="I361" s="18"/>
      <c r="J361" s="18"/>
      <c r="K361" s="7"/>
      <c r="L361" s="7"/>
      <c r="M361" s="7"/>
      <c r="N361" s="7"/>
      <c r="O361" s="7"/>
      <c r="P361" s="7"/>
      <c r="Q361" s="7"/>
      <c r="R361" s="7"/>
      <c r="S361" s="7"/>
      <c r="T361" s="7"/>
      <c r="U361" s="7"/>
      <c r="V361" s="7"/>
      <c r="W361" s="7"/>
      <c r="X361" s="7"/>
      <c r="Y361" s="7"/>
      <c r="Z361" s="7"/>
      <c r="AA361" s="7"/>
      <c r="AB361" s="7"/>
      <c r="AC361" s="532">
        <v>624</v>
      </c>
      <c r="AD361" s="532">
        <v>636</v>
      </c>
      <c r="AE361" s="532">
        <v>634</v>
      </c>
      <c r="AF361" s="532">
        <v>671</v>
      </c>
      <c r="AG361" s="532">
        <v>738</v>
      </c>
      <c r="AH361" s="532">
        <v>772</v>
      </c>
      <c r="AI361" s="532">
        <v>788</v>
      </c>
      <c r="AJ361" s="532">
        <v>821</v>
      </c>
      <c r="AK361" s="7">
        <f t="shared" ref="AK361:AP361" si="500">+AJ361*(1+AK370)</f>
        <v>855.38197969543137</v>
      </c>
      <c r="AL361" s="7">
        <f t="shared" si="500"/>
        <v>891.20381387049383</v>
      </c>
      <c r="AM361" s="7">
        <f t="shared" si="500"/>
        <v>928.525800999588</v>
      </c>
      <c r="AN361" s="7">
        <f t="shared" si="500"/>
        <v>967.41076474703266</v>
      </c>
      <c r="AO361" s="7">
        <f t="shared" si="500"/>
        <v>1007.9241597174032</v>
      </c>
      <c r="AP361" s="7">
        <f t="shared" si="500"/>
        <v>1050.1341816345025</v>
      </c>
      <c r="AQ361" s="7">
        <f t="shared" si="498"/>
        <v>1094.1118821344246</v>
      </c>
      <c r="AR361" s="7">
        <f t="shared" si="499"/>
        <v>1139.9312883659422</v>
      </c>
      <c r="AS361" s="7">
        <f t="shared" si="499"/>
        <v>1187.6695275995412</v>
      </c>
      <c r="AT361" s="2"/>
      <c r="AU361" s="2"/>
    </row>
    <row r="362" spans="1:47" outlineLevel="1">
      <c r="A362" s="298"/>
      <c r="B362" s="438" t="s">
        <v>1308</v>
      </c>
      <c r="C362" s="18" t="s">
        <v>732</v>
      </c>
      <c r="D362" s="18"/>
      <c r="E362" s="18"/>
      <c r="F362" s="18"/>
      <c r="G362" s="18"/>
      <c r="H362" s="18"/>
      <c r="I362" s="18"/>
      <c r="J362" s="18"/>
      <c r="K362" s="7"/>
      <c r="L362" s="7"/>
      <c r="M362" s="7"/>
      <c r="N362" s="7"/>
      <c r="O362" s="7"/>
      <c r="P362" s="7"/>
      <c r="Q362" s="7"/>
      <c r="R362" s="7"/>
      <c r="S362" s="7"/>
      <c r="T362" s="7"/>
      <c r="U362" s="7"/>
      <c r="V362" s="7"/>
      <c r="W362" s="7"/>
      <c r="X362" s="7"/>
      <c r="Y362" s="7"/>
      <c r="Z362" s="7"/>
      <c r="AA362" s="7"/>
      <c r="AB362" s="7"/>
      <c r="AC362" s="532">
        <v>549</v>
      </c>
      <c r="AD362" s="532">
        <v>493</v>
      </c>
      <c r="AE362" s="532">
        <v>427</v>
      </c>
      <c r="AF362" s="532">
        <v>376</v>
      </c>
      <c r="AG362" s="532">
        <v>439</v>
      </c>
      <c r="AH362" s="532">
        <v>542</v>
      </c>
      <c r="AI362" s="532">
        <v>503</v>
      </c>
      <c r="AJ362" s="532">
        <v>537</v>
      </c>
      <c r="AK362" s="7">
        <f t="shared" ref="AK362:AP362" si="501">+AJ362*(1+AK371)</f>
        <v>573.29821073558651</v>
      </c>
      <c r="AL362" s="7">
        <f t="shared" si="501"/>
        <v>612.04997845926425</v>
      </c>
      <c r="AM362" s="7">
        <f t="shared" si="501"/>
        <v>653.42114996545706</v>
      </c>
      <c r="AN362" s="7">
        <f t="shared" si="501"/>
        <v>697.58878236868873</v>
      </c>
      <c r="AO362" s="7">
        <f t="shared" si="501"/>
        <v>744.74190085881878</v>
      </c>
      <c r="AP362" s="7">
        <f t="shared" si="501"/>
        <v>795.08230767631346</v>
      </c>
      <c r="AQ362" s="7">
        <f t="shared" si="498"/>
        <v>848.82544576974215</v>
      </c>
      <c r="AR362" s="7">
        <f t="shared" si="499"/>
        <v>906.20132083171279</v>
      </c>
      <c r="AS362" s="7">
        <f t="shared" si="499"/>
        <v>967.45548565930369</v>
      </c>
      <c r="AT362" s="2"/>
      <c r="AU362" s="2"/>
    </row>
    <row r="363" spans="1:47" outlineLevel="1">
      <c r="A363" s="298"/>
      <c r="B363" s="438" t="s">
        <v>1259</v>
      </c>
      <c r="C363" s="18" t="s">
        <v>732</v>
      </c>
      <c r="D363" s="18"/>
      <c r="E363" s="18"/>
      <c r="F363" s="18"/>
      <c r="G363" s="18"/>
      <c r="H363" s="18"/>
      <c r="I363" s="18"/>
      <c r="J363" s="18"/>
      <c r="K363" s="7"/>
      <c r="L363" s="7"/>
      <c r="M363" s="7"/>
      <c r="N363" s="7"/>
      <c r="O363" s="7"/>
      <c r="P363" s="7"/>
      <c r="Q363" s="7"/>
      <c r="R363" s="7"/>
      <c r="S363" s="7"/>
      <c r="T363" s="7"/>
      <c r="U363" s="7"/>
      <c r="V363" s="7"/>
      <c r="W363" s="7"/>
      <c r="X363" s="7"/>
      <c r="Y363" s="7"/>
      <c r="Z363" s="7"/>
      <c r="AA363" s="7"/>
      <c r="AB363" s="7"/>
      <c r="AC363" s="532">
        <v>161</v>
      </c>
      <c r="AD363" s="532">
        <v>205</v>
      </c>
      <c r="AE363" s="532">
        <v>246</v>
      </c>
      <c r="AF363" s="532">
        <v>257</v>
      </c>
      <c r="AG363" s="532">
        <v>279</v>
      </c>
      <c r="AH363" s="532">
        <v>311</v>
      </c>
      <c r="AI363" s="532">
        <v>368</v>
      </c>
      <c r="AJ363" s="532">
        <v>385</v>
      </c>
      <c r="AK363" s="7">
        <f t="shared" ref="AK363:AP363" si="502">+AJ363*(1+AK372)</f>
        <v>423.50000000000006</v>
      </c>
      <c r="AL363" s="7">
        <f t="shared" si="502"/>
        <v>444.67500000000007</v>
      </c>
      <c r="AM363" s="7">
        <f t="shared" si="502"/>
        <v>466.90875000000011</v>
      </c>
      <c r="AN363" s="7">
        <f t="shared" si="502"/>
        <v>490.25418750000011</v>
      </c>
      <c r="AO363" s="7">
        <f t="shared" si="502"/>
        <v>514.76689687500016</v>
      </c>
      <c r="AP363" s="7">
        <f t="shared" si="502"/>
        <v>540.5052417187502</v>
      </c>
      <c r="AQ363" s="7">
        <f t="shared" si="498"/>
        <v>567.53050380468778</v>
      </c>
      <c r="AR363" s="7">
        <f t="shared" si="499"/>
        <v>595.90702899492214</v>
      </c>
      <c r="AS363" s="7">
        <f t="shared" si="499"/>
        <v>625.70238044466828</v>
      </c>
      <c r="AT363" s="2"/>
      <c r="AU363" s="2"/>
    </row>
    <row r="364" spans="1:47" outlineLevel="1">
      <c r="A364" s="298"/>
      <c r="B364" s="438" t="s">
        <v>1260</v>
      </c>
      <c r="C364" s="18" t="s">
        <v>732</v>
      </c>
      <c r="D364" s="18"/>
      <c r="E364" s="18"/>
      <c r="F364" s="18"/>
      <c r="G364" s="18"/>
      <c r="H364" s="18"/>
      <c r="I364" s="18"/>
      <c r="J364" s="18"/>
      <c r="K364" s="7"/>
      <c r="L364" s="7"/>
      <c r="M364" s="7"/>
      <c r="N364" s="7"/>
      <c r="O364" s="7"/>
      <c r="P364" s="7"/>
      <c r="Q364" s="7"/>
      <c r="R364" s="7"/>
      <c r="S364" s="7"/>
      <c r="T364" s="7"/>
      <c r="U364" s="7"/>
      <c r="V364" s="7"/>
      <c r="W364" s="7"/>
      <c r="X364" s="7"/>
      <c r="Y364" s="7"/>
      <c r="Z364" s="7"/>
      <c r="AA364" s="7"/>
      <c r="AB364" s="7"/>
      <c r="AC364" s="532">
        <v>632</v>
      </c>
      <c r="AD364" s="532">
        <v>582</v>
      </c>
      <c r="AE364" s="532">
        <v>500</v>
      </c>
      <c r="AF364" s="532">
        <v>343</v>
      </c>
      <c r="AG364" s="532">
        <v>397</v>
      </c>
      <c r="AH364" s="532">
        <v>412</v>
      </c>
      <c r="AI364" s="532">
        <v>365</v>
      </c>
      <c r="AJ364" s="532">
        <v>272</v>
      </c>
      <c r="AK364" s="7">
        <f t="shared" ref="AK364:AP364" si="503">+AJ364*(1+AK373)</f>
        <v>202.69589041095892</v>
      </c>
      <c r="AL364" s="7">
        <f t="shared" si="503"/>
        <v>151.0500881966598</v>
      </c>
      <c r="AM364" s="7">
        <f t="shared" si="503"/>
        <v>112.56335339586704</v>
      </c>
      <c r="AN364" s="7">
        <f t="shared" si="503"/>
        <v>83.882827736098179</v>
      </c>
      <c r="AO364" s="7">
        <f t="shared" si="503"/>
        <v>62.509942860873167</v>
      </c>
      <c r="AP364" s="7">
        <f t="shared" si="503"/>
        <v>46.582751940157543</v>
      </c>
      <c r="AQ364" s="7">
        <f t="shared" si="498"/>
        <v>34.71372199376124</v>
      </c>
      <c r="AR364" s="7">
        <f t="shared" si="499"/>
        <v>25.868855841926187</v>
      </c>
      <c r="AS364" s="7">
        <f t="shared" si="499"/>
        <v>19.277613120558694</v>
      </c>
      <c r="AT364" s="2"/>
      <c r="AU364" s="2"/>
    </row>
    <row r="365" spans="1:47" outlineLevel="1">
      <c r="A365" s="298"/>
      <c r="B365" s="438" t="s">
        <v>28</v>
      </c>
      <c r="C365" s="18" t="s">
        <v>732</v>
      </c>
      <c r="D365" s="18"/>
      <c r="E365" s="18"/>
      <c r="F365" s="18"/>
      <c r="G365" s="18"/>
      <c r="H365" s="18"/>
      <c r="I365" s="18"/>
      <c r="J365" s="18"/>
      <c r="K365" s="7"/>
      <c r="L365" s="7"/>
      <c r="M365" s="7"/>
      <c r="N365" s="7"/>
      <c r="O365" s="7"/>
      <c r="P365" s="7"/>
      <c r="Q365" s="7"/>
      <c r="R365" s="7"/>
      <c r="S365" s="7"/>
      <c r="T365" s="7"/>
      <c r="U365" s="7"/>
      <c r="V365" s="7"/>
      <c r="W365" s="7"/>
      <c r="X365" s="7"/>
      <c r="Y365" s="7"/>
      <c r="Z365" s="7"/>
      <c r="AA365" s="7"/>
      <c r="AB365" s="7"/>
      <c r="AC365" s="532">
        <v>235</v>
      </c>
      <c r="AD365" s="532">
        <v>262</v>
      </c>
      <c r="AE365" s="532">
        <v>278</v>
      </c>
      <c r="AF365" s="532">
        <v>266</v>
      </c>
      <c r="AG365" s="532">
        <v>283</v>
      </c>
      <c r="AH365" s="532">
        <v>318</v>
      </c>
      <c r="AI365" s="532">
        <v>334</v>
      </c>
      <c r="AJ365" s="532">
        <v>362</v>
      </c>
      <c r="AK365" s="7">
        <f t="shared" ref="AK365:AP365" si="504">+AJ365*(1+AK374)</f>
        <v>392.34730538922156</v>
      </c>
      <c r="AL365" s="7">
        <f t="shared" si="504"/>
        <v>425.23869626017427</v>
      </c>
      <c r="AM365" s="7">
        <f t="shared" si="504"/>
        <v>460.88744924006909</v>
      </c>
      <c r="AN365" s="7">
        <f t="shared" si="504"/>
        <v>499.52472043384734</v>
      </c>
      <c r="AO365" s="7">
        <f t="shared" si="504"/>
        <v>541.40104430255315</v>
      </c>
      <c r="AP365" s="7">
        <f t="shared" si="504"/>
        <v>586.7879581961804</v>
      </c>
      <c r="AQ365" s="7">
        <f t="shared" si="498"/>
        <v>635.97976307490205</v>
      </c>
      <c r="AR365" s="7">
        <f t="shared" si="499"/>
        <v>689.29543183567228</v>
      </c>
      <c r="AS365" s="7">
        <f t="shared" si="499"/>
        <v>747.08067761830353</v>
      </c>
      <c r="AT365" s="2"/>
      <c r="AU365" s="2"/>
    </row>
    <row r="366" spans="1:47" outlineLevel="1">
      <c r="A366" s="338"/>
      <c r="B366" s="9" t="s">
        <v>1261</v>
      </c>
      <c r="C366" s="48" t="s">
        <v>732</v>
      </c>
      <c r="D366" s="48"/>
      <c r="E366" s="48"/>
      <c r="F366" s="48"/>
      <c r="G366" s="48"/>
      <c r="H366" s="48"/>
      <c r="I366" s="48"/>
      <c r="J366" s="48"/>
      <c r="K366" s="49"/>
      <c r="L366" s="49"/>
      <c r="M366" s="49"/>
      <c r="N366" s="49"/>
      <c r="O366" s="49"/>
      <c r="P366" s="49"/>
      <c r="Q366" s="49"/>
      <c r="R366" s="49"/>
      <c r="S366" s="49"/>
      <c r="T366" s="49"/>
      <c r="U366" s="49"/>
      <c r="V366" s="49"/>
      <c r="W366" s="49"/>
      <c r="X366" s="49"/>
      <c r="Y366" s="49"/>
      <c r="Z366" s="49"/>
      <c r="AA366" s="49"/>
      <c r="AB366" s="49"/>
      <c r="AC366" s="9">
        <v>3228</v>
      </c>
      <c r="AD366" s="9">
        <f t="shared" ref="AD366:AO366" si="505">+AD360+AD361+AD362+AD363+AD364+AD365</f>
        <v>3124</v>
      </c>
      <c r="AE366" s="9">
        <f t="shared" si="505"/>
        <v>2913</v>
      </c>
      <c r="AF366" s="9">
        <f>+AF360+AF361+AF362+AF363+AF364+AF365</f>
        <v>2621</v>
      </c>
      <c r="AG366" s="9">
        <f t="shared" si="505"/>
        <v>2773</v>
      </c>
      <c r="AH366" s="9">
        <f t="shared" ref="AH366:AI366" si="506">+AH360+AH361+AH362+AH363+AH364+AH365</f>
        <v>2835</v>
      </c>
      <c r="AI366" s="9">
        <f t="shared" si="506"/>
        <v>2770</v>
      </c>
      <c r="AJ366" s="9">
        <f t="shared" ref="AJ366" si="507">+AJ360+AJ361+AJ362+AJ363+AJ364+AJ365</f>
        <v>2766</v>
      </c>
      <c r="AK366" s="9">
        <f t="shared" si="505"/>
        <v>2814.5073668137229</v>
      </c>
      <c r="AL366" s="9">
        <f t="shared" si="505"/>
        <v>2870.9978400065002</v>
      </c>
      <c r="AM366" s="9">
        <f t="shared" si="505"/>
        <v>2949.7276744566711</v>
      </c>
      <c r="AN366" s="9">
        <f t="shared" si="505"/>
        <v>3047.8040873071795</v>
      </c>
      <c r="AO366" s="9">
        <f t="shared" si="505"/>
        <v>3163.2287770390867</v>
      </c>
      <c r="AP366" s="9">
        <f>+AP360+AP361+AP362+AP363+AP364+AP365</f>
        <v>3294.6827319744143</v>
      </c>
      <c r="AQ366" s="9">
        <f t="shared" ref="AQ366:AR366" si="508">+AQ360+AQ361+AQ362+AQ363+AQ364+AQ365</f>
        <v>3441.366712710796</v>
      </c>
      <c r="AR366" s="9">
        <f t="shared" si="508"/>
        <v>3602.8832924188291</v>
      </c>
      <c r="AS366" s="9">
        <f t="shared" ref="AS366" si="509">+AS360+AS361+AS362+AS363+AS364+AS365</f>
        <v>3779.149940722536</v>
      </c>
      <c r="AT366" s="9"/>
      <c r="AU366" s="9"/>
    </row>
    <row r="367" spans="1:47" outlineLevel="1">
      <c r="A367" s="298"/>
      <c r="B367" s="2"/>
      <c r="C367" s="18"/>
      <c r="D367" s="18"/>
      <c r="E367" s="18"/>
      <c r="F367" s="18"/>
      <c r="G367" s="18"/>
      <c r="H367" s="18"/>
      <c r="I367" s="18"/>
      <c r="J367" s="18"/>
      <c r="K367" s="7"/>
      <c r="L367" s="7"/>
      <c r="M367" s="7"/>
      <c r="N367" s="7"/>
      <c r="O367" s="7"/>
      <c r="P367" s="7"/>
      <c r="Q367" s="7"/>
      <c r="R367" s="7"/>
      <c r="S367" s="7"/>
      <c r="T367" s="7"/>
      <c r="U367" s="7"/>
      <c r="V367" s="7"/>
      <c r="W367" s="7"/>
      <c r="X367" s="7"/>
      <c r="Y367" s="7"/>
      <c r="Z367" s="7"/>
      <c r="AA367" s="7"/>
      <c r="AB367" s="7"/>
      <c r="AC367" s="7"/>
      <c r="AD367" s="7"/>
      <c r="AE367" s="7"/>
      <c r="AF367" s="7"/>
      <c r="AG367" s="7"/>
      <c r="AH367" s="7"/>
      <c r="AI367" s="7"/>
      <c r="AJ367" s="7"/>
      <c r="AK367" s="7"/>
      <c r="AL367" s="7"/>
      <c r="AM367" s="7"/>
      <c r="AN367" s="7"/>
      <c r="AO367" s="7"/>
      <c r="AP367" s="7"/>
      <c r="AQ367" s="7"/>
      <c r="AR367" s="7"/>
      <c r="AS367" s="7"/>
      <c r="AT367" s="2"/>
      <c r="AU367" s="2"/>
    </row>
    <row r="368" spans="1:47" outlineLevel="1">
      <c r="A368" s="298"/>
      <c r="B368" s="9" t="s">
        <v>1099</v>
      </c>
      <c r="C368" s="18"/>
      <c r="D368" s="18"/>
      <c r="E368" s="18"/>
      <c r="F368" s="18"/>
      <c r="G368" s="18"/>
      <c r="H368" s="18"/>
      <c r="I368" s="18"/>
      <c r="J368" s="18"/>
      <c r="K368" s="7"/>
      <c r="L368" s="7"/>
      <c r="M368" s="7"/>
      <c r="N368" s="7"/>
      <c r="O368" s="7"/>
      <c r="P368" s="7"/>
      <c r="Q368" s="7"/>
      <c r="R368" s="7"/>
      <c r="S368" s="7"/>
      <c r="T368" s="7"/>
      <c r="U368" s="7"/>
      <c r="V368" s="7"/>
      <c r="W368" s="7"/>
      <c r="X368" s="7"/>
      <c r="Y368" s="7"/>
      <c r="Z368" s="7"/>
      <c r="AA368" s="7"/>
      <c r="AB368" s="7"/>
      <c r="AC368" s="7"/>
      <c r="AD368" s="7"/>
      <c r="AE368" s="7"/>
      <c r="AF368" s="7"/>
      <c r="AG368" s="7"/>
      <c r="AH368" s="7"/>
      <c r="AI368" s="7"/>
      <c r="AJ368" s="7"/>
      <c r="AK368" s="7"/>
      <c r="AL368" s="7"/>
      <c r="AM368" s="7"/>
      <c r="AN368" s="7"/>
      <c r="AO368" s="7"/>
      <c r="AP368" s="7"/>
      <c r="AQ368" s="7"/>
      <c r="AR368" s="7"/>
      <c r="AS368" s="7"/>
      <c r="AT368" s="2"/>
      <c r="AU368" s="2"/>
    </row>
    <row r="369" spans="1:47" outlineLevel="1">
      <c r="A369" s="298"/>
      <c r="B369" s="438" t="s">
        <v>1257</v>
      </c>
      <c r="C369" s="14" t="s">
        <v>733</v>
      </c>
      <c r="D369" s="18"/>
      <c r="E369" s="18"/>
      <c r="F369" s="18"/>
      <c r="G369" s="18"/>
      <c r="H369" s="18"/>
      <c r="I369" s="18"/>
      <c r="J369" s="18"/>
      <c r="K369" s="7"/>
      <c r="L369" s="7"/>
      <c r="M369" s="7"/>
      <c r="N369" s="7"/>
      <c r="O369" s="7"/>
      <c r="P369" s="7"/>
      <c r="Q369" s="7"/>
      <c r="R369" s="7"/>
      <c r="S369" s="7"/>
      <c r="T369" s="7"/>
      <c r="U369" s="7"/>
      <c r="V369" s="7"/>
      <c r="W369" s="7"/>
      <c r="X369" s="7"/>
      <c r="Y369" s="7"/>
      <c r="Z369" s="7"/>
      <c r="AA369" s="7"/>
      <c r="AB369" s="7"/>
      <c r="AC369" s="311" t="s">
        <v>1456</v>
      </c>
      <c r="AD369" s="311">
        <f t="shared" ref="AD369:AJ375" si="510">+IFERROR(AD360/AC360-1,"")</f>
        <v>-7.8870496592015615E-2</v>
      </c>
      <c r="AE369" s="311">
        <f t="shared" si="510"/>
        <v>-0.12473572938689215</v>
      </c>
      <c r="AF369" s="311">
        <f t="shared" si="510"/>
        <v>-0.14492753623188404</v>
      </c>
      <c r="AG369" s="311">
        <f t="shared" si="510"/>
        <v>-0.10028248587570621</v>
      </c>
      <c r="AH369" s="311">
        <f t="shared" si="510"/>
        <v>-0.24646781789638927</v>
      </c>
      <c r="AI369" s="311">
        <f t="shared" si="510"/>
        <v>-0.14166666666666672</v>
      </c>
      <c r="AJ369" s="311">
        <f t="shared" si="510"/>
        <v>-5.5825242718446577E-2</v>
      </c>
      <c r="AK369" s="621">
        <f t="shared" ref="AK369:AP369" si="511">+AJ369</f>
        <v>-5.5825242718446577E-2</v>
      </c>
      <c r="AL369" s="621">
        <f t="shared" si="511"/>
        <v>-5.5825242718446577E-2</v>
      </c>
      <c r="AM369" s="621">
        <f t="shared" si="511"/>
        <v>-5.5825242718446577E-2</v>
      </c>
      <c r="AN369" s="621">
        <f t="shared" si="511"/>
        <v>-5.5825242718446577E-2</v>
      </c>
      <c r="AO369" s="621">
        <f t="shared" si="511"/>
        <v>-5.5825242718446577E-2</v>
      </c>
      <c r="AP369" s="621">
        <f t="shared" si="511"/>
        <v>-5.5825242718446577E-2</v>
      </c>
      <c r="AQ369" s="621">
        <f t="shared" ref="AQ369:AQ371" si="512">+AP369</f>
        <v>-5.5825242718446577E-2</v>
      </c>
      <c r="AR369" s="621">
        <f t="shared" ref="AR369:AS371" si="513">+AQ369</f>
        <v>-5.5825242718446577E-2</v>
      </c>
      <c r="AS369" s="621">
        <f t="shared" si="513"/>
        <v>-5.5825242718446577E-2</v>
      </c>
      <c r="AT369" s="2"/>
      <c r="AU369" s="8" t="s">
        <v>1364</v>
      </c>
    </row>
    <row r="370" spans="1:47" outlineLevel="1">
      <c r="A370" s="298"/>
      <c r="B370" s="438" t="s">
        <v>1258</v>
      </c>
      <c r="C370" s="18" t="s">
        <v>733</v>
      </c>
      <c r="D370" s="18"/>
      <c r="E370" s="18"/>
      <c r="F370" s="18"/>
      <c r="G370" s="18"/>
      <c r="H370" s="18"/>
      <c r="I370" s="18"/>
      <c r="J370" s="18"/>
      <c r="K370" s="7"/>
      <c r="L370" s="7"/>
      <c r="M370" s="7"/>
      <c r="N370" s="7"/>
      <c r="O370" s="7"/>
      <c r="P370" s="7"/>
      <c r="Q370" s="7"/>
      <c r="R370" s="7"/>
      <c r="S370" s="7"/>
      <c r="T370" s="7"/>
      <c r="U370" s="7"/>
      <c r="V370" s="7"/>
      <c r="W370" s="7"/>
      <c r="X370" s="7"/>
      <c r="Y370" s="7"/>
      <c r="Z370" s="7"/>
      <c r="AA370" s="7"/>
      <c r="AB370" s="7"/>
      <c r="AC370" s="311" t="s">
        <v>1456</v>
      </c>
      <c r="AD370" s="311">
        <f t="shared" si="510"/>
        <v>1.9230769230769162E-2</v>
      </c>
      <c r="AE370" s="311">
        <f t="shared" si="510"/>
        <v>-3.1446540880503138E-3</v>
      </c>
      <c r="AF370" s="311">
        <f t="shared" si="510"/>
        <v>5.8359621451104182E-2</v>
      </c>
      <c r="AG370" s="311">
        <f t="shared" si="510"/>
        <v>9.9850968703427689E-2</v>
      </c>
      <c r="AH370" s="311">
        <f t="shared" si="510"/>
        <v>4.6070460704606964E-2</v>
      </c>
      <c r="AI370" s="311">
        <f t="shared" si="510"/>
        <v>2.0725388601036343E-2</v>
      </c>
      <c r="AJ370" s="311">
        <f t="shared" si="510"/>
        <v>4.1878172588832419E-2</v>
      </c>
      <c r="AK370" s="621">
        <f t="shared" ref="AK370:AP370" si="514">+AJ370</f>
        <v>4.1878172588832419E-2</v>
      </c>
      <c r="AL370" s="621">
        <f t="shared" si="514"/>
        <v>4.1878172588832419E-2</v>
      </c>
      <c r="AM370" s="621">
        <f t="shared" si="514"/>
        <v>4.1878172588832419E-2</v>
      </c>
      <c r="AN370" s="621">
        <f t="shared" si="514"/>
        <v>4.1878172588832419E-2</v>
      </c>
      <c r="AO370" s="621">
        <f t="shared" si="514"/>
        <v>4.1878172588832419E-2</v>
      </c>
      <c r="AP370" s="621">
        <f t="shared" si="514"/>
        <v>4.1878172588832419E-2</v>
      </c>
      <c r="AQ370" s="621">
        <f t="shared" si="512"/>
        <v>4.1878172588832419E-2</v>
      </c>
      <c r="AR370" s="621">
        <f t="shared" si="513"/>
        <v>4.1878172588832419E-2</v>
      </c>
      <c r="AS370" s="621">
        <f t="shared" si="513"/>
        <v>4.1878172588832419E-2</v>
      </c>
      <c r="AT370" s="2"/>
      <c r="AU370" s="2"/>
    </row>
    <row r="371" spans="1:47" outlineLevel="1">
      <c r="A371" s="298"/>
      <c r="B371" s="438" t="s">
        <v>1308</v>
      </c>
      <c r="C371" s="18" t="s">
        <v>733</v>
      </c>
      <c r="D371" s="18"/>
      <c r="E371" s="18"/>
      <c r="F371" s="18"/>
      <c r="G371" s="18"/>
      <c r="H371" s="18"/>
      <c r="I371" s="18"/>
      <c r="J371" s="18"/>
      <c r="K371" s="7"/>
      <c r="L371" s="7"/>
      <c r="M371" s="7"/>
      <c r="N371" s="7"/>
      <c r="O371" s="7"/>
      <c r="P371" s="7"/>
      <c r="Q371" s="7"/>
      <c r="R371" s="7"/>
      <c r="S371" s="7"/>
      <c r="T371" s="7"/>
      <c r="U371" s="7"/>
      <c r="V371" s="7"/>
      <c r="W371" s="7"/>
      <c r="X371" s="7"/>
      <c r="Y371" s="7"/>
      <c r="Z371" s="7"/>
      <c r="AA371" s="7"/>
      <c r="AB371" s="7"/>
      <c r="AC371" s="311" t="s">
        <v>1456</v>
      </c>
      <c r="AD371" s="311">
        <f t="shared" si="510"/>
        <v>-0.10200364298724951</v>
      </c>
      <c r="AE371" s="311">
        <f t="shared" si="510"/>
        <v>-0.1338742393509128</v>
      </c>
      <c r="AF371" s="311">
        <f t="shared" si="510"/>
        <v>-0.11943793911007028</v>
      </c>
      <c r="AG371" s="311">
        <f t="shared" si="510"/>
        <v>0.16755319148936176</v>
      </c>
      <c r="AH371" s="311">
        <f t="shared" si="510"/>
        <v>0.23462414578587709</v>
      </c>
      <c r="AI371" s="311">
        <f t="shared" si="510"/>
        <v>-7.1955719557195597E-2</v>
      </c>
      <c r="AJ371" s="311">
        <f t="shared" si="510"/>
        <v>6.7594433399602361E-2</v>
      </c>
      <c r="AK371" s="621">
        <f t="shared" ref="AK371:AP371" si="515">+AJ371</f>
        <v>6.7594433399602361E-2</v>
      </c>
      <c r="AL371" s="621">
        <f t="shared" si="515"/>
        <v>6.7594433399602361E-2</v>
      </c>
      <c r="AM371" s="621">
        <f t="shared" si="515"/>
        <v>6.7594433399602361E-2</v>
      </c>
      <c r="AN371" s="621">
        <f t="shared" si="515"/>
        <v>6.7594433399602361E-2</v>
      </c>
      <c r="AO371" s="621">
        <f t="shared" si="515"/>
        <v>6.7594433399602361E-2</v>
      </c>
      <c r="AP371" s="621">
        <f t="shared" si="515"/>
        <v>6.7594433399602361E-2</v>
      </c>
      <c r="AQ371" s="621">
        <f t="shared" si="512"/>
        <v>6.7594433399602361E-2</v>
      </c>
      <c r="AR371" s="621">
        <f t="shared" si="513"/>
        <v>6.7594433399602361E-2</v>
      </c>
      <c r="AS371" s="621">
        <f t="shared" si="513"/>
        <v>6.7594433399602361E-2</v>
      </c>
      <c r="AT371" s="2"/>
      <c r="AU371" s="8"/>
    </row>
    <row r="372" spans="1:47" outlineLevel="1">
      <c r="A372" s="298"/>
      <c r="B372" s="438" t="s">
        <v>1259</v>
      </c>
      <c r="C372" s="18" t="s">
        <v>733</v>
      </c>
      <c r="D372" s="18"/>
      <c r="E372" s="18"/>
      <c r="F372" s="18"/>
      <c r="G372" s="18"/>
      <c r="H372" s="18"/>
      <c r="I372" s="18"/>
      <c r="J372" s="18"/>
      <c r="K372" s="7"/>
      <c r="L372" s="7"/>
      <c r="M372" s="7"/>
      <c r="N372" s="7"/>
      <c r="O372" s="7"/>
      <c r="P372" s="7"/>
      <c r="Q372" s="7"/>
      <c r="R372" s="7"/>
      <c r="S372" s="7"/>
      <c r="T372" s="7"/>
      <c r="U372" s="7"/>
      <c r="V372" s="7"/>
      <c r="W372" s="7"/>
      <c r="X372" s="7"/>
      <c r="Y372" s="7"/>
      <c r="Z372" s="7"/>
      <c r="AA372" s="7"/>
      <c r="AB372" s="7"/>
      <c r="AC372" s="311" t="s">
        <v>1456</v>
      </c>
      <c r="AD372" s="311">
        <f t="shared" si="510"/>
        <v>0.27329192546583858</v>
      </c>
      <c r="AE372" s="311">
        <f t="shared" si="510"/>
        <v>0.19999999999999996</v>
      </c>
      <c r="AF372" s="311">
        <f t="shared" si="510"/>
        <v>4.471544715447151E-2</v>
      </c>
      <c r="AG372" s="311">
        <f t="shared" si="510"/>
        <v>8.5603112840466844E-2</v>
      </c>
      <c r="AH372" s="311">
        <f t="shared" si="510"/>
        <v>0.11469534050179209</v>
      </c>
      <c r="AI372" s="311">
        <f t="shared" si="510"/>
        <v>0.18327974276527326</v>
      </c>
      <c r="AJ372" s="311">
        <f t="shared" si="510"/>
        <v>4.6195652173913082E-2</v>
      </c>
      <c r="AK372" s="621">
        <v>0.1</v>
      </c>
      <c r="AL372" s="621">
        <v>0.05</v>
      </c>
      <c r="AM372" s="621">
        <v>0.05</v>
      </c>
      <c r="AN372" s="621">
        <v>0.05</v>
      </c>
      <c r="AO372" s="621">
        <v>0.05</v>
      </c>
      <c r="AP372" s="621">
        <v>0.05</v>
      </c>
      <c r="AQ372" s="621">
        <v>0.05</v>
      </c>
      <c r="AR372" s="621">
        <v>0.05</v>
      </c>
      <c r="AS372" s="621">
        <v>0.05</v>
      </c>
      <c r="AT372" s="2"/>
      <c r="AU372" s="2"/>
    </row>
    <row r="373" spans="1:47" outlineLevel="1">
      <c r="A373" s="298"/>
      <c r="B373" s="438" t="s">
        <v>1260</v>
      </c>
      <c r="C373" s="18" t="s">
        <v>733</v>
      </c>
      <c r="D373" s="18"/>
      <c r="E373" s="18"/>
      <c r="F373" s="18"/>
      <c r="G373" s="18"/>
      <c r="H373" s="18"/>
      <c r="I373" s="18"/>
      <c r="J373" s="18"/>
      <c r="K373" s="7"/>
      <c r="L373" s="7"/>
      <c r="M373" s="7"/>
      <c r="N373" s="7"/>
      <c r="O373" s="7"/>
      <c r="P373" s="7"/>
      <c r="Q373" s="7"/>
      <c r="R373" s="7"/>
      <c r="S373" s="7"/>
      <c r="T373" s="7"/>
      <c r="U373" s="7"/>
      <c r="V373" s="7"/>
      <c r="W373" s="7"/>
      <c r="X373" s="7"/>
      <c r="Y373" s="7"/>
      <c r="Z373" s="7"/>
      <c r="AA373" s="7"/>
      <c r="AB373" s="7"/>
      <c r="AC373" s="311" t="s">
        <v>1456</v>
      </c>
      <c r="AD373" s="311">
        <f t="shared" si="510"/>
        <v>-7.9113924050632889E-2</v>
      </c>
      <c r="AE373" s="311">
        <f t="shared" si="510"/>
        <v>-0.14089347079037806</v>
      </c>
      <c r="AF373" s="311">
        <f t="shared" si="510"/>
        <v>-0.31399999999999995</v>
      </c>
      <c r="AG373" s="311">
        <f t="shared" si="510"/>
        <v>0.1574344023323615</v>
      </c>
      <c r="AH373" s="311">
        <f t="shared" si="510"/>
        <v>3.7783375314861534E-2</v>
      </c>
      <c r="AI373" s="311">
        <f t="shared" si="510"/>
        <v>-0.11407766990291257</v>
      </c>
      <c r="AJ373" s="311">
        <f t="shared" si="510"/>
        <v>-0.25479452054794516</v>
      </c>
      <c r="AK373" s="621">
        <f t="shared" ref="AK373:AP373" si="516">+AJ373</f>
        <v>-0.25479452054794516</v>
      </c>
      <c r="AL373" s="621">
        <f t="shared" si="516"/>
        <v>-0.25479452054794516</v>
      </c>
      <c r="AM373" s="621">
        <f t="shared" si="516"/>
        <v>-0.25479452054794516</v>
      </c>
      <c r="AN373" s="621">
        <f t="shared" si="516"/>
        <v>-0.25479452054794516</v>
      </c>
      <c r="AO373" s="621">
        <f t="shared" si="516"/>
        <v>-0.25479452054794516</v>
      </c>
      <c r="AP373" s="621">
        <f t="shared" si="516"/>
        <v>-0.25479452054794516</v>
      </c>
      <c r="AQ373" s="621">
        <f t="shared" ref="AQ373:AQ374" si="517">+AP373</f>
        <v>-0.25479452054794516</v>
      </c>
      <c r="AR373" s="621">
        <f t="shared" ref="AR373:AS374" si="518">+AQ373</f>
        <v>-0.25479452054794516</v>
      </c>
      <c r="AS373" s="621">
        <f t="shared" si="518"/>
        <v>-0.25479452054794516</v>
      </c>
      <c r="AT373" s="2"/>
      <c r="AU373" s="8" t="s">
        <v>1364</v>
      </c>
    </row>
    <row r="374" spans="1:47" outlineLevel="1">
      <c r="A374" s="298"/>
      <c r="B374" s="438" t="s">
        <v>28</v>
      </c>
      <c r="C374" s="18" t="s">
        <v>733</v>
      </c>
      <c r="D374" s="18"/>
      <c r="E374" s="18"/>
      <c r="F374" s="18"/>
      <c r="G374" s="18"/>
      <c r="H374" s="18"/>
      <c r="I374" s="18"/>
      <c r="J374" s="18"/>
      <c r="K374" s="7"/>
      <c r="L374" s="7"/>
      <c r="M374" s="7"/>
      <c r="N374" s="7"/>
      <c r="O374" s="7"/>
      <c r="P374" s="7"/>
      <c r="Q374" s="7"/>
      <c r="R374" s="7"/>
      <c r="S374" s="7"/>
      <c r="T374" s="7"/>
      <c r="U374" s="7"/>
      <c r="V374" s="7"/>
      <c r="W374" s="7"/>
      <c r="X374" s="7"/>
      <c r="Y374" s="7"/>
      <c r="Z374" s="7"/>
      <c r="AA374" s="7"/>
      <c r="AB374" s="7"/>
      <c r="AC374" s="311" t="s">
        <v>1456</v>
      </c>
      <c r="AD374" s="311">
        <f t="shared" si="510"/>
        <v>0.11489361702127665</v>
      </c>
      <c r="AE374" s="311">
        <f t="shared" si="510"/>
        <v>6.1068702290076438E-2</v>
      </c>
      <c r="AF374" s="311">
        <f t="shared" si="510"/>
        <v>-4.3165467625899234E-2</v>
      </c>
      <c r="AG374" s="311">
        <f t="shared" si="510"/>
        <v>6.3909774436090139E-2</v>
      </c>
      <c r="AH374" s="311">
        <f t="shared" si="510"/>
        <v>0.12367491166077738</v>
      </c>
      <c r="AI374" s="311">
        <f t="shared" si="510"/>
        <v>5.031446540880502E-2</v>
      </c>
      <c r="AJ374" s="311">
        <f t="shared" si="510"/>
        <v>8.3832335329341312E-2</v>
      </c>
      <c r="AK374" s="621">
        <f t="shared" ref="AK374:AP374" si="519">+AJ374</f>
        <v>8.3832335329341312E-2</v>
      </c>
      <c r="AL374" s="621">
        <f t="shared" si="519"/>
        <v>8.3832335329341312E-2</v>
      </c>
      <c r="AM374" s="621">
        <f t="shared" si="519"/>
        <v>8.3832335329341312E-2</v>
      </c>
      <c r="AN374" s="621">
        <f t="shared" si="519"/>
        <v>8.3832335329341312E-2</v>
      </c>
      <c r="AO374" s="621">
        <f t="shared" si="519"/>
        <v>8.3832335329341312E-2</v>
      </c>
      <c r="AP374" s="621">
        <f t="shared" si="519"/>
        <v>8.3832335329341312E-2</v>
      </c>
      <c r="AQ374" s="621">
        <f t="shared" si="517"/>
        <v>8.3832335329341312E-2</v>
      </c>
      <c r="AR374" s="621">
        <f t="shared" si="518"/>
        <v>8.3832335329341312E-2</v>
      </c>
      <c r="AS374" s="621">
        <f t="shared" si="518"/>
        <v>8.3832335329341312E-2</v>
      </c>
      <c r="AT374" s="2"/>
      <c r="AU374" s="2"/>
    </row>
    <row r="375" spans="1:47" outlineLevel="1">
      <c r="A375" s="338"/>
      <c r="B375" s="9" t="s">
        <v>1261</v>
      </c>
      <c r="C375" s="48" t="s">
        <v>733</v>
      </c>
      <c r="D375" s="48"/>
      <c r="E375" s="48"/>
      <c r="F375" s="48"/>
      <c r="G375" s="48"/>
      <c r="H375" s="48"/>
      <c r="I375" s="48"/>
      <c r="J375" s="48"/>
      <c r="K375" s="49"/>
      <c r="L375" s="49"/>
      <c r="M375" s="49"/>
      <c r="N375" s="49"/>
      <c r="O375" s="49"/>
      <c r="P375" s="49"/>
      <c r="Q375" s="49"/>
      <c r="R375" s="49"/>
      <c r="S375" s="49"/>
      <c r="T375" s="49"/>
      <c r="U375" s="49"/>
      <c r="V375" s="49"/>
      <c r="W375" s="49"/>
      <c r="X375" s="49"/>
      <c r="Y375" s="49"/>
      <c r="Z375" s="49"/>
      <c r="AA375" s="49"/>
      <c r="AB375" s="49"/>
      <c r="AC375" s="417" t="s">
        <v>1456</v>
      </c>
      <c r="AD375" s="417">
        <f t="shared" si="510"/>
        <v>-3.2218091697645557E-2</v>
      </c>
      <c r="AE375" s="417">
        <f t="shared" si="510"/>
        <v>-6.7541613316261184E-2</v>
      </c>
      <c r="AF375" s="417">
        <f t="shared" si="510"/>
        <v>-0.1002403020940611</v>
      </c>
      <c r="AG375" s="417">
        <f t="shared" ref="AG375:AP375" si="520">+IFERROR(AG366/AF366-1,"")</f>
        <v>5.7993132392216706E-2</v>
      </c>
      <c r="AH375" s="417">
        <f t="shared" si="520"/>
        <v>2.2358456545257921E-2</v>
      </c>
      <c r="AI375" s="417">
        <f t="shared" si="520"/>
        <v>-2.2927689594356315E-2</v>
      </c>
      <c r="AJ375" s="417">
        <f t="shared" si="520"/>
        <v>-1.4440433212996595E-3</v>
      </c>
      <c r="AK375" s="417">
        <f t="shared" si="520"/>
        <v>1.7537008970977208E-2</v>
      </c>
      <c r="AL375" s="417">
        <f t="shared" si="520"/>
        <v>2.0071176170602723E-2</v>
      </c>
      <c r="AM375" s="417">
        <f t="shared" si="520"/>
        <v>2.7422463839259725E-2</v>
      </c>
      <c r="AN375" s="417">
        <f t="shared" si="520"/>
        <v>3.324931101260864E-2</v>
      </c>
      <c r="AO375" s="417">
        <f t="shared" si="520"/>
        <v>3.7871426911133321E-2</v>
      </c>
      <c r="AP375" s="417">
        <f t="shared" si="520"/>
        <v>4.1556891455184042E-2</v>
      </c>
      <c r="AQ375" s="417">
        <f t="shared" ref="AQ375" si="521">+IFERROR(AQ366/AP366-1,"")</f>
        <v>4.4521428213052161E-2</v>
      </c>
      <c r="AR375" s="417">
        <f t="shared" ref="AR375:AS375" si="522">+IFERROR(AR366/AQ366-1,"")</f>
        <v>4.6933847273952667E-2</v>
      </c>
      <c r="AS375" s="417">
        <f t="shared" si="522"/>
        <v>4.8923774099096207E-2</v>
      </c>
      <c r="AT375" s="9"/>
      <c r="AU375" s="9"/>
    </row>
    <row r="376" spans="1:47" outlineLevel="1">
      <c r="A376" s="338"/>
      <c r="B376" s="9"/>
      <c r="C376" s="48"/>
      <c r="D376" s="48"/>
      <c r="E376" s="48"/>
      <c r="F376" s="48"/>
      <c r="G376" s="48"/>
      <c r="H376" s="48"/>
      <c r="I376" s="48"/>
      <c r="J376" s="48"/>
      <c r="K376" s="49"/>
      <c r="L376" s="49"/>
      <c r="M376" s="49"/>
      <c r="N376" s="49"/>
      <c r="O376" s="49"/>
      <c r="P376" s="49"/>
      <c r="Q376" s="49"/>
      <c r="R376" s="49"/>
      <c r="S376" s="49"/>
      <c r="T376" s="49"/>
      <c r="U376" s="49"/>
      <c r="V376" s="49"/>
      <c r="W376" s="49"/>
      <c r="X376" s="49"/>
      <c r="Y376" s="49"/>
      <c r="Z376" s="49"/>
      <c r="AA376" s="49"/>
      <c r="AB376" s="49"/>
      <c r="AC376" s="417"/>
      <c r="AD376" s="417"/>
      <c r="AE376" s="417"/>
      <c r="AF376" s="417"/>
      <c r="AG376" s="417"/>
      <c r="AH376" s="417"/>
      <c r="AI376" s="417"/>
      <c r="AJ376" s="417"/>
      <c r="AK376" s="417"/>
      <c r="AL376" s="417"/>
      <c r="AM376" s="417"/>
      <c r="AN376" s="417"/>
      <c r="AO376" s="417"/>
      <c r="AP376" s="417"/>
      <c r="AQ376" s="417"/>
      <c r="AR376" s="417"/>
      <c r="AS376" s="417"/>
      <c r="AT376" s="9"/>
      <c r="AU376" s="9"/>
    </row>
    <row r="377" spans="1:47" outlineLevel="1">
      <c r="A377" s="338"/>
      <c r="B377" s="9" t="s">
        <v>1360</v>
      </c>
      <c r="C377" s="48" t="s">
        <v>732</v>
      </c>
      <c r="D377" s="48"/>
      <c r="E377" s="48"/>
      <c r="F377" s="48"/>
      <c r="G377" s="48"/>
      <c r="H377" s="48"/>
      <c r="I377" s="48"/>
      <c r="J377" s="48"/>
      <c r="K377" s="49"/>
      <c r="L377" s="49"/>
      <c r="M377" s="49"/>
      <c r="N377" s="49"/>
      <c r="O377" s="49"/>
      <c r="P377" s="49"/>
      <c r="Q377" s="49"/>
      <c r="R377" s="49"/>
      <c r="S377" s="49"/>
      <c r="T377" s="49"/>
      <c r="U377" s="49"/>
      <c r="V377" s="49"/>
      <c r="W377" s="49"/>
      <c r="X377" s="49"/>
      <c r="Y377" s="49"/>
      <c r="Z377" s="49"/>
      <c r="AA377" s="49"/>
      <c r="AB377" s="49"/>
      <c r="AC377" s="49">
        <v>4594</v>
      </c>
      <c r="AD377" s="49">
        <f t="shared" ref="AD377:AO377" si="523">+AD354+AD366</f>
        <v>4405</v>
      </c>
      <c r="AE377" s="49">
        <f t="shared" si="523"/>
        <v>4106</v>
      </c>
      <c r="AF377" s="49">
        <f>+AF354+AF366</f>
        <v>3724</v>
      </c>
      <c r="AG377" s="49">
        <f t="shared" si="523"/>
        <v>3729</v>
      </c>
      <c r="AH377" s="49">
        <f>+AH354+AH366</f>
        <v>3636.00954</v>
      </c>
      <c r="AI377" s="49">
        <f>+AI354+AI366</f>
        <v>3518</v>
      </c>
      <c r="AJ377" s="49">
        <f>+AJ354+AJ366</f>
        <v>3445</v>
      </c>
      <c r="AK377" s="49">
        <f t="shared" si="523"/>
        <v>3711.8199976708656</v>
      </c>
      <c r="AL377" s="49">
        <f t="shared" si="523"/>
        <v>3682.0752310150342</v>
      </c>
      <c r="AM377" s="49">
        <f t="shared" si="523"/>
        <v>3682.8573681475018</v>
      </c>
      <c r="AN377" s="49">
        <f t="shared" si="523"/>
        <v>3710.4771610848657</v>
      </c>
      <c r="AO377" s="49">
        <f t="shared" si="523"/>
        <v>3762.2163865835928</v>
      </c>
      <c r="AP377" s="49">
        <f>+AP354+AP366</f>
        <v>3836.1052985237338</v>
      </c>
      <c r="AQ377" s="49">
        <f t="shared" ref="AQ377:AR377" si="524">+AQ354+AQ366</f>
        <v>3930.756461176155</v>
      </c>
      <c r="AR377" s="49">
        <f t="shared" si="524"/>
        <v>4045.2407793433613</v>
      </c>
      <c r="AS377" s="49">
        <f t="shared" ref="AS377" si="525">+AS354+AS366</f>
        <v>4178.9951496828926</v>
      </c>
      <c r="AT377" s="9"/>
      <c r="AU377" s="9"/>
    </row>
    <row r="378" spans="1:47" outlineLevel="1">
      <c r="A378" s="410"/>
      <c r="B378" s="394" t="s">
        <v>1099</v>
      </c>
      <c r="C378" s="14" t="s">
        <v>733</v>
      </c>
      <c r="D378" s="14"/>
      <c r="E378" s="14"/>
      <c r="F378" s="14"/>
      <c r="G378" s="14"/>
      <c r="H378" s="14"/>
      <c r="I378" s="14"/>
      <c r="J378" s="14"/>
      <c r="K378" s="11"/>
      <c r="L378" s="11"/>
      <c r="M378" s="11"/>
      <c r="N378" s="11"/>
      <c r="O378" s="11"/>
      <c r="P378" s="11"/>
      <c r="Q378" s="11"/>
      <c r="R378" s="11"/>
      <c r="S378" s="11"/>
      <c r="T378" s="11"/>
      <c r="U378" s="11"/>
      <c r="V378" s="11"/>
      <c r="W378" s="11"/>
      <c r="X378" s="11"/>
      <c r="Y378" s="11"/>
      <c r="Z378" s="11"/>
      <c r="AA378" s="11"/>
      <c r="AB378" s="11"/>
      <c r="AC378" s="1078" t="s">
        <v>1456</v>
      </c>
      <c r="AD378" s="1078">
        <f t="shared" ref="AD378:AP378" si="526">+IFERROR(AD377/AC377-1,"")</f>
        <v>-4.1140618197649137E-2</v>
      </c>
      <c r="AE378" s="1078">
        <f t="shared" si="526"/>
        <v>-6.7877412031782103E-2</v>
      </c>
      <c r="AF378" s="1078">
        <f t="shared" si="526"/>
        <v>-9.3034583536288351E-2</v>
      </c>
      <c r="AG378" s="1078">
        <f t="shared" si="526"/>
        <v>1.3426423200859627E-3</v>
      </c>
      <c r="AH378" s="1078">
        <f t="shared" si="526"/>
        <v>-2.493710378117453E-2</v>
      </c>
      <c r="AI378" s="1078">
        <f t="shared" si="526"/>
        <v>-3.2455783930643967E-2</v>
      </c>
      <c r="AJ378" s="1078">
        <f t="shared" si="526"/>
        <v>-2.0750426378624232E-2</v>
      </c>
      <c r="AK378" s="1078">
        <f t="shared" si="526"/>
        <v>7.7451378133778226E-2</v>
      </c>
      <c r="AL378" s="1078">
        <f t="shared" si="526"/>
        <v>-8.0135261608849095E-3</v>
      </c>
      <c r="AM378" s="1078">
        <f t="shared" si="526"/>
        <v>2.1241747748113049E-4</v>
      </c>
      <c r="AN378" s="1078">
        <f t="shared" si="526"/>
        <v>7.4995554202679227E-3</v>
      </c>
      <c r="AO378" s="1078">
        <f t="shared" si="526"/>
        <v>1.3944089466811249E-2</v>
      </c>
      <c r="AP378" s="1078">
        <f t="shared" si="526"/>
        <v>1.9639729443430065E-2</v>
      </c>
      <c r="AQ378" s="1078">
        <f t="shared" ref="AQ378" si="527">+IFERROR(AQ377/AP377-1,"")</f>
        <v>2.4673765521724844E-2</v>
      </c>
      <c r="AR378" s="1078">
        <f t="shared" ref="AR378:AS378" si="528">+IFERROR(AR377/AQ377-1,"")</f>
        <v>2.9125263622399755E-2</v>
      </c>
      <c r="AS378" s="1078">
        <f t="shared" si="528"/>
        <v>3.3064625231342237E-2</v>
      </c>
      <c r="AT378" s="8"/>
      <c r="AU378" s="8"/>
    </row>
    <row r="379" spans="1:47">
      <c r="A379" s="298"/>
      <c r="B379" s="2"/>
      <c r="C379" s="18"/>
      <c r="D379" s="18"/>
      <c r="E379" s="18"/>
      <c r="F379" s="18"/>
      <c r="G379" s="18"/>
      <c r="H379" s="18"/>
      <c r="I379" s="18"/>
      <c r="J379" s="18"/>
      <c r="K379" s="6"/>
      <c r="L379" s="6"/>
      <c r="M379" s="6"/>
      <c r="N379" s="6"/>
      <c r="O379" s="6"/>
      <c r="P379" s="6"/>
      <c r="Q379" s="6"/>
      <c r="R379" s="6"/>
      <c r="S379" s="6"/>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row>
    <row r="380" spans="1:47" collapsed="1">
      <c r="A380" s="299" t="s">
        <v>1163</v>
      </c>
      <c r="B380" s="1073" t="s">
        <v>1321</v>
      </c>
      <c r="C380" s="1074"/>
      <c r="D380" s="1073"/>
      <c r="E380" s="1073"/>
      <c r="F380" s="1073"/>
      <c r="G380" s="1073"/>
      <c r="H380" s="1073"/>
      <c r="I380" s="1073"/>
      <c r="J380" s="1073"/>
      <c r="K380" s="1073"/>
      <c r="L380" s="1073"/>
      <c r="M380" s="1073"/>
      <c r="N380" s="1073"/>
      <c r="O380" s="1073"/>
      <c r="P380" s="1073"/>
      <c r="Q380" s="1073"/>
      <c r="R380" s="1073"/>
      <c r="S380" s="1073"/>
      <c r="T380" s="1073"/>
      <c r="U380" s="1073"/>
      <c r="V380" s="1073"/>
      <c r="W380" s="1073"/>
      <c r="X380" s="1073"/>
      <c r="Y380" s="1073"/>
      <c r="Z380" s="1073"/>
      <c r="AA380" s="1073"/>
      <c r="AB380" s="1073"/>
      <c r="AC380" s="1073"/>
      <c r="AD380" s="1073"/>
      <c r="AE380" s="1073"/>
      <c r="AF380" s="1073"/>
      <c r="AG380" s="1073"/>
      <c r="AH380" s="1073"/>
      <c r="AI380" s="1073"/>
      <c r="AJ380" s="1073"/>
      <c r="AK380" s="1073"/>
      <c r="AL380" s="1073"/>
      <c r="AM380" s="1073"/>
      <c r="AN380" s="1073"/>
      <c r="AO380" s="1073"/>
      <c r="AP380" s="1073"/>
      <c r="AQ380" s="1073"/>
      <c r="AR380" s="1073"/>
      <c r="AS380" s="1073"/>
      <c r="AT380" s="2"/>
      <c r="AU380" s="2"/>
    </row>
    <row r="381" spans="1:47" hidden="1" outlineLevel="1">
      <c r="A381" s="298"/>
      <c r="B381" s="2"/>
      <c r="C381" s="18"/>
      <c r="D381" s="18"/>
      <c r="E381" s="18"/>
      <c r="F381" s="18"/>
      <c r="G381" s="18"/>
      <c r="H381" s="18"/>
      <c r="I381" s="18"/>
      <c r="J381" s="18"/>
      <c r="K381" s="7"/>
      <c r="L381" s="7"/>
      <c r="M381" s="7"/>
      <c r="N381" s="7"/>
      <c r="O381" s="7"/>
      <c r="P381" s="7"/>
      <c r="Q381" s="7"/>
      <c r="R381" s="7"/>
      <c r="S381" s="7"/>
      <c r="T381" s="7"/>
      <c r="U381" s="7"/>
      <c r="V381" s="7"/>
      <c r="W381" s="7"/>
      <c r="X381" s="7"/>
      <c r="Y381" s="7"/>
      <c r="Z381" s="7"/>
      <c r="AA381" s="7"/>
      <c r="AB381" s="7"/>
      <c r="AC381" s="7"/>
      <c r="AD381" s="7"/>
      <c r="AE381" s="7"/>
      <c r="AF381" s="7"/>
      <c r="AG381" s="7"/>
      <c r="AH381" s="7"/>
      <c r="AI381" s="7"/>
      <c r="AJ381" s="7"/>
      <c r="AK381" s="7"/>
      <c r="AL381" s="7"/>
      <c r="AM381" s="7"/>
      <c r="AN381" s="7"/>
      <c r="AO381" s="7"/>
      <c r="AP381" s="7"/>
      <c r="AQ381" s="7"/>
      <c r="AR381" s="7"/>
      <c r="AS381" s="7"/>
      <c r="AT381" s="2"/>
      <c r="AU381" s="2"/>
    </row>
    <row r="382" spans="1:47" ht="15.6" hidden="1" outlineLevel="1">
      <c r="A382" s="298"/>
      <c r="B382" s="237" t="s">
        <v>1244</v>
      </c>
      <c r="C382" s="238"/>
      <c r="D382" s="239"/>
      <c r="E382" s="239"/>
      <c r="F382" s="239"/>
      <c r="G382" s="239"/>
      <c r="H382" s="239"/>
      <c r="I382" s="239"/>
      <c r="J382" s="239"/>
      <c r="K382" s="239"/>
      <c r="L382" s="239"/>
      <c r="M382" s="239"/>
      <c r="N382" s="239"/>
      <c r="O382" s="239"/>
      <c r="P382" s="239"/>
      <c r="Q382" s="239"/>
      <c r="R382" s="239"/>
      <c r="S382" s="239"/>
      <c r="T382" s="239"/>
      <c r="U382" s="239"/>
      <c r="V382" s="239"/>
      <c r="W382" s="239"/>
      <c r="X382" s="239"/>
      <c r="Y382" s="239"/>
      <c r="Z382" s="239"/>
      <c r="AA382" s="239"/>
      <c r="AB382" s="239"/>
      <c r="AC382" s="239"/>
      <c r="AD382" s="239"/>
      <c r="AE382" s="239"/>
      <c r="AF382" s="239"/>
      <c r="AG382" s="239"/>
      <c r="AH382" s="239"/>
      <c r="AI382" s="239"/>
      <c r="AJ382" s="239"/>
      <c r="AK382" s="239"/>
      <c r="AL382" s="239"/>
      <c r="AM382" s="239"/>
      <c r="AN382" s="239"/>
      <c r="AO382" s="270"/>
      <c r="AP382" s="240"/>
      <c r="AQ382" s="240"/>
      <c r="AR382" s="240"/>
      <c r="AS382" s="240"/>
      <c r="AT382" s="2"/>
      <c r="AU382" s="2"/>
    </row>
    <row r="383" spans="1:47" hidden="1" outlineLevel="1">
      <c r="A383" s="298"/>
      <c r="B383" s="2"/>
      <c r="C383" s="18"/>
      <c r="D383" s="18"/>
      <c r="E383" s="18"/>
      <c r="F383" s="18"/>
      <c r="G383" s="18"/>
      <c r="H383" s="18"/>
      <c r="I383" s="18"/>
      <c r="J383" s="18"/>
      <c r="K383" s="7"/>
      <c r="L383" s="7"/>
      <c r="M383" s="7"/>
      <c r="N383" s="7"/>
      <c r="O383" s="7"/>
      <c r="P383" s="7"/>
      <c r="Q383" s="7"/>
      <c r="R383" s="7"/>
      <c r="S383" s="7"/>
      <c r="T383" s="7"/>
      <c r="U383" s="7"/>
      <c r="V383" s="7"/>
      <c r="W383" s="7"/>
      <c r="X383" s="7"/>
      <c r="Y383" s="7"/>
      <c r="Z383" s="7"/>
      <c r="AA383" s="7"/>
      <c r="AB383" s="7"/>
      <c r="AC383" s="7"/>
      <c r="AD383" s="7"/>
      <c r="AE383" s="7"/>
      <c r="AF383" s="7"/>
      <c r="AG383" s="7"/>
      <c r="AH383" s="7"/>
      <c r="AI383" s="7"/>
      <c r="AJ383" s="7"/>
      <c r="AK383" s="7"/>
      <c r="AL383" s="7"/>
      <c r="AM383" s="7"/>
      <c r="AN383" s="7"/>
      <c r="AO383" s="7"/>
      <c r="AP383" s="7"/>
      <c r="AQ383" s="7"/>
      <c r="AR383" s="7"/>
      <c r="AS383" s="7"/>
      <c r="AT383" s="2"/>
      <c r="AU383" s="2"/>
    </row>
    <row r="384" spans="1:47" hidden="1" outlineLevel="1">
      <c r="A384" s="298"/>
      <c r="B384" s="8" t="s">
        <v>1309</v>
      </c>
      <c r="C384" s="14" t="s">
        <v>846</v>
      </c>
      <c r="D384" s="18"/>
      <c r="E384" s="18"/>
      <c r="F384" s="18"/>
      <c r="G384" s="18"/>
      <c r="H384" s="18"/>
      <c r="I384" s="18"/>
      <c r="J384" s="18"/>
      <c r="K384" s="7"/>
      <c r="L384" s="7"/>
      <c r="M384" s="7"/>
      <c r="N384" s="7"/>
      <c r="O384" s="7"/>
      <c r="P384" s="7"/>
      <c r="Q384" s="7"/>
      <c r="R384" s="7"/>
      <c r="S384" s="7"/>
      <c r="T384" s="7"/>
      <c r="U384" s="7"/>
      <c r="V384" s="7"/>
      <c r="W384" s="7"/>
      <c r="X384" s="7"/>
      <c r="Y384" s="7"/>
      <c r="Z384" s="7"/>
      <c r="AA384" s="7"/>
      <c r="AB384" s="7"/>
      <c r="AC384" s="532">
        <v>39</v>
      </c>
      <c r="AD384" s="532">
        <v>38</v>
      </c>
      <c r="AE384" s="538">
        <v>35</v>
      </c>
      <c r="AF384" s="538">
        <v>31</v>
      </c>
      <c r="AG384" s="538">
        <v>28</v>
      </c>
      <c r="AH384" s="538">
        <v>26</v>
      </c>
      <c r="AI384" s="538">
        <v>26</v>
      </c>
      <c r="AJ384" s="538">
        <v>22</v>
      </c>
      <c r="AK384" s="12">
        <f t="shared" ref="AK384:AP384" si="529">AJ384*(1+AK385)</f>
        <v>18.615384615384617</v>
      </c>
      <c r="AL384" s="12">
        <f t="shared" si="529"/>
        <v>15.75147928994083</v>
      </c>
      <c r="AM384" s="12">
        <f t="shared" si="529"/>
        <v>13.328174783796086</v>
      </c>
      <c r="AN384" s="12">
        <f t="shared" si="529"/>
        <v>11.277686355519766</v>
      </c>
      <c r="AO384" s="12">
        <f t="shared" si="529"/>
        <v>9.5426576854398011</v>
      </c>
      <c r="AP384" s="12">
        <f t="shared" si="529"/>
        <v>8.0745565030644464</v>
      </c>
      <c r="AQ384" s="12">
        <f t="shared" ref="AQ384" si="530">AP384*(1+AQ385)</f>
        <v>6.8323170410545311</v>
      </c>
      <c r="AR384" s="12">
        <f t="shared" ref="AR384:AS384" si="531">AQ384*(1+AR385)</f>
        <v>5.7811913424307573</v>
      </c>
      <c r="AS384" s="12">
        <f t="shared" si="531"/>
        <v>4.8917772897491023</v>
      </c>
      <c r="AT384" s="2"/>
      <c r="AU384" s="2"/>
    </row>
    <row r="385" spans="1:47" hidden="1" outlineLevel="1">
      <c r="A385" s="298"/>
      <c r="B385" s="325" t="s">
        <v>1099</v>
      </c>
      <c r="C385" s="310" t="s">
        <v>733</v>
      </c>
      <c r="D385" s="310"/>
      <c r="E385" s="310"/>
      <c r="F385" s="310"/>
      <c r="G385" s="310"/>
      <c r="H385" s="310"/>
      <c r="I385" s="310"/>
      <c r="J385" s="310"/>
      <c r="K385" s="311"/>
      <c r="L385" s="311"/>
      <c r="M385" s="311"/>
      <c r="N385" s="311"/>
      <c r="O385" s="311"/>
      <c r="P385" s="311"/>
      <c r="Q385" s="311"/>
      <c r="R385" s="311"/>
      <c r="S385" s="311"/>
      <c r="T385" s="311"/>
      <c r="U385" s="311"/>
      <c r="V385" s="311"/>
      <c r="W385" s="311"/>
      <c r="X385" s="311"/>
      <c r="Y385" s="311"/>
      <c r="Z385" s="311"/>
      <c r="AA385" s="311"/>
      <c r="AB385" s="311"/>
      <c r="AC385" s="311"/>
      <c r="AD385" s="313">
        <f t="shared" ref="AD385:AJ385" si="532">IFERROR(AD384/AC384-1, "")</f>
        <v>-2.5641025641025661E-2</v>
      </c>
      <c r="AE385" s="313">
        <f t="shared" si="532"/>
        <v>-7.8947368421052655E-2</v>
      </c>
      <c r="AF385" s="313">
        <f t="shared" si="532"/>
        <v>-0.11428571428571432</v>
      </c>
      <c r="AG385" s="313">
        <f t="shared" si="532"/>
        <v>-9.6774193548387122E-2</v>
      </c>
      <c r="AH385" s="313">
        <f t="shared" si="532"/>
        <v>-7.1428571428571397E-2</v>
      </c>
      <c r="AI385" s="313">
        <f t="shared" si="532"/>
        <v>0</v>
      </c>
      <c r="AJ385" s="313">
        <f t="shared" si="532"/>
        <v>-0.15384615384615385</v>
      </c>
      <c r="AK385" s="621">
        <f t="shared" ref="AK385:AP385" si="533">AJ385</f>
        <v>-0.15384615384615385</v>
      </c>
      <c r="AL385" s="621">
        <f t="shared" si="533"/>
        <v>-0.15384615384615385</v>
      </c>
      <c r="AM385" s="621">
        <f t="shared" si="533"/>
        <v>-0.15384615384615385</v>
      </c>
      <c r="AN385" s="621">
        <f t="shared" si="533"/>
        <v>-0.15384615384615385</v>
      </c>
      <c r="AO385" s="621">
        <f t="shared" si="533"/>
        <v>-0.15384615384615385</v>
      </c>
      <c r="AP385" s="621">
        <f t="shared" si="533"/>
        <v>-0.15384615384615385</v>
      </c>
      <c r="AQ385" s="621">
        <f t="shared" ref="AQ385" si="534">AP385</f>
        <v>-0.15384615384615385</v>
      </c>
      <c r="AR385" s="621">
        <f t="shared" ref="AR385:AS385" si="535">AQ385</f>
        <v>-0.15384615384615385</v>
      </c>
      <c r="AS385" s="621">
        <f t="shared" si="535"/>
        <v>-0.15384615384615385</v>
      </c>
      <c r="AT385" s="2"/>
      <c r="AU385" s="2"/>
    </row>
    <row r="386" spans="1:47" hidden="1" outlineLevel="1">
      <c r="A386" s="298"/>
      <c r="B386" s="8" t="s">
        <v>1311</v>
      </c>
      <c r="C386" s="14" t="s">
        <v>846</v>
      </c>
      <c r="D386" s="18"/>
      <c r="E386" s="18"/>
      <c r="F386" s="18"/>
      <c r="G386" s="18"/>
      <c r="H386" s="18"/>
      <c r="I386" s="18"/>
      <c r="J386" s="18"/>
      <c r="K386" s="7"/>
      <c r="L386" s="7"/>
      <c r="M386" s="7"/>
      <c r="N386" s="7"/>
      <c r="O386" s="7"/>
      <c r="P386" s="7"/>
      <c r="Q386" s="7"/>
      <c r="R386" s="7"/>
      <c r="S386" s="7"/>
      <c r="T386" s="7"/>
      <c r="U386" s="7"/>
      <c r="V386" s="7"/>
      <c r="W386" s="7"/>
      <c r="X386" s="7"/>
      <c r="Y386" s="7"/>
      <c r="Z386" s="7"/>
      <c r="AA386" s="7"/>
      <c r="AB386" s="7"/>
      <c r="AC386" s="334">
        <v>39</v>
      </c>
      <c r="AD386" s="334">
        <f t="shared" ref="AD386:AP386" si="536">AVERAGE(AC384:AD384)</f>
        <v>38.5</v>
      </c>
      <c r="AE386" s="334">
        <f t="shared" si="536"/>
        <v>36.5</v>
      </c>
      <c r="AF386" s="334">
        <f t="shared" si="536"/>
        <v>33</v>
      </c>
      <c r="AG386" s="334">
        <f t="shared" si="536"/>
        <v>29.5</v>
      </c>
      <c r="AH386" s="334">
        <f t="shared" si="536"/>
        <v>27</v>
      </c>
      <c r="AI386" s="334">
        <f t="shared" si="536"/>
        <v>26</v>
      </c>
      <c r="AJ386" s="334">
        <f t="shared" si="536"/>
        <v>24</v>
      </c>
      <c r="AK386" s="334">
        <f t="shared" si="536"/>
        <v>20.307692307692307</v>
      </c>
      <c r="AL386" s="334">
        <f t="shared" si="536"/>
        <v>17.183431952662723</v>
      </c>
      <c r="AM386" s="334">
        <f t="shared" si="536"/>
        <v>14.539827036868459</v>
      </c>
      <c r="AN386" s="334">
        <f t="shared" si="536"/>
        <v>12.302930569657926</v>
      </c>
      <c r="AO386" s="334">
        <f t="shared" si="536"/>
        <v>10.410172020479784</v>
      </c>
      <c r="AP386" s="334">
        <f t="shared" si="536"/>
        <v>8.8086070942521246</v>
      </c>
      <c r="AQ386" s="334">
        <f t="shared" ref="AQ386" si="537">AVERAGE(AP384:AQ384)</f>
        <v>7.4534367720594883</v>
      </c>
      <c r="AR386" s="334">
        <f t="shared" ref="AR386:AS386" si="538">AVERAGE(AQ384:AR384)</f>
        <v>6.3067541917426446</v>
      </c>
      <c r="AS386" s="334">
        <f t="shared" si="538"/>
        <v>5.3364843160899298</v>
      </c>
      <c r="AT386" s="2"/>
      <c r="AU386" s="2"/>
    </row>
    <row r="387" spans="1:47" hidden="1" outlineLevel="1">
      <c r="A387" s="298"/>
      <c r="B387" s="8" t="s">
        <v>1310</v>
      </c>
      <c r="C387" s="14" t="s">
        <v>772</v>
      </c>
      <c r="D387" s="18"/>
      <c r="E387" s="18"/>
      <c r="F387" s="18"/>
      <c r="G387" s="18"/>
      <c r="H387" s="18"/>
      <c r="I387" s="18"/>
      <c r="J387" s="18"/>
      <c r="K387" s="7"/>
      <c r="L387" s="7"/>
      <c r="M387" s="7"/>
      <c r="N387" s="7"/>
      <c r="O387" s="7"/>
      <c r="P387" s="7"/>
      <c r="Q387" s="7"/>
      <c r="R387" s="7"/>
      <c r="S387" s="7"/>
      <c r="T387" s="7"/>
      <c r="U387" s="7"/>
      <c r="V387" s="7"/>
      <c r="W387" s="7"/>
      <c r="X387" s="7"/>
      <c r="Y387" s="7"/>
      <c r="Z387" s="7"/>
      <c r="AA387" s="7"/>
      <c r="AB387" s="7"/>
      <c r="AC387" s="419">
        <v>856.83760683760681</v>
      </c>
      <c r="AD387" s="419">
        <f t="shared" ref="AD387:AI387" si="539">+AD389*1000/AD386/12</f>
        <v>867.96536796536793</v>
      </c>
      <c r="AE387" s="419">
        <f t="shared" si="539"/>
        <v>837.89954337899542</v>
      </c>
      <c r="AF387" s="419">
        <f t="shared" si="539"/>
        <v>866.16161616161617</v>
      </c>
      <c r="AG387" s="419">
        <f t="shared" si="539"/>
        <v>855.93220338983053</v>
      </c>
      <c r="AH387" s="419">
        <f t="shared" si="539"/>
        <v>851.85185185185185</v>
      </c>
      <c r="AI387" s="419">
        <f t="shared" si="539"/>
        <v>830.12820512820508</v>
      </c>
      <c r="AJ387" s="419">
        <f t="shared" ref="AJ387" si="540">+AJ389*1000/AJ386/12</f>
        <v>888.8888888888888</v>
      </c>
      <c r="AK387" s="419">
        <f t="shared" ref="AK387:AP387" si="541">AJ387*(1+AK388)</f>
        <v>951.80895180895175</v>
      </c>
      <c r="AL387" s="419">
        <f t="shared" si="541"/>
        <v>1019.1828158366125</v>
      </c>
      <c r="AM387" s="419">
        <f t="shared" si="541"/>
        <v>1091.3257435985349</v>
      </c>
      <c r="AN387" s="419">
        <f t="shared" si="541"/>
        <v>1168.5753136087271</v>
      </c>
      <c r="AO387" s="419">
        <f t="shared" si="541"/>
        <v>1251.2929999002072</v>
      </c>
      <c r="AP387" s="419">
        <f t="shared" si="541"/>
        <v>1339.8658634710068</v>
      </c>
      <c r="AQ387" s="419">
        <f t="shared" ref="AQ387" si="542">AP387*(1+AQ388)</f>
        <v>1434.7083634593021</v>
      </c>
      <c r="AR387" s="419">
        <f t="shared" ref="AR387:AS387" si="543">AQ387*(1+AR388)</f>
        <v>1536.2642965227019</v>
      </c>
      <c r="AS387" s="419">
        <f t="shared" si="543"/>
        <v>1645.0088734966384</v>
      </c>
      <c r="AT387" s="2"/>
      <c r="AU387" s="2"/>
    </row>
    <row r="388" spans="1:47" hidden="1" outlineLevel="1">
      <c r="A388" s="298"/>
      <c r="B388" s="325" t="s">
        <v>1099</v>
      </c>
      <c r="C388" s="14" t="s">
        <v>733</v>
      </c>
      <c r="D388" s="18"/>
      <c r="E388" s="18"/>
      <c r="F388" s="18"/>
      <c r="G388" s="18"/>
      <c r="H388" s="18"/>
      <c r="I388" s="18"/>
      <c r="J388" s="18"/>
      <c r="K388" s="7"/>
      <c r="L388" s="7"/>
      <c r="M388" s="7"/>
      <c r="N388" s="7"/>
      <c r="O388" s="7"/>
      <c r="P388" s="7"/>
      <c r="Q388" s="7"/>
      <c r="R388" s="7"/>
      <c r="S388" s="7"/>
      <c r="T388" s="7"/>
      <c r="U388" s="7"/>
      <c r="V388" s="7"/>
      <c r="W388" s="7"/>
      <c r="X388" s="7"/>
      <c r="Y388" s="7"/>
      <c r="Z388" s="7"/>
      <c r="AA388" s="7"/>
      <c r="AB388" s="7"/>
      <c r="AC388" s="7"/>
      <c r="AD388" s="313">
        <f t="shared" ref="AD388:AJ388" si="544">IFERROR(AD387/AC387-1, "")</f>
        <v>1.298701298701288E-2</v>
      </c>
      <c r="AE388" s="313">
        <f t="shared" si="544"/>
        <v>-3.4639428825197216E-2</v>
      </c>
      <c r="AF388" s="313">
        <f t="shared" si="544"/>
        <v>3.3729667244653649E-2</v>
      </c>
      <c r="AG388" s="313">
        <f t="shared" si="544"/>
        <v>-1.1810050896872037E-2</v>
      </c>
      <c r="AH388" s="313">
        <f t="shared" si="544"/>
        <v>-4.7671433810048125E-3</v>
      </c>
      <c r="AI388" s="313">
        <f t="shared" si="544"/>
        <v>-2.5501672240802686E-2</v>
      </c>
      <c r="AJ388" s="313">
        <f t="shared" si="544"/>
        <v>7.0785070785070792E-2</v>
      </c>
      <c r="AK388" s="621">
        <f t="shared" ref="AK388:AP388" si="545">AJ388</f>
        <v>7.0785070785070792E-2</v>
      </c>
      <c r="AL388" s="621">
        <f t="shared" si="545"/>
        <v>7.0785070785070792E-2</v>
      </c>
      <c r="AM388" s="621">
        <f t="shared" si="545"/>
        <v>7.0785070785070792E-2</v>
      </c>
      <c r="AN388" s="621">
        <f t="shared" si="545"/>
        <v>7.0785070785070792E-2</v>
      </c>
      <c r="AO388" s="621">
        <f t="shared" si="545"/>
        <v>7.0785070785070792E-2</v>
      </c>
      <c r="AP388" s="621">
        <f t="shared" si="545"/>
        <v>7.0785070785070792E-2</v>
      </c>
      <c r="AQ388" s="621">
        <f t="shared" ref="AQ388" si="546">AP388</f>
        <v>7.0785070785070792E-2</v>
      </c>
      <c r="AR388" s="621">
        <f t="shared" ref="AR388:AS388" si="547">AQ388</f>
        <v>7.0785070785070792E-2</v>
      </c>
      <c r="AS388" s="621">
        <f t="shared" si="547"/>
        <v>7.0785070785070792E-2</v>
      </c>
      <c r="AT388" s="2"/>
      <c r="AU388" s="2"/>
    </row>
    <row r="389" spans="1:47" hidden="1" outlineLevel="1">
      <c r="A389" s="298"/>
      <c r="B389" s="8" t="s">
        <v>1312</v>
      </c>
      <c r="C389" s="14" t="s">
        <v>732</v>
      </c>
      <c r="D389" s="14"/>
      <c r="E389" s="18"/>
      <c r="F389" s="18"/>
      <c r="G389" s="18"/>
      <c r="H389" s="18"/>
      <c r="I389" s="18"/>
      <c r="J389" s="18"/>
      <c r="K389" s="7"/>
      <c r="L389" s="7"/>
      <c r="M389" s="7"/>
      <c r="N389" s="7"/>
      <c r="O389" s="7"/>
      <c r="P389" s="7"/>
      <c r="Q389" s="7"/>
      <c r="R389" s="7"/>
      <c r="S389" s="7"/>
      <c r="T389" s="7"/>
      <c r="U389" s="7"/>
      <c r="V389" s="7"/>
      <c r="W389" s="7"/>
      <c r="X389" s="7"/>
      <c r="Y389" s="7"/>
      <c r="Z389" s="7"/>
      <c r="AA389" s="7"/>
      <c r="AB389" s="7"/>
      <c r="AC389" s="532">
        <v>401</v>
      </c>
      <c r="AD389" s="532">
        <v>401</v>
      </c>
      <c r="AE389" s="538">
        <v>367</v>
      </c>
      <c r="AF389" s="538">
        <v>343</v>
      </c>
      <c r="AG389" s="538">
        <v>303</v>
      </c>
      <c r="AH389" s="538">
        <v>276</v>
      </c>
      <c r="AI389" s="538">
        <v>259</v>
      </c>
      <c r="AJ389" s="538">
        <v>256</v>
      </c>
      <c r="AK389" s="7">
        <f t="shared" ref="AK389:AO389" si="548">+AK386*AK387/1000*12</f>
        <v>231.94851994851996</v>
      </c>
      <c r="AL389" s="7">
        <f t="shared" si="548"/>
        <v>210.15670275901934</v>
      </c>
      <c r="AM389" s="7">
        <f t="shared" si="548"/>
        <v>190.41225063365465</v>
      </c>
      <c r="AN389" s="7">
        <f t="shared" si="548"/>
        <v>172.52281138493288</v>
      </c>
      <c r="AO389" s="7">
        <f t="shared" si="548"/>
        <v>156.31410452380021</v>
      </c>
      <c r="AP389" s="7">
        <f>+AP386*AP387/1000*12</f>
        <v>141.6282234038035</v>
      </c>
      <c r="AQ389" s="7">
        <f t="shared" ref="AQ389:AR389" si="549">+AQ386*AQ387/1000*12</f>
        <v>128.32209688066621</v>
      </c>
      <c r="AR389" s="7">
        <f t="shared" si="549"/>
        <v>116.26609550062938</v>
      </c>
      <c r="AS389" s="7">
        <f t="shared" ref="AS389" si="550">+AS386*AS387/1000*12</f>
        <v>105.34276863892289</v>
      </c>
      <c r="AT389" s="2"/>
      <c r="AU389" s="2"/>
    </row>
    <row r="390" spans="1:47" hidden="1" outlineLevel="1">
      <c r="A390" s="298"/>
      <c r="B390" s="322" t="s">
        <v>1099</v>
      </c>
      <c r="C390" s="310" t="s">
        <v>733</v>
      </c>
      <c r="D390" s="18"/>
      <c r="E390" s="18"/>
      <c r="F390" s="18"/>
      <c r="G390" s="18"/>
      <c r="H390" s="18"/>
      <c r="I390" s="18"/>
      <c r="J390" s="18"/>
      <c r="K390" s="254"/>
      <c r="L390" s="254"/>
      <c r="M390" s="254"/>
      <c r="N390" s="254"/>
      <c r="O390" s="254"/>
      <c r="P390" s="254"/>
      <c r="Q390" s="254"/>
      <c r="R390" s="254"/>
      <c r="S390" s="254"/>
      <c r="T390" s="254"/>
      <c r="U390" s="254"/>
      <c r="V390" s="254"/>
      <c r="W390" s="254"/>
      <c r="X390" s="254"/>
      <c r="Y390" s="254"/>
      <c r="Z390" s="254"/>
      <c r="AA390" s="254"/>
      <c r="AB390" s="254"/>
      <c r="AC390" s="313"/>
      <c r="AD390" s="313">
        <f t="shared" ref="AD390:AP390" si="551">IFERROR(AD389/AC389-1, "")</f>
        <v>0</v>
      </c>
      <c r="AE390" s="313">
        <f t="shared" si="551"/>
        <v>-8.4788029925187081E-2</v>
      </c>
      <c r="AF390" s="313">
        <f t="shared" si="551"/>
        <v>-6.5395095367847378E-2</v>
      </c>
      <c r="AG390" s="313">
        <f t="shared" si="551"/>
        <v>-0.11661807580174932</v>
      </c>
      <c r="AH390" s="313">
        <f t="shared" si="551"/>
        <v>-8.9108910891089077E-2</v>
      </c>
      <c r="AI390" s="313">
        <f t="shared" si="551"/>
        <v>-6.1594202898550776E-2</v>
      </c>
      <c r="AJ390" s="313">
        <f t="shared" si="551"/>
        <v>-1.158301158301156E-2</v>
      </c>
      <c r="AK390" s="313">
        <f t="shared" si="551"/>
        <v>-9.3951093951093911E-2</v>
      </c>
      <c r="AL390" s="313">
        <f t="shared" si="551"/>
        <v>-9.3951093951094133E-2</v>
      </c>
      <c r="AM390" s="313">
        <f t="shared" si="551"/>
        <v>-9.3951093951093689E-2</v>
      </c>
      <c r="AN390" s="313">
        <f t="shared" si="551"/>
        <v>-9.3951093951094133E-2</v>
      </c>
      <c r="AO390" s="313">
        <f t="shared" si="551"/>
        <v>-9.39510939510938E-2</v>
      </c>
      <c r="AP390" s="313">
        <f t="shared" si="551"/>
        <v>-9.3951093951094133E-2</v>
      </c>
      <c r="AQ390" s="313">
        <f t="shared" ref="AQ390" si="552">IFERROR(AQ389/AP389-1, "")</f>
        <v>-9.3951093951094133E-2</v>
      </c>
      <c r="AR390" s="313">
        <f t="shared" ref="AR390:AS390" si="553">IFERROR(AR389/AQ389-1, "")</f>
        <v>-9.39510939510938E-2</v>
      </c>
      <c r="AS390" s="313">
        <f t="shared" si="553"/>
        <v>-9.3951093951093911E-2</v>
      </c>
      <c r="AT390" s="2"/>
      <c r="AU390" s="2"/>
    </row>
    <row r="391" spans="1:47" hidden="1" outlineLevel="1">
      <c r="A391" s="298"/>
      <c r="B391" s="2"/>
      <c r="C391" s="18"/>
      <c r="D391" s="18"/>
      <c r="E391" s="18"/>
      <c r="F391" s="18"/>
      <c r="G391" s="18"/>
      <c r="H391" s="18"/>
      <c r="I391" s="18"/>
      <c r="J391" s="18"/>
      <c r="K391" s="7"/>
      <c r="L391" s="7"/>
      <c r="M391" s="7"/>
      <c r="N391" s="7"/>
      <c r="O391" s="7"/>
      <c r="P391" s="7"/>
      <c r="Q391" s="7"/>
      <c r="R391" s="7"/>
      <c r="S391" s="7"/>
      <c r="T391" s="7"/>
      <c r="U391" s="7"/>
      <c r="V391" s="7"/>
      <c r="W391" s="7"/>
      <c r="X391" s="7"/>
      <c r="Y391" s="7"/>
      <c r="Z391" s="7"/>
      <c r="AA391" s="7"/>
      <c r="AB391" s="7"/>
      <c r="AC391" s="7"/>
      <c r="AD391" s="7"/>
      <c r="AE391" s="7"/>
      <c r="AF391" s="7"/>
      <c r="AG391" s="7"/>
      <c r="AH391" s="7"/>
      <c r="AI391" s="7"/>
      <c r="AJ391" s="7"/>
      <c r="AK391" s="7"/>
      <c r="AL391" s="7"/>
      <c r="AM391" s="7"/>
      <c r="AN391" s="7"/>
      <c r="AO391" s="7"/>
      <c r="AP391" s="7"/>
      <c r="AQ391" s="7"/>
      <c r="AR391" s="7"/>
      <c r="AS391" s="7"/>
      <c r="AT391" s="2"/>
      <c r="AU391" s="2"/>
    </row>
    <row r="392" spans="1:47" ht="15.6" hidden="1" outlineLevel="1">
      <c r="A392" s="298"/>
      <c r="B392" s="237" t="s">
        <v>1245</v>
      </c>
      <c r="C392" s="238"/>
      <c r="D392" s="239"/>
      <c r="E392" s="239"/>
      <c r="F392" s="239"/>
      <c r="G392" s="239"/>
      <c r="H392" s="239"/>
      <c r="I392" s="239"/>
      <c r="J392" s="239"/>
      <c r="K392" s="239"/>
      <c r="L392" s="239"/>
      <c r="M392" s="239"/>
      <c r="N392" s="239"/>
      <c r="O392" s="239"/>
      <c r="P392" s="239"/>
      <c r="Q392" s="239"/>
      <c r="R392" s="239"/>
      <c r="S392" s="239"/>
      <c r="T392" s="239"/>
      <c r="U392" s="239"/>
      <c r="V392" s="239"/>
      <c r="W392" s="239"/>
      <c r="X392" s="239"/>
      <c r="Y392" s="239"/>
      <c r="Z392" s="239"/>
      <c r="AA392" s="239"/>
      <c r="AB392" s="239"/>
      <c r="AC392" s="239"/>
      <c r="AD392" s="239"/>
      <c r="AE392" s="239"/>
      <c r="AF392" s="239"/>
      <c r="AG392" s="239"/>
      <c r="AH392" s="239"/>
      <c r="AI392" s="239"/>
      <c r="AJ392" s="239"/>
      <c r="AK392" s="239"/>
      <c r="AL392" s="239"/>
      <c r="AM392" s="239"/>
      <c r="AN392" s="239"/>
      <c r="AO392" s="270"/>
      <c r="AP392" s="240"/>
      <c r="AQ392" s="240"/>
      <c r="AR392" s="240"/>
      <c r="AS392" s="240"/>
      <c r="AT392" s="2"/>
      <c r="AU392" s="2"/>
    </row>
    <row r="393" spans="1:47" hidden="1" outlineLevel="1">
      <c r="A393" s="298"/>
      <c r="B393" s="2"/>
      <c r="C393" s="18"/>
      <c r="D393" s="18"/>
      <c r="E393" s="18"/>
      <c r="F393" s="18"/>
      <c r="G393" s="18"/>
      <c r="H393" s="18"/>
      <c r="I393" s="18"/>
      <c r="J393" s="18"/>
      <c r="K393" s="7"/>
      <c r="L393" s="7"/>
      <c r="M393" s="7"/>
      <c r="N393" s="7"/>
      <c r="O393" s="7"/>
      <c r="P393" s="7"/>
      <c r="Q393" s="7"/>
      <c r="R393" s="7"/>
      <c r="S393" s="7"/>
      <c r="T393" s="7"/>
      <c r="U393" s="7"/>
      <c r="V393" s="7"/>
      <c r="W393" s="7"/>
      <c r="X393" s="7"/>
      <c r="Y393" s="7"/>
      <c r="Z393" s="7"/>
      <c r="AA393" s="7"/>
      <c r="AB393" s="7"/>
      <c r="AC393" s="7"/>
      <c r="AD393" s="7"/>
      <c r="AE393" s="7"/>
      <c r="AF393" s="7"/>
      <c r="AG393" s="7"/>
      <c r="AH393" s="7"/>
      <c r="AI393" s="7"/>
      <c r="AJ393" s="7"/>
      <c r="AK393" s="7"/>
      <c r="AL393" s="7"/>
      <c r="AM393" s="7"/>
      <c r="AN393" s="7"/>
      <c r="AO393" s="7"/>
      <c r="AP393" s="7"/>
      <c r="AQ393" s="7"/>
      <c r="AR393" s="7"/>
      <c r="AS393" s="7"/>
      <c r="AT393" s="2"/>
      <c r="AU393" s="2"/>
    </row>
    <row r="394" spans="1:47" hidden="1" outlineLevel="1">
      <c r="A394" s="298"/>
      <c r="B394" s="8" t="s">
        <v>1315</v>
      </c>
      <c r="C394" s="14" t="s">
        <v>846</v>
      </c>
      <c r="D394" s="18"/>
      <c r="E394" s="18"/>
      <c r="F394" s="18"/>
      <c r="G394" s="18"/>
      <c r="H394" s="18"/>
      <c r="I394" s="18"/>
      <c r="J394" s="18"/>
      <c r="K394" s="7"/>
      <c r="L394" s="7"/>
      <c r="M394" s="7"/>
      <c r="N394" s="7"/>
      <c r="O394" s="7"/>
      <c r="P394" s="7"/>
      <c r="Q394" s="7"/>
      <c r="R394" s="7"/>
      <c r="S394" s="7"/>
      <c r="T394" s="7"/>
      <c r="U394" s="7"/>
      <c r="V394" s="7"/>
      <c r="W394" s="7"/>
      <c r="X394" s="7"/>
      <c r="Y394" s="7"/>
      <c r="Z394" s="7"/>
      <c r="AA394" s="7"/>
      <c r="AB394" s="7"/>
      <c r="AC394" s="532">
        <v>2638</v>
      </c>
      <c r="AD394" s="532">
        <v>1671</v>
      </c>
      <c r="AE394" s="538">
        <v>719</v>
      </c>
      <c r="AF394" s="538">
        <v>248</v>
      </c>
      <c r="AG394" s="538">
        <v>93</v>
      </c>
      <c r="AH394" s="538">
        <v>44</v>
      </c>
      <c r="AI394" s="538">
        <v>23</v>
      </c>
      <c r="AJ394" s="538">
        <v>20</v>
      </c>
      <c r="AK394" s="12">
        <f t="shared" ref="AK394:AP394" si="554">AJ394*(1+AK395)</f>
        <v>17.391304347826086</v>
      </c>
      <c r="AL394" s="12">
        <f t="shared" si="554"/>
        <v>15.122873345935727</v>
      </c>
      <c r="AM394" s="12">
        <f t="shared" si="554"/>
        <v>13.150324648639762</v>
      </c>
      <c r="AN394" s="12">
        <f t="shared" si="554"/>
        <v>11.435064911860662</v>
      </c>
      <c r="AO394" s="12">
        <f t="shared" si="554"/>
        <v>9.9435347059657921</v>
      </c>
      <c r="AP394" s="12">
        <f t="shared" si="554"/>
        <v>8.6465519182311237</v>
      </c>
      <c r="AQ394" s="12">
        <f t="shared" ref="AQ394" si="555">AP394*(1+AQ395)</f>
        <v>7.5187407984618462</v>
      </c>
      <c r="AR394" s="12">
        <f t="shared" ref="AR394:AS394" si="556">AQ394*(1+AR395)</f>
        <v>6.5380354769233442</v>
      </c>
      <c r="AS394" s="12">
        <f t="shared" si="556"/>
        <v>5.6852482408029079</v>
      </c>
      <c r="AT394" s="2"/>
      <c r="AU394" s="2"/>
    </row>
    <row r="395" spans="1:47" hidden="1" outlineLevel="1">
      <c r="A395" s="298"/>
      <c r="B395" s="325" t="s">
        <v>1099</v>
      </c>
      <c r="C395" s="310" t="s">
        <v>733</v>
      </c>
      <c r="D395" s="310"/>
      <c r="E395" s="310"/>
      <c r="F395" s="310"/>
      <c r="G395" s="310"/>
      <c r="H395" s="310"/>
      <c r="I395" s="310"/>
      <c r="J395" s="310"/>
      <c r="K395" s="311"/>
      <c r="L395" s="311"/>
      <c r="M395" s="311"/>
      <c r="N395" s="311"/>
      <c r="O395" s="311"/>
      <c r="P395" s="311"/>
      <c r="Q395" s="311"/>
      <c r="R395" s="311"/>
      <c r="S395" s="311"/>
      <c r="T395" s="311"/>
      <c r="U395" s="311"/>
      <c r="V395" s="311"/>
      <c r="W395" s="311"/>
      <c r="X395" s="311"/>
      <c r="Y395" s="311"/>
      <c r="Z395" s="311"/>
      <c r="AA395" s="311"/>
      <c r="AB395" s="311"/>
      <c r="AC395" s="311"/>
      <c r="AD395" s="313">
        <f t="shared" ref="AD395:AJ395" si="557">IFERROR(AD394/AC394-1, "")</f>
        <v>-0.36656557998483696</v>
      </c>
      <c r="AE395" s="313">
        <f t="shared" si="557"/>
        <v>-0.5697187312986236</v>
      </c>
      <c r="AF395" s="313">
        <f t="shared" si="557"/>
        <v>-0.65507649513212796</v>
      </c>
      <c r="AG395" s="313">
        <f t="shared" si="557"/>
        <v>-0.625</v>
      </c>
      <c r="AH395" s="313">
        <f t="shared" si="557"/>
        <v>-0.5268817204301075</v>
      </c>
      <c r="AI395" s="313">
        <f t="shared" si="557"/>
        <v>-0.47727272727272729</v>
      </c>
      <c r="AJ395" s="313">
        <f t="shared" si="557"/>
        <v>-0.13043478260869568</v>
      </c>
      <c r="AK395" s="621">
        <f t="shared" ref="AK395:AP395" si="558">AJ395</f>
        <v>-0.13043478260869568</v>
      </c>
      <c r="AL395" s="621">
        <f t="shared" si="558"/>
        <v>-0.13043478260869568</v>
      </c>
      <c r="AM395" s="621">
        <f t="shared" si="558"/>
        <v>-0.13043478260869568</v>
      </c>
      <c r="AN395" s="621">
        <f t="shared" si="558"/>
        <v>-0.13043478260869568</v>
      </c>
      <c r="AO395" s="621">
        <f t="shared" si="558"/>
        <v>-0.13043478260869568</v>
      </c>
      <c r="AP395" s="621">
        <f t="shared" si="558"/>
        <v>-0.13043478260869568</v>
      </c>
      <c r="AQ395" s="621">
        <f t="shared" ref="AQ395" si="559">AP395</f>
        <v>-0.13043478260869568</v>
      </c>
      <c r="AR395" s="621">
        <f t="shared" ref="AR395:AS395" si="560">AQ395</f>
        <v>-0.13043478260869568</v>
      </c>
      <c r="AS395" s="621">
        <f t="shared" si="560"/>
        <v>-0.13043478260869568</v>
      </c>
      <c r="AT395" s="2"/>
      <c r="AU395" s="2"/>
    </row>
    <row r="396" spans="1:47" hidden="1" outlineLevel="1">
      <c r="A396" s="298"/>
      <c r="B396" s="8" t="s">
        <v>1316</v>
      </c>
      <c r="C396" s="14" t="s">
        <v>846</v>
      </c>
      <c r="D396" s="18"/>
      <c r="E396" s="18"/>
      <c r="F396" s="18"/>
      <c r="G396" s="18"/>
      <c r="H396" s="18"/>
      <c r="I396" s="18"/>
      <c r="J396" s="18"/>
      <c r="K396" s="7"/>
      <c r="L396" s="7"/>
      <c r="M396" s="7"/>
      <c r="N396" s="7"/>
      <c r="O396" s="7"/>
      <c r="P396" s="7"/>
      <c r="Q396" s="7"/>
      <c r="R396" s="7"/>
      <c r="S396" s="7"/>
      <c r="T396" s="7"/>
      <c r="U396" s="7"/>
      <c r="V396" s="7"/>
      <c r="W396" s="7"/>
      <c r="X396" s="7"/>
      <c r="Y396" s="7"/>
      <c r="Z396" s="7"/>
      <c r="AA396" s="7"/>
      <c r="AB396" s="7"/>
      <c r="AC396" s="334">
        <v>2638</v>
      </c>
      <c r="AD396" s="334">
        <f t="shared" ref="AD396:AP396" si="561">AVERAGE(AC394:AD394)</f>
        <v>2154.5</v>
      </c>
      <c r="AE396" s="334">
        <f t="shared" si="561"/>
        <v>1195</v>
      </c>
      <c r="AF396" s="334">
        <f t="shared" si="561"/>
        <v>483.5</v>
      </c>
      <c r="AG396" s="334">
        <f t="shared" si="561"/>
        <v>170.5</v>
      </c>
      <c r="AH396" s="334">
        <f t="shared" si="561"/>
        <v>68.5</v>
      </c>
      <c r="AI396" s="334">
        <f t="shared" si="561"/>
        <v>33.5</v>
      </c>
      <c r="AJ396" s="334">
        <f t="shared" si="561"/>
        <v>21.5</v>
      </c>
      <c r="AK396" s="334">
        <f t="shared" si="561"/>
        <v>18.695652173913043</v>
      </c>
      <c r="AL396" s="334">
        <f t="shared" si="561"/>
        <v>16.257088846880904</v>
      </c>
      <c r="AM396" s="334">
        <f t="shared" si="561"/>
        <v>14.136598997287745</v>
      </c>
      <c r="AN396" s="334">
        <f t="shared" si="561"/>
        <v>12.292694780250212</v>
      </c>
      <c r="AO396" s="334">
        <f t="shared" si="561"/>
        <v>10.689299808913226</v>
      </c>
      <c r="AP396" s="334">
        <f t="shared" si="561"/>
        <v>9.295043312098457</v>
      </c>
      <c r="AQ396" s="334">
        <f t="shared" ref="AQ396" si="562">AVERAGE(AP394:AQ394)</f>
        <v>8.0826463583464854</v>
      </c>
      <c r="AR396" s="334">
        <f t="shared" ref="AR396:AS396" si="563">AVERAGE(AQ394:AR394)</f>
        <v>7.0283881376925947</v>
      </c>
      <c r="AS396" s="334">
        <f t="shared" si="563"/>
        <v>6.1116418588631261</v>
      </c>
      <c r="AT396" s="2"/>
      <c r="AU396" s="2"/>
    </row>
    <row r="397" spans="1:47" hidden="1" outlineLevel="1">
      <c r="A397" s="298"/>
      <c r="B397" s="8" t="s">
        <v>1317</v>
      </c>
      <c r="C397" s="14" t="s">
        <v>772</v>
      </c>
      <c r="D397" s="18"/>
      <c r="E397" s="18"/>
      <c r="F397" s="18"/>
      <c r="G397" s="18"/>
      <c r="H397" s="18"/>
      <c r="I397" s="18"/>
      <c r="J397" s="18"/>
      <c r="K397" s="7"/>
      <c r="L397" s="7"/>
      <c r="M397" s="7"/>
      <c r="N397" s="7"/>
      <c r="O397" s="7"/>
      <c r="P397" s="7"/>
      <c r="Q397" s="7"/>
      <c r="R397" s="7"/>
      <c r="S397" s="7"/>
      <c r="T397" s="7"/>
      <c r="U397" s="7"/>
      <c r="V397" s="7"/>
      <c r="W397" s="7"/>
      <c r="X397" s="7"/>
      <c r="Y397" s="7"/>
      <c r="Z397" s="7"/>
      <c r="AA397" s="7"/>
      <c r="AB397" s="7"/>
      <c r="AC397" s="419">
        <v>34.464240586302758</v>
      </c>
      <c r="AD397" s="419">
        <f t="shared" ref="AD397:AI397" si="564">+AD399*1000/AD396/12</f>
        <v>33.650498955674173</v>
      </c>
      <c r="AE397" s="419">
        <f t="shared" si="564"/>
        <v>43.514644351464433</v>
      </c>
      <c r="AF397" s="419">
        <f t="shared" si="564"/>
        <v>71.009996552912796</v>
      </c>
      <c r="AG397" s="419">
        <f t="shared" si="564"/>
        <v>85.043988269794724</v>
      </c>
      <c r="AH397" s="419">
        <f t="shared" si="564"/>
        <v>154.50121654501217</v>
      </c>
      <c r="AI397" s="419">
        <f t="shared" si="564"/>
        <v>266.16915422885569</v>
      </c>
      <c r="AJ397" s="419">
        <f t="shared" ref="AJ397" si="565">+AJ399*1000/AJ396/12</f>
        <v>360.46511627906972</v>
      </c>
      <c r="AK397" s="419">
        <f>AJ397*(1+AK398)</f>
        <v>488.1673852499203</v>
      </c>
      <c r="AL397" s="419">
        <f t="shared" ref="AL397:AP397" si="566">AK397*(1+AL398)</f>
        <v>661.11084057645144</v>
      </c>
      <c r="AM397" s="419">
        <f t="shared" si="566"/>
        <v>895.323114025618</v>
      </c>
      <c r="AN397" s="419">
        <f t="shared" si="566"/>
        <v>1212.5099594639482</v>
      </c>
      <c r="AO397" s="419">
        <f t="shared" si="566"/>
        <v>1642.0668457769748</v>
      </c>
      <c r="AP397" s="419">
        <f t="shared" si="566"/>
        <v>2223.8031984430186</v>
      </c>
      <c r="AQ397" s="419">
        <f t="shared" ref="AQ397" si="567">AP397*(1+AQ398)</f>
        <v>3011.6317603778411</v>
      </c>
      <c r="AR397" s="419">
        <f t="shared" ref="AR397:AS397" si="568">AQ397*(1+AR398)</f>
        <v>4078.5649856366717</v>
      </c>
      <c r="AS397" s="419">
        <f t="shared" si="568"/>
        <v>5523.481509563595</v>
      </c>
      <c r="AT397" s="2"/>
      <c r="AU397" s="2"/>
    </row>
    <row r="398" spans="1:47" hidden="1" outlineLevel="1">
      <c r="A398" s="298"/>
      <c r="B398" s="325" t="s">
        <v>1099</v>
      </c>
      <c r="C398" s="14" t="s">
        <v>733</v>
      </c>
      <c r="D398" s="18"/>
      <c r="E398" s="18"/>
      <c r="F398" s="18"/>
      <c r="G398" s="18"/>
      <c r="H398" s="18"/>
      <c r="I398" s="18"/>
      <c r="J398" s="18"/>
      <c r="K398" s="7"/>
      <c r="L398" s="7"/>
      <c r="M398" s="7"/>
      <c r="N398" s="7"/>
      <c r="O398" s="7"/>
      <c r="P398" s="7"/>
      <c r="Q398" s="7"/>
      <c r="R398" s="7"/>
      <c r="S398" s="7"/>
      <c r="T398" s="7"/>
      <c r="U398" s="7"/>
      <c r="V398" s="7"/>
      <c r="W398" s="7"/>
      <c r="X398" s="7"/>
      <c r="Y398" s="7"/>
      <c r="Z398" s="7"/>
      <c r="AA398" s="7"/>
      <c r="AB398" s="7"/>
      <c r="AC398" s="7"/>
      <c r="AD398" s="313">
        <f t="shared" ref="AD398:AJ398" si="569">IFERROR(AD397/AC397-1, "")</f>
        <v>-2.3611187038660386E-2</v>
      </c>
      <c r="AE398" s="313">
        <f t="shared" si="569"/>
        <v>0.29313518972731201</v>
      </c>
      <c r="AF398" s="313">
        <f t="shared" si="569"/>
        <v>0.63186434386020762</v>
      </c>
      <c r="AG398" s="313">
        <f t="shared" si="569"/>
        <v>0.19763402898385674</v>
      </c>
      <c r="AH398" s="313">
        <f t="shared" si="569"/>
        <v>0.81672120144307403</v>
      </c>
      <c r="AI398" s="313">
        <f t="shared" si="569"/>
        <v>0.72276413209542811</v>
      </c>
      <c r="AJ398" s="313">
        <f t="shared" si="569"/>
        <v>0.35427081069332744</v>
      </c>
      <c r="AK398" s="621">
        <f t="shared" ref="AK398:AP398" si="570">AJ398</f>
        <v>0.35427081069332744</v>
      </c>
      <c r="AL398" s="621">
        <f t="shared" si="570"/>
        <v>0.35427081069332744</v>
      </c>
      <c r="AM398" s="621">
        <f t="shared" si="570"/>
        <v>0.35427081069332744</v>
      </c>
      <c r="AN398" s="621">
        <f t="shared" si="570"/>
        <v>0.35427081069332744</v>
      </c>
      <c r="AO398" s="621">
        <f t="shared" si="570"/>
        <v>0.35427081069332744</v>
      </c>
      <c r="AP398" s="621">
        <f t="shared" si="570"/>
        <v>0.35427081069332744</v>
      </c>
      <c r="AQ398" s="621">
        <f t="shared" ref="AQ398" si="571">AP398</f>
        <v>0.35427081069332744</v>
      </c>
      <c r="AR398" s="621">
        <f t="shared" ref="AR398:AS398" si="572">AQ398</f>
        <v>0.35427081069332744</v>
      </c>
      <c r="AS398" s="621">
        <f t="shared" si="572"/>
        <v>0.35427081069332744</v>
      </c>
      <c r="AT398" s="2"/>
      <c r="AU398" s="2"/>
    </row>
    <row r="399" spans="1:47" hidden="1" outlineLevel="1">
      <c r="A399" s="298"/>
      <c r="B399" s="8" t="s">
        <v>1318</v>
      </c>
      <c r="C399" s="14" t="s">
        <v>732</v>
      </c>
      <c r="D399" s="14"/>
      <c r="E399" s="18"/>
      <c r="F399" s="18"/>
      <c r="G399" s="18"/>
      <c r="H399" s="18"/>
      <c r="I399" s="18"/>
      <c r="J399" s="18"/>
      <c r="K399" s="7"/>
      <c r="L399" s="7"/>
      <c r="M399" s="7"/>
      <c r="N399" s="7"/>
      <c r="O399" s="7"/>
      <c r="P399" s="7"/>
      <c r="Q399" s="7"/>
      <c r="R399" s="7"/>
      <c r="S399" s="7"/>
      <c r="T399" s="7"/>
      <c r="U399" s="7"/>
      <c r="V399" s="7"/>
      <c r="W399" s="7"/>
      <c r="X399" s="7"/>
      <c r="Y399" s="7"/>
      <c r="Z399" s="7"/>
      <c r="AA399" s="7"/>
      <c r="AB399" s="7"/>
      <c r="AC399" s="532">
        <v>1091</v>
      </c>
      <c r="AD399" s="532">
        <v>870</v>
      </c>
      <c r="AE399" s="538">
        <v>624</v>
      </c>
      <c r="AF399" s="538">
        <v>412</v>
      </c>
      <c r="AG399" s="538">
        <v>174</v>
      </c>
      <c r="AH399" s="538">
        <v>127</v>
      </c>
      <c r="AI399" s="538">
        <v>107</v>
      </c>
      <c r="AJ399" s="538">
        <v>93</v>
      </c>
      <c r="AK399" s="7">
        <f t="shared" ref="AK399:AO399" si="573">+AK396*AK397/1000*12</f>
        <v>109.51929164737342</v>
      </c>
      <c r="AL399" s="7">
        <f t="shared" si="573"/>
        <v>128.97285207464986</v>
      </c>
      <c r="AM399" s="7">
        <f t="shared" si="573"/>
        <v>151.88188603179711</v>
      </c>
      <c r="AN399" s="7">
        <f t="shared" si="573"/>
        <v>178.86017819644644</v>
      </c>
      <c r="AO399" s="7">
        <f t="shared" si="573"/>
        <v>210.6305378494387</v>
      </c>
      <c r="AP399" s="7">
        <f>+AP396*AP397/1000*12</f>
        <v>248.0441645653313</v>
      </c>
      <c r="AQ399" s="7">
        <f t="shared" ref="AQ399:AR399" si="574">+AQ396*AQ397/1000*12</f>
        <v>292.10345376838285</v>
      </c>
      <c r="AR399" s="7">
        <f t="shared" si="574"/>
        <v>343.98885316628582</v>
      </c>
      <c r="AS399" s="7">
        <f t="shared" ref="AS399" si="575">+AS396*AS397/1000*12</f>
        <v>405.09048960606424</v>
      </c>
      <c r="AT399" s="2"/>
      <c r="AU399" s="2"/>
    </row>
    <row r="400" spans="1:47" hidden="1" outlineLevel="1">
      <c r="A400" s="298"/>
      <c r="B400" s="322" t="s">
        <v>1099</v>
      </c>
      <c r="C400" s="310" t="s">
        <v>733</v>
      </c>
      <c r="D400" s="18"/>
      <c r="E400" s="18"/>
      <c r="F400" s="18"/>
      <c r="G400" s="18"/>
      <c r="H400" s="18"/>
      <c r="I400" s="18"/>
      <c r="J400" s="18"/>
      <c r="K400" s="254"/>
      <c r="L400" s="254"/>
      <c r="M400" s="254"/>
      <c r="N400" s="254"/>
      <c r="O400" s="254"/>
      <c r="P400" s="254"/>
      <c r="Q400" s="254"/>
      <c r="R400" s="254"/>
      <c r="S400" s="254"/>
      <c r="T400" s="254"/>
      <c r="U400" s="254"/>
      <c r="V400" s="254"/>
      <c r="W400" s="254"/>
      <c r="X400" s="254"/>
      <c r="Y400" s="254"/>
      <c r="Z400" s="254"/>
      <c r="AA400" s="254"/>
      <c r="AB400" s="254"/>
      <c r="AC400" s="313"/>
      <c r="AD400" s="313">
        <f t="shared" ref="AD400:AP400" si="576">IFERROR(AD399/AC399-1, "")</f>
        <v>-0.20256645279560037</v>
      </c>
      <c r="AE400" s="313">
        <f t="shared" si="576"/>
        <v>-0.28275862068965518</v>
      </c>
      <c r="AF400" s="313">
        <f t="shared" si="576"/>
        <v>-0.33974358974358976</v>
      </c>
      <c r="AG400" s="313">
        <f t="shared" si="576"/>
        <v>-0.57766990291262132</v>
      </c>
      <c r="AH400" s="313">
        <f t="shared" si="576"/>
        <v>-0.27011494252873558</v>
      </c>
      <c r="AI400" s="313">
        <f t="shared" si="576"/>
        <v>-0.15748031496062997</v>
      </c>
      <c r="AJ400" s="313">
        <f t="shared" si="576"/>
        <v>-0.13084112149532712</v>
      </c>
      <c r="AK400" s="313">
        <f t="shared" si="576"/>
        <v>0.17762679190724118</v>
      </c>
      <c r="AL400" s="313">
        <f t="shared" si="576"/>
        <v>0.17762679190724096</v>
      </c>
      <c r="AM400" s="313">
        <f t="shared" si="576"/>
        <v>0.17762679190724118</v>
      </c>
      <c r="AN400" s="313">
        <f t="shared" si="576"/>
        <v>0.17762679190724118</v>
      </c>
      <c r="AO400" s="313">
        <f t="shared" si="576"/>
        <v>0.17762679190724118</v>
      </c>
      <c r="AP400" s="313">
        <f t="shared" si="576"/>
        <v>0.17762679190724162</v>
      </c>
      <c r="AQ400" s="313">
        <f t="shared" ref="AQ400" si="577">IFERROR(AQ399/AP399-1, "")</f>
        <v>0.17762679190724096</v>
      </c>
      <c r="AR400" s="313">
        <f t="shared" ref="AR400:AS400" si="578">IFERROR(AR399/AQ399-1, "")</f>
        <v>0.17762679190724118</v>
      </c>
      <c r="AS400" s="313">
        <f t="shared" si="578"/>
        <v>0.17762679190724118</v>
      </c>
      <c r="AT400" s="2"/>
      <c r="AU400" s="2"/>
    </row>
    <row r="401" spans="1:47" hidden="1" outlineLevel="1">
      <c r="A401" s="298"/>
      <c r="B401" s="2"/>
      <c r="C401" s="18"/>
      <c r="D401" s="18"/>
      <c r="E401" s="18"/>
      <c r="F401" s="18"/>
      <c r="G401" s="18"/>
      <c r="H401" s="18"/>
      <c r="I401" s="18"/>
      <c r="J401" s="18"/>
      <c r="K401" s="7"/>
      <c r="L401" s="7"/>
      <c r="M401" s="7"/>
      <c r="N401" s="7"/>
      <c r="O401" s="7"/>
      <c r="P401" s="7"/>
      <c r="Q401" s="7"/>
      <c r="R401" s="7"/>
      <c r="S401" s="7"/>
      <c r="T401" s="7"/>
      <c r="U401" s="7"/>
      <c r="V401" s="7"/>
      <c r="W401" s="7"/>
      <c r="X401" s="7"/>
      <c r="Y401" s="7"/>
      <c r="Z401" s="7"/>
      <c r="AA401" s="7"/>
      <c r="AB401" s="7"/>
      <c r="AC401" s="7"/>
      <c r="AD401" s="7"/>
      <c r="AE401" s="7"/>
      <c r="AF401" s="7"/>
      <c r="AG401" s="7"/>
      <c r="AH401" s="7"/>
      <c r="AI401" s="7"/>
      <c r="AJ401" s="7"/>
      <c r="AK401" s="7"/>
      <c r="AL401" s="7"/>
      <c r="AM401" s="7"/>
      <c r="AN401" s="7"/>
      <c r="AO401" s="7"/>
      <c r="AP401" s="7"/>
      <c r="AQ401" s="7"/>
      <c r="AR401" s="7"/>
      <c r="AS401" s="7"/>
      <c r="AT401" s="2"/>
      <c r="AU401" s="2"/>
    </row>
    <row r="402" spans="1:47" ht="15.6" hidden="1" outlineLevel="1">
      <c r="A402" s="298"/>
      <c r="B402" s="237" t="s">
        <v>1246</v>
      </c>
      <c r="C402" s="238"/>
      <c r="D402" s="239"/>
      <c r="E402" s="239"/>
      <c r="F402" s="239"/>
      <c r="G402" s="239"/>
      <c r="H402" s="239"/>
      <c r="I402" s="239"/>
      <c r="J402" s="239"/>
      <c r="K402" s="239"/>
      <c r="L402" s="239"/>
      <c r="M402" s="239"/>
      <c r="N402" s="239"/>
      <c r="O402" s="239"/>
      <c r="P402" s="239"/>
      <c r="Q402" s="239"/>
      <c r="R402" s="239"/>
      <c r="S402" s="239"/>
      <c r="T402" s="239"/>
      <c r="U402" s="239"/>
      <c r="V402" s="239"/>
      <c r="W402" s="239"/>
      <c r="X402" s="239"/>
      <c r="Y402" s="239"/>
      <c r="Z402" s="239"/>
      <c r="AA402" s="239"/>
      <c r="AB402" s="239"/>
      <c r="AC402" s="239"/>
      <c r="AD402" s="239"/>
      <c r="AE402" s="239"/>
      <c r="AF402" s="239"/>
      <c r="AG402" s="239"/>
      <c r="AH402" s="239"/>
      <c r="AI402" s="239"/>
      <c r="AJ402" s="239"/>
      <c r="AK402" s="239"/>
      <c r="AL402" s="239"/>
      <c r="AM402" s="239"/>
      <c r="AN402" s="239"/>
      <c r="AO402" s="270"/>
      <c r="AP402" s="240"/>
      <c r="AQ402" s="240"/>
      <c r="AR402" s="240"/>
      <c r="AS402" s="240"/>
      <c r="AT402" s="2"/>
      <c r="AU402" s="2"/>
    </row>
    <row r="403" spans="1:47" hidden="1" outlineLevel="1">
      <c r="A403" s="298"/>
      <c r="B403" s="2"/>
      <c r="C403" s="18"/>
      <c r="D403" s="18"/>
      <c r="E403" s="18"/>
      <c r="F403" s="18"/>
      <c r="G403" s="18"/>
      <c r="H403" s="18"/>
      <c r="I403" s="18"/>
      <c r="J403" s="18"/>
      <c r="K403" s="7"/>
      <c r="L403" s="7"/>
      <c r="M403" s="7"/>
      <c r="N403" s="7"/>
      <c r="O403" s="7"/>
      <c r="P403" s="7"/>
      <c r="Q403" s="7"/>
      <c r="R403" s="7"/>
      <c r="S403" s="7"/>
      <c r="T403" s="7"/>
      <c r="U403" s="7"/>
      <c r="V403" s="7"/>
      <c r="W403" s="7"/>
      <c r="X403" s="7"/>
      <c r="Y403" s="7"/>
      <c r="Z403" s="7"/>
      <c r="AA403" s="7"/>
      <c r="AB403" s="7"/>
      <c r="AC403" s="7"/>
      <c r="AD403" s="7"/>
      <c r="AE403" s="7"/>
      <c r="AF403" s="7"/>
      <c r="AG403" s="7"/>
      <c r="AH403" s="7"/>
      <c r="AI403" s="7"/>
      <c r="AJ403" s="7"/>
      <c r="AK403" s="7"/>
      <c r="AL403" s="7"/>
      <c r="AM403" s="7"/>
      <c r="AN403" s="7"/>
      <c r="AO403" s="7"/>
      <c r="AP403" s="7"/>
      <c r="AQ403" s="7"/>
      <c r="AR403" s="7"/>
      <c r="AS403" s="7"/>
      <c r="AT403" s="2"/>
      <c r="AU403" s="2"/>
    </row>
    <row r="404" spans="1:47" hidden="1" outlineLevel="1">
      <c r="A404" s="410"/>
      <c r="B404" s="8" t="s">
        <v>1246</v>
      </c>
      <c r="C404" s="14" t="s">
        <v>732</v>
      </c>
      <c r="D404" s="14"/>
      <c r="E404" s="14"/>
      <c r="F404" s="14"/>
      <c r="G404" s="14"/>
      <c r="H404" s="14"/>
      <c r="I404" s="14"/>
      <c r="J404" s="14"/>
      <c r="K404" s="11"/>
      <c r="L404" s="11"/>
      <c r="M404" s="11"/>
      <c r="N404" s="11"/>
      <c r="O404" s="11"/>
      <c r="P404" s="11"/>
      <c r="Q404" s="11"/>
      <c r="R404" s="11"/>
      <c r="S404" s="11"/>
      <c r="T404" s="11"/>
      <c r="U404" s="11"/>
      <c r="V404" s="11"/>
      <c r="W404" s="47"/>
      <c r="X404" s="47"/>
      <c r="Y404" s="47"/>
      <c r="Z404" s="47"/>
      <c r="AA404" s="47"/>
      <c r="AB404" s="47"/>
      <c r="AC404" s="538">
        <v>1190</v>
      </c>
      <c r="AD404" s="538">
        <v>1048</v>
      </c>
      <c r="AE404" s="538">
        <v>881</v>
      </c>
      <c r="AF404" s="538">
        <v>601</v>
      </c>
      <c r="AG404" s="538">
        <v>0</v>
      </c>
      <c r="AH404" s="538">
        <v>0</v>
      </c>
      <c r="AI404" s="538">
        <v>0</v>
      </c>
      <c r="AJ404" s="538">
        <v>0</v>
      </c>
      <c r="AK404" s="411">
        <f t="shared" ref="AK404:AP404" si="579">AJ404*(1+AK405)</f>
        <v>0</v>
      </c>
      <c r="AL404" s="411">
        <f t="shared" si="579"/>
        <v>0</v>
      </c>
      <c r="AM404" s="411">
        <f t="shared" si="579"/>
        <v>0</v>
      </c>
      <c r="AN404" s="411">
        <f t="shared" si="579"/>
        <v>0</v>
      </c>
      <c r="AO404" s="411">
        <f t="shared" si="579"/>
        <v>0</v>
      </c>
      <c r="AP404" s="411">
        <f t="shared" si="579"/>
        <v>0</v>
      </c>
      <c r="AQ404" s="411">
        <f t="shared" ref="AQ404" si="580">AP404*(1+AQ405)</f>
        <v>0</v>
      </c>
      <c r="AR404" s="411">
        <f t="shared" ref="AR404:AS404" si="581">AQ404*(1+AR405)</f>
        <v>0</v>
      </c>
      <c r="AS404" s="411">
        <f t="shared" si="581"/>
        <v>0</v>
      </c>
      <c r="AT404" s="8"/>
      <c r="AU404" s="8"/>
    </row>
    <row r="405" spans="1:47" hidden="1" outlineLevel="1">
      <c r="A405" s="298"/>
      <c r="B405" s="322" t="s">
        <v>1099</v>
      </c>
      <c r="C405" s="310" t="s">
        <v>733</v>
      </c>
      <c r="D405" s="310"/>
      <c r="E405" s="310"/>
      <c r="F405" s="310"/>
      <c r="G405" s="310"/>
      <c r="H405" s="310"/>
      <c r="I405" s="310"/>
      <c r="J405" s="310"/>
      <c r="K405" s="311"/>
      <c r="L405" s="311"/>
      <c r="M405" s="311"/>
      <c r="N405" s="311"/>
      <c r="O405" s="311"/>
      <c r="P405" s="311"/>
      <c r="Q405" s="311"/>
      <c r="R405" s="311"/>
      <c r="S405" s="311"/>
      <c r="T405" s="311"/>
      <c r="U405" s="311"/>
      <c r="V405" s="311"/>
      <c r="W405" s="311"/>
      <c r="X405" s="311"/>
      <c r="Y405" s="311"/>
      <c r="Z405" s="311"/>
      <c r="AA405" s="311"/>
      <c r="AB405" s="311"/>
      <c r="AC405" s="311"/>
      <c r="AD405" s="311">
        <f>AD404/AC404-1</f>
        <v>-0.11932773109243699</v>
      </c>
      <c r="AE405" s="311">
        <f>AE404/AD404-1</f>
        <v>-0.15935114503816794</v>
      </c>
      <c r="AF405" s="311">
        <f>AF404/AE404-1</f>
        <v>-0.31782065834279227</v>
      </c>
      <c r="AG405" s="311">
        <f>AG404/AF404-1</f>
        <v>-1</v>
      </c>
      <c r="AH405" s="311">
        <v>0</v>
      </c>
      <c r="AI405" s="311">
        <v>1</v>
      </c>
      <c r="AJ405" s="311">
        <v>2</v>
      </c>
      <c r="AK405" s="621">
        <v>0</v>
      </c>
      <c r="AL405" s="621">
        <f t="shared" ref="AL405:AP405" si="582">AK405</f>
        <v>0</v>
      </c>
      <c r="AM405" s="621">
        <f t="shared" si="582"/>
        <v>0</v>
      </c>
      <c r="AN405" s="621">
        <f t="shared" si="582"/>
        <v>0</v>
      </c>
      <c r="AO405" s="621">
        <f t="shared" si="582"/>
        <v>0</v>
      </c>
      <c r="AP405" s="621">
        <f t="shared" si="582"/>
        <v>0</v>
      </c>
      <c r="AQ405" s="621">
        <f t="shared" ref="AQ405" si="583">AP405</f>
        <v>0</v>
      </c>
      <c r="AR405" s="621">
        <f t="shared" ref="AR405:AS405" si="584">AQ405</f>
        <v>0</v>
      </c>
      <c r="AS405" s="621">
        <f t="shared" si="584"/>
        <v>0</v>
      </c>
      <c r="AT405" s="2"/>
      <c r="AU405" s="2"/>
    </row>
    <row r="406" spans="1:47">
      <c r="A406" s="298"/>
      <c r="B406" s="2"/>
      <c r="C406" s="18"/>
      <c r="D406" s="18"/>
      <c r="E406" s="18"/>
      <c r="F406" s="18"/>
      <c r="G406" s="18"/>
      <c r="H406" s="18"/>
      <c r="I406" s="18"/>
      <c r="J406" s="18"/>
      <c r="K406" s="2"/>
      <c r="L406" s="2"/>
      <c r="M406" s="2"/>
      <c r="N406" s="2"/>
      <c r="O406" s="2"/>
      <c r="P406" s="2"/>
      <c r="Q406" s="2"/>
      <c r="R406" s="2"/>
      <c r="S406" s="2"/>
      <c r="T406" s="2"/>
      <c r="U406" s="3"/>
      <c r="V406" s="3"/>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513"/>
    </row>
    <row r="408" spans="1:47" collapsed="1"/>
    <row r="409" spans="1:47" hidden="1" outlineLevel="1"/>
    <row r="410" spans="1:47" hidden="1" outlineLevel="1"/>
    <row r="411" spans="1:47" hidden="1" outlineLevel="1"/>
    <row r="412" spans="1:47" hidden="1" outlineLevel="1"/>
    <row r="413" spans="1:47" hidden="1" outlineLevel="1"/>
    <row r="414" spans="1:47" hidden="1" outlineLevel="1"/>
    <row r="415" spans="1:47" hidden="1" outlineLevel="1"/>
    <row r="416" spans="1:47" hidden="1" outlineLevel="1"/>
    <row r="417" hidden="1" outlineLevel="1"/>
    <row r="418" hidden="1" outlineLevel="1"/>
    <row r="419" hidden="1" outlineLevel="1"/>
    <row r="420" hidden="1" outlineLevel="1"/>
    <row r="421" hidden="1" outlineLevel="1"/>
    <row r="422" hidden="1" outlineLevel="1"/>
    <row r="423" hidden="1" outlineLevel="1"/>
    <row r="424" hidden="1" outlineLevel="1"/>
    <row r="425" hidden="1" outlineLevel="1"/>
    <row r="426" hidden="1" outlineLevel="1"/>
    <row r="427" hidden="1" outlineLevel="1"/>
    <row r="428" hidden="1" outlineLevel="1"/>
    <row r="429" hidden="1" outlineLevel="1"/>
    <row r="430" hidden="1" outlineLevel="1"/>
    <row r="431" hidden="1" outlineLevel="1"/>
    <row r="432" hidden="1" outlineLevel="1"/>
    <row r="433" hidden="1" outlineLevel="1"/>
    <row r="434" hidden="1" outlineLevel="1"/>
    <row r="435" hidden="1" outlineLevel="1"/>
    <row r="436" hidden="1" outlineLevel="1"/>
    <row r="437" hidden="1" outlineLevel="1"/>
    <row r="438" hidden="1" outlineLevel="1"/>
    <row r="439" hidden="1" outlineLevel="1"/>
    <row r="440" hidden="1" outlineLevel="1"/>
    <row r="441" hidden="1" outlineLevel="1"/>
    <row r="442" hidden="1" outlineLevel="1"/>
    <row r="443" hidden="1" outlineLevel="1"/>
    <row r="444" hidden="1" outlineLevel="1"/>
    <row r="445" hidden="1" outlineLevel="1"/>
    <row r="446" hidden="1" outlineLevel="1"/>
    <row r="447" hidden="1" outlineLevel="1"/>
    <row r="448" hidden="1" outlineLevel="1"/>
    <row r="449" spans="1:47" hidden="1" outlineLevel="1"/>
    <row r="451" spans="1:47">
      <c r="A451" s="298"/>
      <c r="B451" s="55"/>
      <c r="C451" s="18"/>
      <c r="D451" s="18"/>
      <c r="E451" s="18"/>
      <c r="F451" s="18"/>
      <c r="G451" s="18"/>
      <c r="H451" s="18"/>
      <c r="I451" s="18"/>
      <c r="J451" s="18"/>
      <c r="K451" s="7"/>
      <c r="L451" s="7"/>
      <c r="M451" s="7"/>
      <c r="N451" s="7"/>
      <c r="O451" s="7"/>
      <c r="P451" s="7"/>
      <c r="Q451" s="7"/>
      <c r="R451" s="7"/>
      <c r="S451" s="7"/>
      <c r="T451" s="7"/>
      <c r="U451" s="7"/>
      <c r="V451" s="7"/>
      <c r="W451" s="7"/>
      <c r="X451" s="7"/>
      <c r="Y451" s="7"/>
      <c r="Z451" s="7"/>
      <c r="AA451" s="7"/>
      <c r="AB451" s="7"/>
      <c r="AC451" s="7"/>
      <c r="AD451" s="7"/>
      <c r="AE451" s="7"/>
      <c r="AF451" s="7"/>
      <c r="AG451" s="7"/>
      <c r="AH451" s="7"/>
      <c r="AI451" s="7"/>
      <c r="AJ451" s="7"/>
      <c r="AK451" s="7"/>
      <c r="AL451" s="7"/>
      <c r="AM451" s="7"/>
      <c r="AN451" s="7"/>
      <c r="AO451" s="7"/>
      <c r="AP451" s="7"/>
      <c r="AQ451" s="7"/>
      <c r="AR451" s="7"/>
      <c r="AS451" s="7"/>
      <c r="AT451" s="2"/>
      <c r="AU451" s="2"/>
    </row>
    <row r="452" spans="1:47">
      <c r="A452" s="299" t="s">
        <v>1163</v>
      </c>
      <c r="B452" s="1073" t="s">
        <v>28</v>
      </c>
      <c r="C452" s="1074"/>
      <c r="D452" s="1073"/>
      <c r="E452" s="1073"/>
      <c r="F452" s="1073"/>
      <c r="G452" s="1073"/>
      <c r="H452" s="1073"/>
      <c r="I452" s="1073"/>
      <c r="J452" s="1073"/>
      <c r="K452" s="1073"/>
      <c r="L452" s="1073"/>
      <c r="M452" s="1073"/>
      <c r="N452" s="1073"/>
      <c r="O452" s="1073"/>
      <c r="P452" s="1073"/>
      <c r="Q452" s="1073"/>
      <c r="R452" s="1073"/>
      <c r="S452" s="1073"/>
      <c r="T452" s="1073"/>
      <c r="U452" s="1073"/>
      <c r="V452" s="1073"/>
      <c r="W452" s="1073"/>
      <c r="X452" s="1073"/>
      <c r="Y452" s="1073"/>
      <c r="Z452" s="1073"/>
      <c r="AA452" s="1073"/>
      <c r="AB452" s="1073"/>
      <c r="AC452" s="1073"/>
      <c r="AD452" s="1073"/>
      <c r="AE452" s="1073"/>
      <c r="AF452" s="1073"/>
      <c r="AG452" s="1073"/>
      <c r="AH452" s="1073"/>
      <c r="AI452" s="1073"/>
      <c r="AJ452" s="1073"/>
      <c r="AK452" s="1073"/>
      <c r="AL452" s="1073"/>
      <c r="AM452" s="1073"/>
      <c r="AN452" s="1073"/>
      <c r="AO452" s="1073"/>
      <c r="AP452" s="1073"/>
      <c r="AQ452" s="1073"/>
      <c r="AR452" s="1073"/>
      <c r="AS452" s="1073"/>
      <c r="AT452" s="2"/>
      <c r="AU452" s="2"/>
    </row>
    <row r="453" spans="1:47" outlineLevel="1">
      <c r="A453" s="298"/>
      <c r="B453" s="55"/>
      <c r="C453" s="18"/>
      <c r="D453" s="18"/>
      <c r="E453" s="18"/>
      <c r="F453" s="18"/>
      <c r="G453" s="18"/>
      <c r="H453" s="18"/>
      <c r="I453" s="18"/>
      <c r="J453" s="18"/>
      <c r="K453" s="7"/>
      <c r="L453" s="7"/>
      <c r="M453" s="7"/>
      <c r="N453" s="7"/>
      <c r="O453" s="7"/>
      <c r="P453" s="7"/>
      <c r="Q453" s="7"/>
      <c r="R453" s="7"/>
      <c r="S453" s="7"/>
      <c r="T453" s="7"/>
      <c r="U453" s="7"/>
      <c r="V453" s="7"/>
      <c r="W453" s="7"/>
      <c r="X453" s="7"/>
      <c r="Y453" s="7"/>
      <c r="Z453" s="7"/>
      <c r="AA453" s="7"/>
      <c r="AB453" s="7"/>
      <c r="AC453" s="7"/>
      <c r="AD453" s="7"/>
      <c r="AE453" s="7"/>
      <c r="AF453" s="7"/>
      <c r="AG453" s="7"/>
      <c r="AH453" s="7"/>
      <c r="AI453" s="7"/>
      <c r="AJ453" s="7"/>
      <c r="AK453" s="7"/>
      <c r="AL453" s="7"/>
      <c r="AM453" s="7"/>
      <c r="AN453" s="7"/>
      <c r="AO453" s="7"/>
      <c r="AP453" s="7"/>
      <c r="AQ453" s="7"/>
      <c r="AR453" s="7"/>
      <c r="AS453" s="7"/>
      <c r="AT453" s="2"/>
      <c r="AU453" s="2"/>
    </row>
    <row r="454" spans="1:47" outlineLevel="1">
      <c r="A454" s="298"/>
      <c r="B454" s="243" t="s">
        <v>1152</v>
      </c>
      <c r="C454" s="18" t="s">
        <v>732</v>
      </c>
      <c r="D454" s="18"/>
      <c r="E454" s="18"/>
      <c r="F454" s="18"/>
      <c r="G454" s="18"/>
      <c r="H454" s="18"/>
      <c r="I454" s="18"/>
      <c r="J454" s="18"/>
      <c r="K454" s="7"/>
      <c r="L454" s="7"/>
      <c r="M454" s="7"/>
      <c r="N454" s="7"/>
      <c r="O454" s="7"/>
      <c r="P454" s="7"/>
      <c r="Q454" s="7"/>
      <c r="R454" s="7"/>
      <c r="S454" s="7"/>
      <c r="T454" s="7"/>
      <c r="U454" s="7"/>
      <c r="V454" s="7"/>
      <c r="W454" s="7"/>
      <c r="X454" s="7"/>
      <c r="Y454" s="247"/>
      <c r="Z454" s="247"/>
      <c r="AA454" s="451">
        <v>387</v>
      </c>
      <c r="AB454" s="451">
        <v>466</v>
      </c>
      <c r="AC454" s="451">
        <v>642</v>
      </c>
      <c r="AD454" s="451">
        <v>784</v>
      </c>
      <c r="AE454" s="451">
        <v>874</v>
      </c>
      <c r="AF454" s="451">
        <v>908</v>
      </c>
      <c r="AG454" s="451">
        <v>930</v>
      </c>
      <c r="AH454" s="451">
        <v>963.2972000000002</v>
      </c>
      <c r="AI454" s="451">
        <v>992.19611600000007</v>
      </c>
      <c r="AJ454" s="451">
        <v>1102</v>
      </c>
      <c r="AK454" s="451">
        <v>1135.0600000000002</v>
      </c>
      <c r="AL454" s="451">
        <v>1169.1118000000001</v>
      </c>
      <c r="AM454" s="451">
        <v>1204.1851540000002</v>
      </c>
      <c r="AN454" s="451">
        <v>1240.3107086200002</v>
      </c>
      <c r="AO454" s="451">
        <v>1277.5200298786003</v>
      </c>
      <c r="AP454" s="451">
        <v>1315.8456307749584</v>
      </c>
      <c r="AQ454" s="451">
        <v>1355.3209996982071</v>
      </c>
      <c r="AR454" s="451">
        <v>1395.9806296891534</v>
      </c>
      <c r="AS454" s="451">
        <v>0</v>
      </c>
      <c r="AT454" s="2"/>
      <c r="AU454" s="2"/>
    </row>
    <row r="455" spans="1:47" outlineLevel="1">
      <c r="A455" s="298"/>
      <c r="B455" s="8" t="s">
        <v>1441</v>
      </c>
      <c r="C455" s="18" t="s">
        <v>732</v>
      </c>
      <c r="D455" s="18"/>
      <c r="E455" s="18"/>
      <c r="F455" s="18"/>
      <c r="G455" s="18"/>
      <c r="H455" s="18"/>
      <c r="I455" s="18"/>
      <c r="J455" s="18"/>
      <c r="K455" s="7"/>
      <c r="L455" s="7"/>
      <c r="M455" s="7"/>
      <c r="N455" s="7"/>
      <c r="O455" s="7"/>
      <c r="P455" s="7"/>
      <c r="Q455" s="7"/>
      <c r="R455" s="7"/>
      <c r="S455" s="7"/>
      <c r="T455" s="7"/>
      <c r="U455" s="7"/>
      <c r="V455" s="2"/>
      <c r="W455" s="7"/>
      <c r="X455" s="7"/>
      <c r="Y455" s="247"/>
      <c r="Z455" s="254"/>
      <c r="AA455" s="247"/>
      <c r="AB455" s="247"/>
      <c r="AC455" s="247"/>
      <c r="AD455" s="247"/>
      <c r="AE455" s="247"/>
      <c r="AF455" s="247"/>
      <c r="AG455" s="247"/>
      <c r="AH455" s="247"/>
      <c r="AI455" s="247"/>
      <c r="AJ455" s="247"/>
      <c r="AK455" s="1104">
        <v>300</v>
      </c>
      <c r="AL455" s="1104">
        <v>300</v>
      </c>
      <c r="AM455" s="1104">
        <v>300</v>
      </c>
      <c r="AN455" s="1104">
        <v>300</v>
      </c>
      <c r="AO455" s="1104">
        <v>300</v>
      </c>
      <c r="AP455" s="1104">
        <v>300</v>
      </c>
      <c r="AQ455" s="1104">
        <v>300</v>
      </c>
      <c r="AR455" s="1104">
        <v>300</v>
      </c>
      <c r="AS455" s="1104">
        <v>300</v>
      </c>
      <c r="AT455" s="2"/>
      <c r="AU455" s="2"/>
    </row>
    <row r="456" spans="1:47" outlineLevel="1">
      <c r="A456" s="298"/>
      <c r="B456" s="2"/>
      <c r="C456" s="18"/>
      <c r="D456" s="18"/>
      <c r="E456" s="18"/>
      <c r="F456" s="18"/>
      <c r="G456" s="18"/>
      <c r="H456" s="18"/>
      <c r="I456" s="18"/>
      <c r="J456" s="18"/>
      <c r="K456" s="7"/>
      <c r="L456" s="7"/>
      <c r="M456" s="7"/>
      <c r="N456" s="7"/>
      <c r="O456" s="7"/>
      <c r="P456" s="7"/>
      <c r="Q456" s="7"/>
      <c r="R456" s="7"/>
      <c r="S456" s="7"/>
      <c r="T456" s="7"/>
      <c r="U456" s="7"/>
      <c r="V456" s="2"/>
      <c r="W456" s="7"/>
      <c r="X456" s="7"/>
      <c r="Y456" s="247"/>
      <c r="Z456" s="254"/>
      <c r="AA456" s="247"/>
      <c r="AB456" s="247"/>
      <c r="AC456" s="247"/>
      <c r="AD456" s="247"/>
      <c r="AE456" s="247"/>
      <c r="AF456" s="247"/>
      <c r="AG456" s="247"/>
      <c r="AH456" s="247"/>
      <c r="AI456" s="247"/>
      <c r="AJ456" s="247"/>
      <c r="AK456" s="247"/>
      <c r="AL456" s="247"/>
      <c r="AM456" s="247"/>
      <c r="AN456" s="247"/>
      <c r="AO456" s="247"/>
      <c r="AP456" s="247"/>
      <c r="AQ456" s="247"/>
      <c r="AR456" s="247"/>
      <c r="AS456" s="247"/>
      <c r="AT456" s="2"/>
      <c r="AU456" s="2"/>
    </row>
    <row r="457" spans="1:47" ht="15.6" outlineLevel="1">
      <c r="A457" s="298"/>
      <c r="B457" s="237" t="s">
        <v>1269</v>
      </c>
      <c r="C457" s="269"/>
      <c r="D457" s="270"/>
      <c r="E457" s="270"/>
      <c r="F457" s="270"/>
      <c r="G457" s="270"/>
      <c r="H457" s="270"/>
      <c r="I457" s="270"/>
      <c r="J457" s="270"/>
      <c r="K457" s="270"/>
      <c r="L457" s="270"/>
      <c r="M457" s="270"/>
      <c r="N457" s="270"/>
      <c r="O457" s="270"/>
      <c r="P457" s="270"/>
      <c r="Q457" s="270"/>
      <c r="R457" s="270"/>
      <c r="S457" s="270"/>
      <c r="T457" s="270"/>
      <c r="U457" s="270"/>
      <c r="V457" s="270"/>
      <c r="W457" s="270"/>
      <c r="X457" s="270"/>
      <c r="Y457" s="270"/>
      <c r="Z457" s="270"/>
      <c r="AA457" s="270"/>
      <c r="AB457" s="270"/>
      <c r="AC457" s="270"/>
      <c r="AD457" s="270"/>
      <c r="AE457" s="270"/>
      <c r="AF457" s="270"/>
      <c r="AG457" s="270"/>
      <c r="AH457" s="270"/>
      <c r="AI457" s="270"/>
      <c r="AJ457" s="270"/>
      <c r="AK457" s="270"/>
      <c r="AL457" s="270"/>
      <c r="AM457" s="270"/>
      <c r="AN457" s="270"/>
      <c r="AO457" s="270"/>
      <c r="AP457" s="271"/>
      <c r="AQ457" s="271"/>
      <c r="AR457" s="271"/>
      <c r="AS457" s="271"/>
      <c r="AT457" s="2"/>
      <c r="AU457" s="2"/>
    </row>
    <row r="458" spans="1:47" outlineLevel="1">
      <c r="A458" s="298"/>
      <c r="B458" s="2"/>
      <c r="C458" s="18"/>
      <c r="D458" s="18"/>
      <c r="E458" s="18"/>
      <c r="F458" s="18"/>
      <c r="G458" s="18"/>
      <c r="H458" s="18"/>
      <c r="I458" s="18"/>
      <c r="J458" s="18"/>
      <c r="K458" s="7"/>
      <c r="L458" s="7"/>
      <c r="M458" s="7"/>
      <c r="N458" s="7"/>
      <c r="O458" s="7"/>
      <c r="P458" s="7"/>
      <c r="Q458" s="7"/>
      <c r="R458" s="7"/>
      <c r="S458" s="7"/>
      <c r="T458" s="7"/>
      <c r="U458" s="7"/>
      <c r="V458" s="2"/>
      <c r="W458" s="7"/>
      <c r="X458" s="7"/>
      <c r="Y458" s="247"/>
      <c r="Z458" s="254"/>
      <c r="AA458" s="247"/>
      <c r="AB458" s="247"/>
      <c r="AC458" s="247"/>
      <c r="AD458" s="247"/>
      <c r="AE458" s="247"/>
      <c r="AF458" s="247"/>
      <c r="AG458" s="247"/>
      <c r="AH458" s="247"/>
      <c r="AI458" s="247"/>
      <c r="AJ458" s="247"/>
      <c r="AK458" s="247"/>
      <c r="AL458" s="247"/>
      <c r="AM458" s="247"/>
      <c r="AN458" s="247"/>
      <c r="AO458" s="247"/>
      <c r="AP458" s="247"/>
      <c r="AQ458" s="247"/>
      <c r="AR458" s="247"/>
      <c r="AS458" s="247"/>
      <c r="AT458" s="2"/>
      <c r="AU458" s="2"/>
    </row>
    <row r="459" spans="1:47" outlineLevel="1">
      <c r="A459" s="298"/>
      <c r="B459" s="8" t="s">
        <v>2</v>
      </c>
      <c r="C459" s="14" t="s">
        <v>732</v>
      </c>
      <c r="D459" s="18"/>
      <c r="E459" s="18"/>
      <c r="F459" s="18"/>
      <c r="G459" s="18"/>
      <c r="H459" s="18"/>
      <c r="I459" s="18"/>
      <c r="J459" s="18"/>
      <c r="K459" s="7"/>
      <c r="L459" s="7"/>
      <c r="M459" s="7"/>
      <c r="N459" s="7"/>
      <c r="O459" s="7"/>
      <c r="P459" s="7"/>
      <c r="Q459" s="7"/>
      <c r="R459" s="7"/>
      <c r="S459" s="7"/>
      <c r="T459" s="7"/>
      <c r="U459" s="7"/>
      <c r="V459" s="2"/>
      <c r="W459" s="7"/>
      <c r="X459" s="7"/>
      <c r="Y459" s="247"/>
      <c r="Z459" s="254"/>
      <c r="AA459" s="247"/>
      <c r="AB459" s="247"/>
      <c r="AC459" s="247"/>
      <c r="AD459" s="538">
        <v>341</v>
      </c>
      <c r="AE459" s="538">
        <v>334</v>
      </c>
      <c r="AF459" s="247"/>
      <c r="AG459" s="247"/>
      <c r="AH459" s="247"/>
      <c r="AI459" s="247"/>
      <c r="AJ459" s="247"/>
      <c r="AK459" s="247"/>
      <c r="AL459" s="247"/>
      <c r="AM459" s="247"/>
      <c r="AN459" s="247"/>
      <c r="AO459" s="247"/>
      <c r="AP459" s="247"/>
      <c r="AQ459" s="247"/>
      <c r="AR459" s="247"/>
      <c r="AS459" s="247"/>
      <c r="AT459" s="2"/>
      <c r="AU459" s="2"/>
    </row>
    <row r="460" spans="1:47" outlineLevel="1">
      <c r="A460" s="298"/>
      <c r="B460" s="8" t="s">
        <v>1325</v>
      </c>
      <c r="C460" s="14" t="s">
        <v>732</v>
      </c>
      <c r="D460" s="18"/>
      <c r="E460" s="18"/>
      <c r="F460" s="18"/>
      <c r="G460" s="18"/>
      <c r="H460" s="18"/>
      <c r="I460" s="18"/>
      <c r="J460" s="18"/>
      <c r="K460" s="7"/>
      <c r="L460" s="7"/>
      <c r="M460" s="7"/>
      <c r="N460" s="7"/>
      <c r="O460" s="7"/>
      <c r="P460" s="7"/>
      <c r="Q460" s="7"/>
      <c r="R460" s="7"/>
      <c r="S460" s="7"/>
      <c r="T460" s="7"/>
      <c r="U460" s="7"/>
      <c r="V460" s="2"/>
      <c r="W460" s="7"/>
      <c r="X460" s="7"/>
      <c r="Y460" s="247"/>
      <c r="Z460" s="254"/>
      <c r="AA460" s="247"/>
      <c r="AB460" s="247"/>
      <c r="AC460" s="247"/>
      <c r="AD460" s="538">
        <v>3</v>
      </c>
      <c r="AE460" s="538">
        <v>33</v>
      </c>
      <c r="AF460" s="247"/>
      <c r="AG460" s="247"/>
      <c r="AH460" s="247"/>
      <c r="AI460" s="247"/>
      <c r="AJ460" s="247"/>
      <c r="AK460" s="247"/>
      <c r="AL460" s="247"/>
      <c r="AM460" s="247"/>
      <c r="AN460" s="247"/>
      <c r="AO460" s="247"/>
      <c r="AP460" s="247"/>
      <c r="AQ460" s="247"/>
      <c r="AR460" s="247"/>
      <c r="AS460" s="247"/>
      <c r="AT460" s="2"/>
      <c r="AU460" s="2"/>
    </row>
    <row r="461" spans="1:47" outlineLevel="1">
      <c r="A461" s="338"/>
      <c r="B461" s="9" t="s">
        <v>1269</v>
      </c>
      <c r="C461" s="48" t="s">
        <v>732</v>
      </c>
      <c r="D461" s="48"/>
      <c r="E461" s="48"/>
      <c r="F461" s="48"/>
      <c r="G461" s="48"/>
      <c r="H461" s="48"/>
      <c r="I461" s="48"/>
      <c r="J461" s="48"/>
      <c r="K461" s="49"/>
      <c r="L461" s="49"/>
      <c r="M461" s="49"/>
      <c r="N461" s="49"/>
      <c r="O461" s="49"/>
      <c r="P461" s="49"/>
      <c r="Q461" s="49"/>
      <c r="R461" s="49"/>
      <c r="S461" s="49"/>
      <c r="T461" s="49"/>
      <c r="U461" s="49"/>
      <c r="V461" s="9"/>
      <c r="W461" s="49"/>
      <c r="X461" s="49"/>
      <c r="Y461" s="424"/>
      <c r="Z461" s="404"/>
      <c r="AA461" s="424"/>
      <c r="AB461" s="424"/>
      <c r="AC461" s="540">
        <v>738</v>
      </c>
      <c r="AD461" s="415">
        <f>SUM(AD459:AD460)</f>
        <v>344</v>
      </c>
      <c r="AE461" s="415">
        <f>SUM(AE459:AE460)</f>
        <v>367</v>
      </c>
      <c r="AF461" s="540">
        <v>552</v>
      </c>
      <c r="AG461" s="540">
        <v>755</v>
      </c>
      <c r="AH461" s="540">
        <v>1076</v>
      </c>
      <c r="AI461" s="540">
        <v>1262</v>
      </c>
      <c r="AJ461" s="540">
        <v>1159</v>
      </c>
      <c r="AK461" s="1079">
        <f t="shared" ref="AK461:AP461" si="585">+AJ461*(1+AK462)</f>
        <v>1182.18</v>
      </c>
      <c r="AL461" s="1079">
        <f t="shared" si="585"/>
        <v>1205.8236000000002</v>
      </c>
      <c r="AM461" s="1079">
        <f t="shared" si="585"/>
        <v>1229.9400720000001</v>
      </c>
      <c r="AN461" s="1079">
        <f t="shared" si="585"/>
        <v>1254.5388734400001</v>
      </c>
      <c r="AO461" s="1079">
        <f t="shared" si="585"/>
        <v>1279.6296509088002</v>
      </c>
      <c r="AP461" s="1079">
        <f t="shared" si="585"/>
        <v>1305.2222439269763</v>
      </c>
      <c r="AQ461" s="1079">
        <f t="shared" ref="AQ461" si="586">+AP461*(1+AQ462)</f>
        <v>1331.3266888055159</v>
      </c>
      <c r="AR461" s="1079">
        <f t="shared" ref="AR461:AS461" si="587">+AQ461*(1+AR462)</f>
        <v>1357.9532225816263</v>
      </c>
      <c r="AS461" s="1079">
        <f t="shared" si="587"/>
        <v>1385.1122870332588</v>
      </c>
      <c r="AT461" s="9"/>
      <c r="AU461" s="9" t="s">
        <v>1271</v>
      </c>
    </row>
    <row r="462" spans="1:47" outlineLevel="1">
      <c r="A462" s="298"/>
      <c r="B462" s="322" t="s">
        <v>1099</v>
      </c>
      <c r="C462" s="310" t="s">
        <v>733</v>
      </c>
      <c r="D462" s="18"/>
      <c r="E462" s="18"/>
      <c r="F462" s="18"/>
      <c r="G462" s="18"/>
      <c r="H462" s="18"/>
      <c r="I462" s="18"/>
      <c r="J462" s="18"/>
      <c r="K462" s="254"/>
      <c r="L462" s="254"/>
      <c r="M462" s="254"/>
      <c r="N462" s="254"/>
      <c r="O462" s="254"/>
      <c r="P462" s="254"/>
      <c r="Q462" s="254"/>
      <c r="R462" s="254"/>
      <c r="S462" s="254"/>
      <c r="T462" s="254"/>
      <c r="U462" s="254"/>
      <c r="V462" s="254"/>
      <c r="W462" s="254"/>
      <c r="X462" s="254"/>
      <c r="Y462" s="254"/>
      <c r="Z462" s="254"/>
      <c r="AA462" s="254"/>
      <c r="AB462" s="254"/>
      <c r="AC462" s="313"/>
      <c r="AD462" s="313">
        <f t="shared" ref="AD462:AJ462" si="588">IFERROR(AD461/AC461-1, "")</f>
        <v>-0.53387533875338755</v>
      </c>
      <c r="AE462" s="313">
        <f t="shared" si="588"/>
        <v>6.6860465116278966E-2</v>
      </c>
      <c r="AF462" s="313">
        <f t="shared" si="588"/>
        <v>0.50408719346049047</v>
      </c>
      <c r="AG462" s="313">
        <f t="shared" si="588"/>
        <v>0.36775362318840576</v>
      </c>
      <c r="AH462" s="313">
        <f t="shared" si="588"/>
        <v>0.42516556291390728</v>
      </c>
      <c r="AI462" s="313">
        <f t="shared" si="588"/>
        <v>0.17286245353159857</v>
      </c>
      <c r="AJ462" s="313">
        <f t="shared" si="588"/>
        <v>-8.1616481774960392E-2</v>
      </c>
      <c r="AK462" s="621">
        <v>0.02</v>
      </c>
      <c r="AL462" s="621">
        <v>0.02</v>
      </c>
      <c r="AM462" s="621">
        <v>0.02</v>
      </c>
      <c r="AN462" s="621">
        <v>0.02</v>
      </c>
      <c r="AO462" s="621">
        <v>0.02</v>
      </c>
      <c r="AP462" s="621">
        <v>0.02</v>
      </c>
      <c r="AQ462" s="621">
        <v>0.02</v>
      </c>
      <c r="AR462" s="621">
        <v>0.02</v>
      </c>
      <c r="AS462" s="621">
        <v>0.02</v>
      </c>
      <c r="AT462" s="2"/>
      <c r="AU462" s="2"/>
    </row>
    <row r="463" spans="1:47" outlineLevel="1">
      <c r="A463" s="298"/>
      <c r="B463" s="2"/>
      <c r="C463" s="18"/>
      <c r="D463" s="18"/>
      <c r="E463" s="18"/>
      <c r="F463" s="18"/>
      <c r="G463" s="18"/>
      <c r="H463" s="18"/>
      <c r="I463" s="18"/>
      <c r="J463" s="18"/>
      <c r="K463" s="7"/>
      <c r="L463" s="7"/>
      <c r="M463" s="7"/>
      <c r="N463" s="7"/>
      <c r="O463" s="7"/>
      <c r="P463" s="7"/>
      <c r="Q463" s="7"/>
      <c r="R463" s="7"/>
      <c r="S463" s="7"/>
      <c r="T463" s="7"/>
      <c r="U463" s="7"/>
      <c r="V463" s="2"/>
      <c r="W463" s="7"/>
      <c r="X463" s="7"/>
      <c r="Y463" s="247"/>
      <c r="Z463" s="254"/>
      <c r="AA463" s="247"/>
      <c r="AB463" s="247"/>
      <c r="AC463" s="247"/>
      <c r="AD463" s="247"/>
      <c r="AE463" s="247"/>
      <c r="AF463" s="247"/>
      <c r="AG463" s="247"/>
      <c r="AH463" s="247"/>
      <c r="AI463" s="247"/>
      <c r="AJ463" s="247"/>
      <c r="AK463" s="247"/>
      <c r="AL463" s="247"/>
      <c r="AM463" s="247"/>
      <c r="AN463" s="247"/>
      <c r="AO463" s="247"/>
      <c r="AP463" s="247"/>
      <c r="AQ463" s="247"/>
      <c r="AR463" s="247"/>
      <c r="AS463" s="247"/>
      <c r="AT463" s="2"/>
      <c r="AU463" s="2"/>
    </row>
    <row r="464" spans="1:47" ht="15.6" outlineLevel="1">
      <c r="A464" s="298"/>
      <c r="B464" s="237" t="s">
        <v>1270</v>
      </c>
      <c r="C464" s="269"/>
      <c r="D464" s="270"/>
      <c r="E464" s="270"/>
      <c r="F464" s="270"/>
      <c r="G464" s="270"/>
      <c r="H464" s="270"/>
      <c r="I464" s="270"/>
      <c r="J464" s="270"/>
      <c r="K464" s="270"/>
      <c r="L464" s="270"/>
      <c r="M464" s="270"/>
      <c r="N464" s="270"/>
      <c r="O464" s="270"/>
      <c r="P464" s="270"/>
      <c r="Q464" s="270"/>
      <c r="R464" s="270"/>
      <c r="S464" s="270"/>
      <c r="T464" s="270"/>
      <c r="U464" s="270"/>
      <c r="V464" s="270"/>
      <c r="W464" s="270"/>
      <c r="X464" s="270"/>
      <c r="Y464" s="270"/>
      <c r="Z464" s="270"/>
      <c r="AA464" s="270"/>
      <c r="AB464" s="270"/>
      <c r="AC464" s="270"/>
      <c r="AD464" s="270"/>
      <c r="AE464" s="270"/>
      <c r="AF464" s="270"/>
      <c r="AG464" s="270"/>
      <c r="AH464" s="270"/>
      <c r="AI464" s="270"/>
      <c r="AJ464" s="270"/>
      <c r="AK464" s="270"/>
      <c r="AL464" s="270"/>
      <c r="AM464" s="270"/>
      <c r="AN464" s="270"/>
      <c r="AO464" s="270"/>
      <c r="AP464" s="271"/>
      <c r="AQ464" s="271"/>
      <c r="AR464" s="271"/>
      <c r="AS464" s="271"/>
      <c r="AT464" s="2"/>
      <c r="AU464" s="2"/>
    </row>
    <row r="465" spans="1:47" outlineLevel="1">
      <c r="A465" s="298"/>
      <c r="B465" s="2"/>
      <c r="C465" s="18"/>
      <c r="D465" s="18"/>
      <c r="E465" s="18"/>
      <c r="F465" s="18"/>
      <c r="G465" s="18"/>
      <c r="H465" s="18"/>
      <c r="I465" s="18"/>
      <c r="J465" s="18"/>
      <c r="K465" s="7"/>
      <c r="L465" s="7"/>
      <c r="M465" s="7"/>
      <c r="N465" s="7"/>
      <c r="O465" s="7"/>
      <c r="P465" s="7"/>
      <c r="Q465" s="7"/>
      <c r="R465" s="7"/>
      <c r="S465" s="7"/>
      <c r="T465" s="7"/>
      <c r="U465" s="7"/>
      <c r="V465" s="2"/>
      <c r="W465" s="7"/>
      <c r="X465" s="7"/>
      <c r="Y465" s="247"/>
      <c r="Z465" s="254"/>
      <c r="AA465" s="247"/>
      <c r="AB465" s="247"/>
      <c r="AC465" s="247"/>
      <c r="AD465" s="247"/>
      <c r="AE465" s="247"/>
      <c r="AF465" s="247"/>
      <c r="AG465" s="247"/>
      <c r="AH465" s="247"/>
      <c r="AI465" s="247"/>
      <c r="AJ465" s="247"/>
      <c r="AK465" s="247"/>
      <c r="AL465" s="247"/>
      <c r="AM465" s="247"/>
      <c r="AN465" s="247"/>
      <c r="AO465" s="247"/>
      <c r="AP465" s="247"/>
      <c r="AQ465" s="247"/>
      <c r="AR465" s="247"/>
      <c r="AS465" s="247"/>
      <c r="AT465" s="2"/>
      <c r="AU465" s="2"/>
    </row>
    <row r="466" spans="1:47" outlineLevel="1">
      <c r="A466" s="298"/>
      <c r="B466" s="9" t="s">
        <v>731</v>
      </c>
      <c r="C466" s="18"/>
      <c r="D466" s="18"/>
      <c r="E466" s="18"/>
      <c r="F466" s="18"/>
      <c r="G466" s="18"/>
      <c r="H466" s="18"/>
      <c r="I466" s="18"/>
      <c r="J466" s="18"/>
      <c r="K466" s="7"/>
      <c r="L466" s="7"/>
      <c r="M466" s="7"/>
      <c r="N466" s="7"/>
      <c r="O466" s="7"/>
      <c r="P466" s="7"/>
      <c r="Q466" s="7"/>
      <c r="R466" s="7"/>
      <c r="S466" s="7"/>
      <c r="T466" s="7"/>
      <c r="U466" s="7"/>
      <c r="V466" s="2"/>
      <c r="W466" s="7"/>
      <c r="X466" s="7"/>
      <c r="Y466" s="247"/>
      <c r="Z466" s="254"/>
      <c r="AA466" s="247"/>
      <c r="AB466" s="247"/>
      <c r="AC466" s="247"/>
      <c r="AD466" s="247"/>
      <c r="AE466" s="247"/>
      <c r="AF466" s="247"/>
      <c r="AG466" s="247"/>
      <c r="AH466" s="247"/>
      <c r="AI466" s="247"/>
      <c r="AJ466" s="247"/>
      <c r="AK466" s="247"/>
      <c r="AL466" s="247"/>
      <c r="AM466" s="247"/>
      <c r="AN466" s="247"/>
      <c r="AO466" s="247"/>
      <c r="AP466" s="247"/>
      <c r="AQ466" s="247"/>
      <c r="AR466" s="247"/>
      <c r="AS466" s="247"/>
      <c r="AT466" s="2"/>
      <c r="AU466" s="2"/>
    </row>
    <row r="467" spans="1:47" outlineLevel="1">
      <c r="A467" s="410"/>
      <c r="B467" s="438" t="s">
        <v>1267</v>
      </c>
      <c r="C467" s="14" t="s">
        <v>732</v>
      </c>
      <c r="D467" s="14"/>
      <c r="E467" s="14"/>
      <c r="F467" s="14"/>
      <c r="G467" s="14"/>
      <c r="H467" s="14"/>
      <c r="I467" s="14"/>
      <c r="J467" s="14"/>
      <c r="K467" s="8"/>
      <c r="L467" s="8"/>
      <c r="M467" s="8"/>
      <c r="N467" s="8"/>
      <c r="O467" s="8"/>
      <c r="P467" s="8"/>
      <c r="Q467" s="8"/>
      <c r="R467" s="8"/>
      <c r="S467" s="8"/>
      <c r="T467" s="8"/>
      <c r="U467" s="8"/>
      <c r="V467" s="8"/>
      <c r="W467" s="8"/>
      <c r="X467" s="8"/>
      <c r="Y467" s="465">
        <v>66</v>
      </c>
      <c r="Z467" s="465">
        <v>163</v>
      </c>
      <c r="AA467" s="465">
        <v>503</v>
      </c>
      <c r="AB467" s="465">
        <v>1248</v>
      </c>
      <c r="AC467" s="465">
        <v>1779</v>
      </c>
      <c r="AD467" s="465">
        <v>1611</v>
      </c>
      <c r="AE467" s="465">
        <v>1721</v>
      </c>
      <c r="AF467" s="465">
        <v>1022</v>
      </c>
      <c r="AG467" s="465">
        <v>340.66666666666771</v>
      </c>
      <c r="AH467" s="465">
        <v>141.94444444444454</v>
      </c>
      <c r="AI467" s="465">
        <v>141.94444444444454</v>
      </c>
      <c r="AJ467" s="465">
        <v>0</v>
      </c>
      <c r="AK467" s="465">
        <v>0</v>
      </c>
      <c r="AL467" s="465">
        <v>0</v>
      </c>
      <c r="AM467" s="465">
        <v>0</v>
      </c>
      <c r="AN467" s="465">
        <v>0</v>
      </c>
      <c r="AO467" s="465">
        <v>0</v>
      </c>
      <c r="AP467" s="465">
        <v>0</v>
      </c>
      <c r="AQ467" s="465">
        <v>0</v>
      </c>
      <c r="AR467" s="465">
        <v>0</v>
      </c>
      <c r="AS467" s="465">
        <v>0</v>
      </c>
      <c r="AT467" s="8"/>
      <c r="AU467" s="8" t="s">
        <v>1273</v>
      </c>
    </row>
    <row r="468" spans="1:47" outlineLevel="1">
      <c r="A468" s="298"/>
      <c r="B468" s="36" t="s">
        <v>1037</v>
      </c>
      <c r="C468" s="18" t="s">
        <v>732</v>
      </c>
      <c r="D468" s="18"/>
      <c r="E468" s="18"/>
      <c r="F468" s="18"/>
      <c r="G468" s="18"/>
      <c r="H468" s="18"/>
      <c r="I468" s="18"/>
      <c r="J468" s="18"/>
      <c r="K468" s="6"/>
      <c r="L468" s="6"/>
      <c r="M468" s="6"/>
      <c r="N468" s="6"/>
      <c r="O468" s="6"/>
      <c r="P468" s="6"/>
      <c r="Q468" s="6"/>
      <c r="R468" s="6"/>
      <c r="S468" s="6"/>
      <c r="T468" s="2"/>
      <c r="U468" s="2"/>
      <c r="V468" s="2"/>
      <c r="W468" s="2"/>
      <c r="X468" s="2"/>
      <c r="Y468" s="465">
        <v>0</v>
      </c>
      <c r="Z468" s="465">
        <v>142</v>
      </c>
      <c r="AA468" s="465">
        <v>214</v>
      </c>
      <c r="AB468" s="465">
        <v>442</v>
      </c>
      <c r="AC468" s="465">
        <v>371</v>
      </c>
      <c r="AD468" s="465">
        <v>387</v>
      </c>
      <c r="AE468" s="465">
        <v>210</v>
      </c>
      <c r="AF468" s="465">
        <v>27.999999999999901</v>
      </c>
      <c r="AG468" s="465">
        <v>0</v>
      </c>
      <c r="AH468" s="465">
        <v>0</v>
      </c>
      <c r="AI468" s="465">
        <v>0</v>
      </c>
      <c r="AJ468" s="465">
        <v>0</v>
      </c>
      <c r="AK468" s="465">
        <v>0</v>
      </c>
      <c r="AL468" s="465">
        <v>0</v>
      </c>
      <c r="AM468" s="465">
        <v>0</v>
      </c>
      <c r="AN468" s="465">
        <v>0</v>
      </c>
      <c r="AO468" s="465">
        <v>0</v>
      </c>
      <c r="AP468" s="465">
        <v>0</v>
      </c>
      <c r="AQ468" s="465">
        <v>0</v>
      </c>
      <c r="AR468" s="465">
        <v>0</v>
      </c>
      <c r="AS468" s="465">
        <v>0</v>
      </c>
      <c r="AT468" s="2"/>
      <c r="AU468" s="8" t="s">
        <v>1274</v>
      </c>
    </row>
    <row r="469" spans="1:47" outlineLevel="1">
      <c r="A469" s="298"/>
      <c r="B469" s="8" t="s">
        <v>28</v>
      </c>
      <c r="C469" s="18" t="s">
        <v>732</v>
      </c>
      <c r="D469" s="18"/>
      <c r="E469" s="18"/>
      <c r="F469" s="18"/>
      <c r="G469" s="18"/>
      <c r="H469" s="18"/>
      <c r="I469" s="18"/>
      <c r="J469" s="18"/>
      <c r="K469" s="7"/>
      <c r="L469" s="7"/>
      <c r="M469" s="7"/>
      <c r="N469" s="7"/>
      <c r="O469" s="7"/>
      <c r="P469" s="7"/>
      <c r="Q469" s="7"/>
      <c r="R469" s="7"/>
      <c r="S469" s="7"/>
      <c r="T469" s="7"/>
      <c r="U469" s="7"/>
      <c r="V469" s="2"/>
      <c r="W469" s="7"/>
      <c r="X469" s="7"/>
      <c r="Y469" s="247"/>
      <c r="Z469" s="254"/>
      <c r="AA469" s="247"/>
      <c r="AB469" s="247"/>
      <c r="AC469" s="247">
        <v>132</v>
      </c>
      <c r="AD469" s="247">
        <f>+AD470-AD467-AD468</f>
        <v>118</v>
      </c>
      <c r="AE469" s="247">
        <f>+AE470-AE467-AE468</f>
        <v>73</v>
      </c>
      <c r="AF469" s="247">
        <f>+AF470-AF467-AF468</f>
        <v>9.9475983006414026E-14</v>
      </c>
      <c r="AG469">
        <f t="shared" ref="AG469:AP469" si="589">AF469</f>
        <v>9.9475983006414026E-14</v>
      </c>
      <c r="AH469">
        <f t="shared" si="589"/>
        <v>9.9475983006414026E-14</v>
      </c>
      <c r="AI469">
        <f t="shared" si="589"/>
        <v>9.9475983006414026E-14</v>
      </c>
      <c r="AJ469">
        <f t="shared" si="589"/>
        <v>9.9475983006414026E-14</v>
      </c>
      <c r="AK469" s="8">
        <f t="shared" si="589"/>
        <v>9.9475983006414026E-14</v>
      </c>
      <c r="AL469">
        <f t="shared" si="589"/>
        <v>9.9475983006414026E-14</v>
      </c>
      <c r="AM469">
        <f t="shared" si="589"/>
        <v>9.9475983006414026E-14</v>
      </c>
      <c r="AN469">
        <f t="shared" si="589"/>
        <v>9.9475983006414026E-14</v>
      </c>
      <c r="AO469">
        <f t="shared" si="589"/>
        <v>9.9475983006414026E-14</v>
      </c>
      <c r="AP469">
        <f t="shared" si="589"/>
        <v>9.9475983006414026E-14</v>
      </c>
      <c r="AQ469">
        <f t="shared" ref="AQ469" si="590">AP469</f>
        <v>9.9475983006414026E-14</v>
      </c>
      <c r="AR469">
        <f t="shared" ref="AR469:AS469" si="591">AQ469</f>
        <v>9.9475983006414026E-14</v>
      </c>
      <c r="AS469">
        <f t="shared" si="591"/>
        <v>9.9475983006414026E-14</v>
      </c>
      <c r="AT469" s="2"/>
      <c r="AU469" s="2"/>
    </row>
    <row r="470" spans="1:47" outlineLevel="1">
      <c r="A470" s="338"/>
      <c r="B470" s="9" t="s">
        <v>1270</v>
      </c>
      <c r="C470" s="48" t="s">
        <v>732</v>
      </c>
      <c r="D470" s="48"/>
      <c r="E470" s="48"/>
      <c r="F470" s="48"/>
      <c r="G470" s="48"/>
      <c r="H470" s="48"/>
      <c r="I470" s="48"/>
      <c r="J470" s="48"/>
      <c r="K470" s="49"/>
      <c r="L470" s="49"/>
      <c r="M470" s="49"/>
      <c r="N470" s="49"/>
      <c r="O470" s="49"/>
      <c r="P470" s="49"/>
      <c r="Q470" s="49"/>
      <c r="R470" s="49"/>
      <c r="S470" s="49"/>
      <c r="T470" s="49"/>
      <c r="U470" s="49"/>
      <c r="V470" s="9"/>
      <c r="W470" s="49"/>
      <c r="X470" s="49"/>
      <c r="Y470" s="424"/>
      <c r="Z470" s="404"/>
      <c r="AA470" s="424"/>
      <c r="AB470" s="424"/>
      <c r="AC470" s="529">
        <v>2282</v>
      </c>
      <c r="AD470" s="529">
        <v>2116</v>
      </c>
      <c r="AE470" s="529">
        <v>2004</v>
      </c>
      <c r="AF470" s="529">
        <v>1050</v>
      </c>
      <c r="AG470" s="529">
        <v>378</v>
      </c>
      <c r="AH470" s="529">
        <v>72</v>
      </c>
      <c r="AI470" s="529">
        <v>0</v>
      </c>
      <c r="AJ470" s="529">
        <v>0</v>
      </c>
      <c r="AK470" s="424">
        <f t="shared" ref="AK470:AO470" si="592">SUM(AK467:AK469)</f>
        <v>9.9475983006414026E-14</v>
      </c>
      <c r="AL470" s="424">
        <f t="shared" si="592"/>
        <v>9.9475983006414026E-14</v>
      </c>
      <c r="AM470" s="424">
        <f t="shared" si="592"/>
        <v>9.9475983006414026E-14</v>
      </c>
      <c r="AN470" s="424">
        <f t="shared" si="592"/>
        <v>9.9475983006414026E-14</v>
      </c>
      <c r="AO470" s="424">
        <f t="shared" si="592"/>
        <v>9.9475983006414026E-14</v>
      </c>
      <c r="AP470" s="424">
        <f>SUM(AP467:AP469)</f>
        <v>9.9475983006414026E-14</v>
      </c>
      <c r="AQ470" s="424">
        <f t="shared" ref="AQ470:AR470" si="593">SUM(AQ467:AQ469)</f>
        <v>9.9475983006414026E-14</v>
      </c>
      <c r="AR470" s="424">
        <f t="shared" si="593"/>
        <v>9.9475983006414026E-14</v>
      </c>
      <c r="AS470" s="424">
        <f t="shared" ref="AS470" si="594">SUM(AS467:AS469)</f>
        <v>9.9475983006414026E-14</v>
      </c>
      <c r="AT470" s="9"/>
      <c r="AU470" s="2"/>
    </row>
    <row r="471" spans="1:47" outlineLevel="1">
      <c r="A471" s="338"/>
      <c r="B471" s="9"/>
      <c r="C471" s="48"/>
      <c r="D471" s="48"/>
      <c r="E471" s="48"/>
      <c r="F471" s="48"/>
      <c r="G471" s="48"/>
      <c r="H471" s="48"/>
      <c r="I471" s="48"/>
      <c r="J471" s="48"/>
      <c r="K471" s="49"/>
      <c r="L471" s="49"/>
      <c r="M471" s="49"/>
      <c r="N471" s="49"/>
      <c r="O471" s="49"/>
      <c r="P471" s="49"/>
      <c r="Q471" s="49"/>
      <c r="R471" s="49"/>
      <c r="S471" s="49"/>
      <c r="T471" s="49"/>
      <c r="U471" s="49"/>
      <c r="V471" s="9"/>
      <c r="W471" s="49"/>
      <c r="X471" s="49"/>
      <c r="Y471" s="424"/>
      <c r="Z471" s="404"/>
      <c r="AA471" s="424"/>
      <c r="AB471" s="424"/>
      <c r="AC471" s="529"/>
      <c r="AD471" s="529"/>
      <c r="AE471" s="529"/>
      <c r="AF471" s="424"/>
      <c r="AG471" s="424"/>
      <c r="AH471" s="424"/>
      <c r="AI471" s="424"/>
      <c r="AJ471" s="424"/>
      <c r="AK471" s="424"/>
      <c r="AL471" s="424"/>
      <c r="AM471" s="424"/>
      <c r="AN471" s="424"/>
      <c r="AO471" s="424"/>
      <c r="AP471" s="424"/>
      <c r="AQ471" s="424"/>
      <c r="AR471" s="424"/>
      <c r="AS471" s="424"/>
      <c r="AT471" s="9"/>
      <c r="AU471" s="2"/>
    </row>
    <row r="472" spans="1:47" outlineLevel="1">
      <c r="A472" s="338"/>
      <c r="B472" s="9" t="s">
        <v>329</v>
      </c>
      <c r="C472" s="48"/>
      <c r="D472" s="48"/>
      <c r="E472" s="48"/>
      <c r="F472" s="48"/>
      <c r="G472" s="48"/>
      <c r="H472" s="48"/>
      <c r="I472" s="48"/>
      <c r="J472" s="48"/>
      <c r="K472" s="49"/>
      <c r="L472" s="49"/>
      <c r="M472" s="49"/>
      <c r="N472" s="49"/>
      <c r="O472" s="49"/>
      <c r="P472" s="49"/>
      <c r="Q472" s="49"/>
      <c r="R472" s="49"/>
      <c r="S472" s="49"/>
      <c r="T472" s="49"/>
      <c r="U472" s="49"/>
      <c r="V472" s="9"/>
      <c r="W472" s="49"/>
      <c r="X472" s="49"/>
      <c r="Y472" s="424"/>
      <c r="Z472" s="404"/>
      <c r="AA472" s="424"/>
      <c r="AB472" s="424"/>
      <c r="AC472" s="529"/>
      <c r="AD472" s="529"/>
      <c r="AE472" s="529"/>
      <c r="AF472" s="424"/>
      <c r="AG472" s="424"/>
      <c r="AH472" s="424"/>
      <c r="AI472" s="424"/>
      <c r="AJ472" s="424"/>
      <c r="AK472" s="424"/>
      <c r="AL472" s="424"/>
      <c r="AM472" s="424"/>
      <c r="AN472" s="424"/>
      <c r="AO472" s="424"/>
      <c r="AP472" s="424"/>
      <c r="AQ472" s="424"/>
      <c r="AR472" s="424"/>
      <c r="AS472" s="424"/>
      <c r="AT472" s="9"/>
      <c r="AU472" s="2"/>
    </row>
    <row r="473" spans="1:47" outlineLevel="1">
      <c r="A473" s="410"/>
      <c r="B473" s="8" t="s">
        <v>1356</v>
      </c>
      <c r="C473" s="14"/>
      <c r="D473" s="14"/>
      <c r="E473" s="14"/>
      <c r="F473" s="14"/>
      <c r="G473" s="14"/>
      <c r="H473" s="14"/>
      <c r="I473" s="14"/>
      <c r="J473" s="14"/>
      <c r="Z473" s="425"/>
      <c r="AA473" s="425"/>
      <c r="AB473" s="425"/>
      <c r="AC473" s="739">
        <v>445</v>
      </c>
      <c r="AD473" s="739">
        <v>503</v>
      </c>
      <c r="AE473" s="739">
        <v>468</v>
      </c>
      <c r="AF473" s="739">
        <v>248</v>
      </c>
      <c r="AG473" s="739">
        <v>145</v>
      </c>
      <c r="AH473" s="739">
        <v>35</v>
      </c>
      <c r="AI473" s="739">
        <v>0</v>
      </c>
      <c r="AJ473" s="739">
        <v>0</v>
      </c>
      <c r="AK473">
        <v>0</v>
      </c>
      <c r="AL473">
        <v>0</v>
      </c>
      <c r="AM473">
        <v>0</v>
      </c>
      <c r="AN473">
        <v>0</v>
      </c>
      <c r="AO473">
        <v>0</v>
      </c>
      <c r="AP473">
        <v>0</v>
      </c>
      <c r="AQ473">
        <v>0</v>
      </c>
      <c r="AR473">
        <v>0</v>
      </c>
      <c r="AS473">
        <v>0</v>
      </c>
      <c r="AT473" s="8"/>
      <c r="AU473" s="8"/>
    </row>
    <row r="474" spans="1:47" outlineLevel="1">
      <c r="A474" s="410"/>
      <c r="B474" s="510" t="s">
        <v>1326</v>
      </c>
      <c r="C474" s="18" t="s">
        <v>732</v>
      </c>
      <c r="D474" s="14"/>
      <c r="E474" s="14"/>
      <c r="F474" s="14"/>
      <c r="G474" s="14"/>
      <c r="H474" s="14"/>
      <c r="I474" s="14"/>
      <c r="J474" s="14"/>
      <c r="Z474" s="425"/>
      <c r="AA474" s="425"/>
      <c r="AB474" s="425"/>
      <c r="AC474" s="425">
        <v>1837</v>
      </c>
      <c r="AD474" s="425">
        <f>+AD470-AD473</f>
        <v>1613</v>
      </c>
      <c r="AE474" s="425">
        <f>+AE470-AE473</f>
        <v>1536</v>
      </c>
      <c r="AF474" s="425">
        <f t="shared" ref="AF474:AO474" si="595">+AF470-AF473</f>
        <v>802</v>
      </c>
      <c r="AG474" s="425">
        <f>+AG470-AG473</f>
        <v>233</v>
      </c>
      <c r="AH474" s="425">
        <f>+AH470-AH473</f>
        <v>37</v>
      </c>
      <c r="AI474" s="425">
        <f>+AI470-AI473</f>
        <v>0</v>
      </c>
      <c r="AJ474" s="425">
        <f>+AJ470-AJ473</f>
        <v>0</v>
      </c>
      <c r="AK474" s="425">
        <f t="shared" si="595"/>
        <v>9.9475983006414026E-14</v>
      </c>
      <c r="AL474" s="425">
        <f t="shared" si="595"/>
        <v>9.9475983006414026E-14</v>
      </c>
      <c r="AM474" s="425">
        <f t="shared" si="595"/>
        <v>9.9475983006414026E-14</v>
      </c>
      <c r="AN474" s="425">
        <f t="shared" si="595"/>
        <v>9.9475983006414026E-14</v>
      </c>
      <c r="AO474" s="425">
        <f t="shared" si="595"/>
        <v>9.9475983006414026E-14</v>
      </c>
      <c r="AP474" s="425">
        <f>+AP470-AP473</f>
        <v>9.9475983006414026E-14</v>
      </c>
      <c r="AQ474" s="425">
        <f t="shared" ref="AQ474:AR474" si="596">+AQ470-AQ473</f>
        <v>9.9475983006414026E-14</v>
      </c>
      <c r="AR474" s="425">
        <f t="shared" si="596"/>
        <v>9.9475983006414026E-14</v>
      </c>
      <c r="AS474" s="425">
        <f t="shared" ref="AS474" si="597">+AS470-AS473</f>
        <v>9.9475983006414026E-14</v>
      </c>
      <c r="AT474" s="8"/>
      <c r="AU474" s="8"/>
    </row>
    <row r="475" spans="1:47">
      <c r="A475" s="298"/>
      <c r="B475" s="6"/>
      <c r="C475" s="21"/>
      <c r="D475" s="21"/>
      <c r="E475" s="21"/>
      <c r="F475" s="21"/>
      <c r="G475" s="21"/>
      <c r="H475" s="21"/>
      <c r="I475" s="21"/>
      <c r="J475" s="21"/>
      <c r="K475" s="70"/>
      <c r="L475" s="70"/>
      <c r="M475" s="70"/>
      <c r="N475" s="70"/>
      <c r="O475" s="70"/>
      <c r="P475" s="70"/>
      <c r="Q475" s="70"/>
      <c r="R475" s="70"/>
      <c r="S475" s="70"/>
      <c r="T475" s="70"/>
      <c r="U475" s="70"/>
      <c r="V475" s="70"/>
      <c r="W475" s="70"/>
      <c r="X475" s="70"/>
      <c r="Y475" s="70"/>
      <c r="Z475" s="70"/>
      <c r="AA475" s="70"/>
      <c r="AB475" s="70"/>
      <c r="AC475" s="70"/>
      <c r="AD475" s="70"/>
      <c r="AE475" s="70"/>
      <c r="AF475" s="70"/>
      <c r="AG475" s="70"/>
      <c r="AH475" s="70"/>
      <c r="AI475" s="70"/>
      <c r="AJ475" s="70"/>
      <c r="AK475" s="70"/>
      <c r="AL475" s="70"/>
      <c r="AM475" s="70"/>
      <c r="AN475" s="70"/>
      <c r="AO475" s="70"/>
      <c r="AP475" s="70"/>
      <c r="AQ475" s="70"/>
      <c r="AR475" s="70"/>
      <c r="AS475" s="70"/>
      <c r="AT475" s="2"/>
      <c r="AU475" s="2"/>
    </row>
    <row r="476" spans="1:47" collapsed="1">
      <c r="A476" s="299" t="s">
        <v>1163</v>
      </c>
      <c r="B476" s="1073" t="s">
        <v>1100</v>
      </c>
      <c r="C476" s="1074"/>
      <c r="D476" s="1073"/>
      <c r="E476" s="1073"/>
      <c r="F476" s="1073"/>
      <c r="G476" s="1073"/>
      <c r="H476" s="1073"/>
      <c r="I476" s="1073"/>
      <c r="J476" s="1073"/>
      <c r="K476" s="1073"/>
      <c r="L476" s="1073"/>
      <c r="M476" s="1073"/>
      <c r="N476" s="1073"/>
      <c r="O476" s="1073"/>
      <c r="P476" s="1073"/>
      <c r="Q476" s="1073"/>
      <c r="R476" s="1073"/>
      <c r="S476" s="1073"/>
      <c r="T476" s="1073"/>
      <c r="U476" s="1073"/>
      <c r="V476" s="1073"/>
      <c r="W476" s="1073"/>
      <c r="X476" s="1073"/>
      <c r="Y476" s="1073"/>
      <c r="Z476" s="1073"/>
      <c r="AA476" s="1073"/>
      <c r="AB476" s="1073"/>
      <c r="AC476" s="1073"/>
      <c r="AD476" s="1073"/>
      <c r="AE476" s="1073"/>
      <c r="AF476" s="1073"/>
      <c r="AG476" s="1073"/>
      <c r="AH476" s="1073"/>
      <c r="AI476" s="1073"/>
      <c r="AJ476" s="1073"/>
      <c r="AK476" s="1073"/>
      <c r="AL476" s="1073"/>
      <c r="AM476" s="1073"/>
      <c r="AN476" s="1073"/>
      <c r="AO476" s="1073"/>
      <c r="AP476" s="1073"/>
      <c r="AQ476" s="1073"/>
      <c r="AR476" s="1073"/>
      <c r="AS476" s="1073"/>
      <c r="AT476" s="2"/>
      <c r="AU476" s="2"/>
    </row>
    <row r="477" spans="1:47" hidden="1" outlineLevel="1">
      <c r="A477" s="298"/>
      <c r="B477" s="6"/>
      <c r="C477" s="21"/>
      <c r="D477" s="21"/>
      <c r="E477" s="21"/>
      <c r="F477" s="21"/>
      <c r="G477" s="21"/>
      <c r="H477" s="21"/>
      <c r="I477" s="21"/>
      <c r="J477" s="21"/>
      <c r="K477" s="70"/>
      <c r="L477" s="70"/>
      <c r="M477" s="70"/>
      <c r="N477" s="70"/>
      <c r="O477" s="70"/>
      <c r="P477" s="70"/>
      <c r="Q477" s="70"/>
      <c r="R477" s="70"/>
      <c r="S477" s="70"/>
      <c r="T477" s="70"/>
      <c r="U477" s="70"/>
      <c r="V477" s="70"/>
      <c r="W477" s="70"/>
      <c r="X477" s="70"/>
      <c r="Y477" s="70"/>
      <c r="Z477" s="70"/>
      <c r="AA477" s="70"/>
      <c r="AB477" s="70"/>
      <c r="AC477" s="70"/>
      <c r="AD477" s="70"/>
      <c r="AE477" s="70"/>
      <c r="AF477" s="70"/>
      <c r="AG477" s="70"/>
      <c r="AH477" s="70"/>
      <c r="AI477" s="70"/>
      <c r="AJ477" s="70"/>
      <c r="AK477" s="70"/>
      <c r="AL477" s="70"/>
      <c r="AM477" s="70"/>
      <c r="AN477" s="70"/>
      <c r="AO477" s="70"/>
      <c r="AP477" s="70"/>
      <c r="AQ477" s="70"/>
      <c r="AR477" s="70"/>
      <c r="AS477" s="70"/>
      <c r="AT477" s="2"/>
      <c r="AU477" s="2"/>
    </row>
    <row r="478" spans="1:47" ht="18" hidden="1" outlineLevel="1">
      <c r="A478" s="299" t="s">
        <v>1163</v>
      </c>
      <c r="B478" s="740" t="s">
        <v>1305</v>
      </c>
      <c r="C478" s="741"/>
      <c r="D478" s="742"/>
      <c r="E478" s="742"/>
      <c r="F478" s="742"/>
      <c r="G478" s="742"/>
      <c r="H478" s="742"/>
      <c r="I478" s="742"/>
      <c r="J478" s="742"/>
      <c r="K478" s="742"/>
      <c r="L478" s="742"/>
      <c r="M478" s="742"/>
      <c r="N478" s="742"/>
      <c r="O478" s="742"/>
      <c r="P478" s="742"/>
      <c r="Q478" s="742"/>
      <c r="R478" s="742"/>
      <c r="S478" s="742"/>
      <c r="T478" s="742"/>
      <c r="U478" s="742"/>
      <c r="V478" s="742"/>
      <c r="W478" s="742"/>
      <c r="X478" s="742"/>
      <c r="Y478" s="742"/>
      <c r="Z478" s="742"/>
      <c r="AA478" s="742"/>
      <c r="AB478" s="742"/>
      <c r="AC478" s="742"/>
      <c r="AD478" s="742"/>
      <c r="AE478" s="742"/>
      <c r="AF478" s="742"/>
      <c r="AG478" s="742"/>
      <c r="AH478" s="742"/>
      <c r="AI478" s="742"/>
      <c r="AJ478" s="742"/>
      <c r="AK478" s="742"/>
      <c r="AL478" s="742"/>
      <c r="AM478" s="742"/>
      <c r="AN478" s="742"/>
      <c r="AO478" s="742"/>
      <c r="AP478" s="742"/>
      <c r="AQ478" s="742"/>
      <c r="AR478" s="742"/>
      <c r="AS478" s="742"/>
      <c r="AT478" s="2"/>
      <c r="AU478" s="2"/>
    </row>
    <row r="479" spans="1:47" hidden="1" outlineLevel="1">
      <c r="A479" s="298"/>
      <c r="B479" s="167"/>
      <c r="C479" s="21"/>
      <c r="D479" s="21"/>
      <c r="E479" s="21"/>
      <c r="F479" s="21"/>
      <c r="G479" s="21"/>
      <c r="H479" s="21"/>
      <c r="I479" s="21"/>
      <c r="J479" s="21"/>
      <c r="K479" s="34"/>
      <c r="L479" s="34"/>
      <c r="M479" s="34"/>
      <c r="N479" s="34"/>
      <c r="O479" s="34"/>
      <c r="P479" s="34"/>
      <c r="Q479" s="34"/>
      <c r="R479" s="34"/>
      <c r="S479" s="34"/>
      <c r="T479" s="34"/>
      <c r="U479" s="34"/>
      <c r="V479" s="52"/>
      <c r="W479" s="34"/>
      <c r="X479" s="34"/>
      <c r="Y479" s="34"/>
      <c r="Z479" s="34"/>
      <c r="AA479" s="34"/>
      <c r="AB479" s="34"/>
      <c r="AC479" s="34"/>
      <c r="AD479" s="34"/>
      <c r="AE479" s="34"/>
      <c r="AF479" s="34"/>
      <c r="AG479" s="34"/>
      <c r="AH479" s="34"/>
      <c r="AI479" s="34"/>
      <c r="AJ479" s="34"/>
      <c r="AK479" s="34"/>
      <c r="AL479" s="34"/>
      <c r="AM479" s="34"/>
      <c r="AN479" s="34"/>
      <c r="AO479" s="34"/>
      <c r="AP479" s="34"/>
      <c r="AQ479" s="34"/>
      <c r="AR479" s="34"/>
      <c r="AS479" s="34"/>
      <c r="AT479" s="2"/>
      <c r="AU479" s="2"/>
    </row>
    <row r="480" spans="1:47" hidden="1" outlineLevel="1">
      <c r="A480" s="298"/>
      <c r="B480" s="8" t="s">
        <v>258</v>
      </c>
      <c r="C480" s="18" t="s">
        <v>180</v>
      </c>
      <c r="D480" s="18"/>
      <c r="E480" s="18"/>
      <c r="F480" s="18"/>
      <c r="G480" s="18"/>
      <c r="H480" s="7"/>
      <c r="I480" s="7"/>
      <c r="J480" s="7"/>
      <c r="K480" s="7">
        <v>0.74299999999999999</v>
      </c>
      <c r="L480" s="7">
        <v>1.212</v>
      </c>
      <c r="M480" s="7">
        <v>1.88</v>
      </c>
      <c r="N480" s="7">
        <v>2.2879999999999998</v>
      </c>
      <c r="O480" s="7">
        <v>3.1019999999999999</v>
      </c>
      <c r="P480" s="7">
        <v>3.57</v>
      </c>
      <c r="Q480" s="7">
        <v>3.597</v>
      </c>
      <c r="R480" s="7">
        <v>3.6970000000000001</v>
      </c>
      <c r="S480" s="532">
        <v>3.2480000000000002</v>
      </c>
      <c r="T480" s="532">
        <v>3.6219999999999999</v>
      </c>
      <c r="U480" s="532">
        <v>3.2069999999999999</v>
      </c>
      <c r="V480" s="532">
        <v>3.1920000000000002</v>
      </c>
      <c r="W480" s="532">
        <v>3.2669999999999999</v>
      </c>
      <c r="X480" s="42">
        <v>3.4860000000000002</v>
      </c>
      <c r="Y480" s="42">
        <v>3.8450000000000002</v>
      </c>
      <c r="Z480" s="42">
        <v>3.9529999999999967</v>
      </c>
      <c r="AA480" s="42">
        <v>3.9429999999999996</v>
      </c>
      <c r="AB480" s="42">
        <v>3.6939999999999973</v>
      </c>
      <c r="AC480" s="42">
        <v>3.3860000000000015</v>
      </c>
      <c r="AD480" s="42">
        <v>3.3350000000000013</v>
      </c>
      <c r="AE480" s="42">
        <v>3.3189999999999991</v>
      </c>
      <c r="AF480" s="42">
        <v>3.1588749999999988</v>
      </c>
      <c r="AG480" s="42">
        <v>3.3126328124999995</v>
      </c>
      <c r="AH480" s="42">
        <v>3.2795064843749997</v>
      </c>
      <c r="AI480" s="42">
        <v>3.2795064843749997</v>
      </c>
      <c r="AJ480" s="42">
        <v>3.2795064843749997</v>
      </c>
      <c r="AK480" s="42">
        <v>3.2795064843749997</v>
      </c>
      <c r="AL480" s="42">
        <v>3.2795064843749997</v>
      </c>
      <c r="AM480" s="42">
        <v>3.2795064843749997</v>
      </c>
      <c r="AN480" s="42">
        <v>3.2795064843749997</v>
      </c>
      <c r="AO480" s="42">
        <v>3.2795064843749997</v>
      </c>
      <c r="AP480" s="42">
        <v>3.2795064843749997</v>
      </c>
      <c r="AQ480" s="42">
        <v>3.2795064843749997</v>
      </c>
      <c r="AR480" s="42">
        <v>3.2795064843749997</v>
      </c>
      <c r="AS480" s="42">
        <v>3.2795064843749997</v>
      </c>
      <c r="AT480" s="2"/>
      <c r="AU480" s="2"/>
    </row>
    <row r="481" spans="1:47" hidden="1" outlineLevel="1">
      <c r="A481" s="298"/>
      <c r="B481" s="407" t="s">
        <v>1099</v>
      </c>
      <c r="C481" s="18" t="s">
        <v>733</v>
      </c>
      <c r="D481" s="18"/>
      <c r="E481" s="18"/>
      <c r="F481" s="18"/>
      <c r="G481" s="18"/>
      <c r="H481" s="18"/>
      <c r="I481" s="18"/>
      <c r="J481" s="18"/>
      <c r="K481" s="7"/>
      <c r="L481" s="7"/>
      <c r="M481" s="7"/>
      <c r="N481" s="7"/>
      <c r="O481" s="7"/>
      <c r="P481" s="7"/>
      <c r="Q481" s="7"/>
      <c r="R481" s="7"/>
      <c r="S481" s="7"/>
      <c r="T481" s="7">
        <v>0.11514778325123132</v>
      </c>
      <c r="U481" s="7">
        <v>-0.11457758144671448</v>
      </c>
      <c r="V481" s="7">
        <v>-4.6772684752103277E-3</v>
      </c>
      <c r="W481" s="7">
        <v>2.3496240601503571E-2</v>
      </c>
      <c r="X481" s="29">
        <v>6.7033976124885264E-2</v>
      </c>
      <c r="Y481" s="29">
        <v>0.10298336201950664</v>
      </c>
      <c r="Z481" s="29">
        <v>2.8088426527957511E-2</v>
      </c>
      <c r="AA481" s="29">
        <v>-2.529724260054933E-3</v>
      </c>
      <c r="AB481" s="29">
        <v>-6.3149885873700851E-2</v>
      </c>
      <c r="AC481" s="29">
        <v>-8.3378451543041687E-2</v>
      </c>
      <c r="AD481" s="29">
        <v>-1.5062020082693528E-2</v>
      </c>
      <c r="AE481" s="29">
        <v>-4.7976011994009804E-3</v>
      </c>
      <c r="AF481" s="29">
        <v>-4.8244953299186544E-2</v>
      </c>
      <c r="AG481" s="29">
        <v>4.8674864469154588E-2</v>
      </c>
      <c r="AH481" s="29">
        <v>-0.01</v>
      </c>
      <c r="AI481" s="29">
        <v>0</v>
      </c>
      <c r="AJ481" s="29">
        <v>0</v>
      </c>
      <c r="AK481" s="29">
        <v>0</v>
      </c>
      <c r="AL481" s="29">
        <v>0</v>
      </c>
      <c r="AM481" s="29">
        <v>0</v>
      </c>
      <c r="AN481" s="29">
        <v>0</v>
      </c>
      <c r="AO481" s="29">
        <v>0</v>
      </c>
      <c r="AP481" s="29">
        <v>0</v>
      </c>
      <c r="AQ481" s="29">
        <v>0</v>
      </c>
      <c r="AR481" s="29">
        <v>0</v>
      </c>
      <c r="AS481" s="29">
        <v>0</v>
      </c>
      <c r="AT481" s="2"/>
      <c r="AU481" s="2"/>
    </row>
    <row r="482" spans="1:47" hidden="1" outlineLevel="1">
      <c r="A482" s="298"/>
      <c r="B482" s="8" t="s">
        <v>152</v>
      </c>
      <c r="C482" s="18" t="s">
        <v>733</v>
      </c>
      <c r="D482" s="18"/>
      <c r="E482" s="18"/>
      <c r="F482" s="18"/>
      <c r="G482" s="18"/>
      <c r="H482" s="18"/>
      <c r="I482" s="18"/>
      <c r="J482" s="18"/>
      <c r="K482" s="7"/>
      <c r="L482" s="7"/>
      <c r="M482" s="7"/>
      <c r="N482" s="7"/>
      <c r="O482" s="7"/>
      <c r="P482" s="7"/>
      <c r="Q482" s="7"/>
      <c r="R482" s="7"/>
      <c r="S482" s="7"/>
      <c r="T482" s="7"/>
      <c r="U482" s="7">
        <v>0.96601184908013715</v>
      </c>
      <c r="V482" s="7">
        <v>1</v>
      </c>
      <c r="W482" s="7">
        <v>1</v>
      </c>
      <c r="X482" s="7">
        <v>1</v>
      </c>
      <c r="Y482" s="7">
        <v>1</v>
      </c>
      <c r="Z482" s="7">
        <v>1.0000000000000002</v>
      </c>
      <c r="AA482" s="7">
        <v>1.0000000000000002</v>
      </c>
      <c r="AB482" s="7">
        <v>1.0000000000000002</v>
      </c>
      <c r="AC482" s="7">
        <v>1.0000000000000002</v>
      </c>
      <c r="AD482" s="7">
        <v>1.0000000000000002</v>
      </c>
      <c r="AE482" s="7">
        <v>1.0000000000000002</v>
      </c>
      <c r="AF482" s="7">
        <v>1.0000000000000002</v>
      </c>
      <c r="AG482" s="7">
        <v>1</v>
      </c>
      <c r="AH482" s="7">
        <v>1</v>
      </c>
      <c r="AI482" s="7">
        <v>1</v>
      </c>
      <c r="AJ482" s="7">
        <v>1</v>
      </c>
      <c r="AK482" s="7">
        <v>1</v>
      </c>
      <c r="AL482" s="7">
        <v>1</v>
      </c>
      <c r="AM482" s="7">
        <v>1</v>
      </c>
      <c r="AN482" s="7">
        <v>1</v>
      </c>
      <c r="AO482" s="7">
        <v>1</v>
      </c>
      <c r="AP482" s="7">
        <v>1</v>
      </c>
      <c r="AQ482" s="7">
        <v>1</v>
      </c>
      <c r="AR482" s="7">
        <v>1</v>
      </c>
      <c r="AS482" s="7">
        <v>1</v>
      </c>
      <c r="AT482" s="2"/>
      <c r="AU482" s="2"/>
    </row>
    <row r="483" spans="1:47" hidden="1" outlineLevel="1">
      <c r="A483" s="298"/>
      <c r="B483" s="8"/>
      <c r="C483" s="18"/>
      <c r="D483" s="18"/>
      <c r="E483" s="18"/>
      <c r="F483" s="18"/>
      <c r="G483" s="18"/>
      <c r="H483" s="18"/>
      <c r="I483" s="18"/>
      <c r="J483" s="18"/>
      <c r="K483" s="7"/>
      <c r="L483" s="7"/>
      <c r="M483" s="7"/>
      <c r="N483" s="7"/>
      <c r="O483" s="7"/>
      <c r="P483" s="7"/>
      <c r="Q483" s="7"/>
      <c r="R483" s="7"/>
      <c r="S483" s="7"/>
      <c r="T483" s="7"/>
      <c r="U483" s="7"/>
      <c r="V483" s="7"/>
      <c r="W483" s="7"/>
      <c r="X483" s="7"/>
      <c r="Y483" s="7"/>
      <c r="Z483" s="7"/>
      <c r="AA483" s="7"/>
      <c r="AB483" s="7"/>
      <c r="AC483" s="7"/>
      <c r="AD483" s="7"/>
      <c r="AE483" s="7"/>
      <c r="AF483" s="7"/>
      <c r="AG483" s="7"/>
      <c r="AH483" s="7"/>
      <c r="AI483" s="7"/>
      <c r="AJ483" s="7"/>
      <c r="AK483" s="7"/>
      <c r="AL483" s="7"/>
      <c r="AM483" s="7"/>
      <c r="AN483" s="7"/>
      <c r="AO483" s="7"/>
      <c r="AP483" s="7"/>
      <c r="AQ483" s="7"/>
      <c r="AR483" s="7"/>
      <c r="AS483" s="7"/>
      <c r="AT483" s="2"/>
      <c r="AU483" s="2"/>
    </row>
    <row r="484" spans="1:47" hidden="1" outlineLevel="1">
      <c r="A484" s="298"/>
      <c r="B484" s="55" t="s">
        <v>151</v>
      </c>
      <c r="C484" s="18" t="s">
        <v>772</v>
      </c>
      <c r="D484" s="18"/>
      <c r="E484" s="18"/>
      <c r="F484" s="18"/>
      <c r="G484" s="18"/>
      <c r="H484" s="18"/>
      <c r="I484" s="18"/>
      <c r="J484" s="18"/>
      <c r="K484" s="532">
        <v>19.7</v>
      </c>
      <c r="L484" s="532">
        <v>11.03</v>
      </c>
      <c r="M484" s="532">
        <v>10.050000000000001</v>
      </c>
      <c r="N484" s="532">
        <v>13.84</v>
      </c>
      <c r="O484" s="532">
        <v>13.84</v>
      </c>
      <c r="P484" s="532">
        <v>12.24</v>
      </c>
      <c r="Q484" s="532">
        <v>10.85</v>
      </c>
      <c r="R484" s="532">
        <v>11.74</v>
      </c>
      <c r="S484" s="532">
        <v>12.73</v>
      </c>
      <c r="T484" s="532">
        <v>15.14</v>
      </c>
      <c r="U484" s="532">
        <v>15.36</v>
      </c>
      <c r="V484" s="532">
        <v>16.89</v>
      </c>
      <c r="W484" s="532">
        <v>16.87</v>
      </c>
      <c r="X484" s="28">
        <v>17.936606475952921</v>
      </c>
      <c r="Y484" s="28">
        <v>19.97690822184039</v>
      </c>
      <c r="Z484" s="28">
        <v>21.237616408347478</v>
      </c>
      <c r="AA484" s="28">
        <v>20.235506823801167</v>
      </c>
      <c r="AB484" s="28">
        <v>22.099847333058641</v>
      </c>
      <c r="AC484" s="28">
        <v>22.544202158814073</v>
      </c>
      <c r="AD484" s="28">
        <v>20.550540746585042</v>
      </c>
      <c r="AE484" s="28">
        <v>19.355273664457876</v>
      </c>
      <c r="AF484" s="28">
        <v>20.807436455811924</v>
      </c>
      <c r="AG484" s="28">
        <v>23.788612402169505</v>
      </c>
      <c r="AH484" s="28">
        <v>24.026498526191201</v>
      </c>
      <c r="AI484" s="28">
        <v>24.627160989345978</v>
      </c>
      <c r="AJ484" s="28">
        <v>25.242840014079626</v>
      </c>
      <c r="AK484" s="28">
        <v>25.873911014431613</v>
      </c>
      <c r="AL484" s="28">
        <v>26.520758789792399</v>
      </c>
      <c r="AM484" s="28">
        <v>27.183777759537207</v>
      </c>
      <c r="AN484" s="28">
        <v>27.863372203525635</v>
      </c>
      <c r="AO484" s="28">
        <v>28.559956508613773</v>
      </c>
      <c r="AP484" s="28">
        <v>29.273955421329116</v>
      </c>
      <c r="AQ484" s="28">
        <v>29.273955421329116</v>
      </c>
      <c r="AR484" s="28">
        <v>29.273955421329116</v>
      </c>
      <c r="AS484" s="28">
        <v>29.273955421329116</v>
      </c>
      <c r="AT484" s="2"/>
      <c r="AU484" s="2"/>
    </row>
    <row r="485" spans="1:47" hidden="1" outlineLevel="1">
      <c r="A485" s="298"/>
      <c r="B485" s="241" t="s">
        <v>1099</v>
      </c>
      <c r="C485" s="18" t="s">
        <v>733</v>
      </c>
      <c r="D485" s="18"/>
      <c r="E485" s="18"/>
      <c r="F485" s="18"/>
      <c r="G485" s="18"/>
      <c r="H485" s="18"/>
      <c r="I485" s="18"/>
      <c r="J485" s="18"/>
      <c r="K485" s="7"/>
      <c r="L485" s="7">
        <v>-0.44010152284263959</v>
      </c>
      <c r="M485" s="7">
        <v>-8.8848594741613662E-2</v>
      </c>
      <c r="N485" s="7">
        <v>0.37711442786069638</v>
      </c>
      <c r="O485" s="7">
        <v>0</v>
      </c>
      <c r="P485" s="7">
        <v>-0.11560693641618491</v>
      </c>
      <c r="Q485" s="7">
        <v>-0.11356209150326801</v>
      </c>
      <c r="R485" s="7">
        <v>8.202764976958532E-2</v>
      </c>
      <c r="S485" s="7">
        <v>8.4327086882453273E-2</v>
      </c>
      <c r="T485" s="7">
        <v>0.18931657501963861</v>
      </c>
      <c r="U485" s="7">
        <v>1.4531043593130732E-2</v>
      </c>
      <c r="V485" s="7">
        <v>9.9609375E-2</v>
      </c>
      <c r="W485" s="7">
        <v>-1.184132622853773E-3</v>
      </c>
      <c r="X485" s="7">
        <v>6.3225043032182571E-2</v>
      </c>
      <c r="Y485" s="7">
        <v>0.11375071135238657</v>
      </c>
      <c r="Z485" s="7">
        <v>6.3108273437867624E-2</v>
      </c>
      <c r="AA485" s="7">
        <v>-4.7185595844570938E-2</v>
      </c>
      <c r="AB485" s="7">
        <v>9.2132138102151373E-2</v>
      </c>
      <c r="AC485" s="7">
        <v>2.0106692098760925E-2</v>
      </c>
      <c r="AD485" s="7">
        <v>-8.843344280647214E-2</v>
      </c>
      <c r="AE485" s="7">
        <v>-5.816231781277037E-2</v>
      </c>
      <c r="AF485" s="7">
        <v>7.5026724836273262E-2</v>
      </c>
      <c r="AG485" s="7">
        <v>0.14327454286301</v>
      </c>
      <c r="AH485" s="7">
        <v>0.01</v>
      </c>
      <c r="AI485" s="7">
        <v>2.5000000000000001E-2</v>
      </c>
      <c r="AJ485" s="7">
        <v>2.5000000000000001E-2</v>
      </c>
      <c r="AK485" s="7">
        <v>2.5000000000000001E-2</v>
      </c>
      <c r="AL485" s="7">
        <v>2.5000000000000001E-2</v>
      </c>
      <c r="AM485" s="7">
        <v>2.5000000000000001E-2</v>
      </c>
      <c r="AN485" s="7">
        <v>2.5000000000000001E-2</v>
      </c>
      <c r="AO485" s="7">
        <v>2.5000000000000001E-2</v>
      </c>
      <c r="AP485" s="7">
        <v>2.5000000000000001E-2</v>
      </c>
      <c r="AQ485" s="7">
        <v>2.5000000000000001E-2</v>
      </c>
      <c r="AR485" s="7">
        <v>2.5000000000000001E-2</v>
      </c>
      <c r="AS485" s="7">
        <v>2.5000000000000001E-2</v>
      </c>
      <c r="AT485" s="2"/>
      <c r="AU485" s="2"/>
    </row>
    <row r="486" spans="1:47" hidden="1" outlineLevel="1">
      <c r="A486" s="298"/>
      <c r="B486" s="241"/>
      <c r="C486" s="18"/>
      <c r="D486" s="18"/>
      <c r="E486" s="18"/>
      <c r="F486" s="18"/>
      <c r="G486" s="18"/>
      <c r="H486" s="18"/>
      <c r="I486" s="18"/>
      <c r="J486" s="18"/>
      <c r="K486" s="7"/>
      <c r="L486" s="7"/>
      <c r="M486" s="7"/>
      <c r="N486" s="7"/>
      <c r="O486" s="7"/>
      <c r="P486" s="7"/>
      <c r="Q486" s="7"/>
      <c r="R486" s="7"/>
      <c r="S486" s="7"/>
      <c r="T486" s="7"/>
      <c r="U486" s="7"/>
      <c r="V486" s="7"/>
      <c r="W486" s="7"/>
      <c r="X486" s="7"/>
      <c r="Y486" s="7"/>
      <c r="Z486" s="7"/>
      <c r="AA486" s="7"/>
      <c r="AB486" s="7"/>
      <c r="AC486" s="7"/>
      <c r="AD486" s="7"/>
      <c r="AE486" s="7"/>
      <c r="AF486" s="7"/>
      <c r="AG486" s="7"/>
      <c r="AH486" s="7"/>
      <c r="AI486" s="7"/>
      <c r="AJ486" s="7"/>
      <c r="AK486" s="7"/>
      <c r="AL486" s="7"/>
      <c r="AM486" s="7"/>
      <c r="AN486" s="7"/>
      <c r="AO486" s="7"/>
      <c r="AP486" s="7"/>
      <c r="AQ486" s="7"/>
      <c r="AR486" s="7"/>
      <c r="AS486" s="7"/>
      <c r="AT486" s="2"/>
      <c r="AU486" s="2"/>
    </row>
    <row r="487" spans="1:47" hidden="1" outlineLevel="1">
      <c r="A487" s="298"/>
      <c r="B487" s="55" t="s">
        <v>153</v>
      </c>
      <c r="C487" s="18" t="s">
        <v>732</v>
      </c>
      <c r="D487" s="18"/>
      <c r="E487" s="18"/>
      <c r="F487" s="18"/>
      <c r="G487" s="18"/>
      <c r="H487" s="18"/>
      <c r="I487" s="18"/>
      <c r="J487" s="18"/>
      <c r="K487" s="7"/>
      <c r="L487" s="7"/>
      <c r="M487" s="7"/>
      <c r="N487" s="7"/>
      <c r="O487" s="7"/>
      <c r="P487" s="7"/>
      <c r="Q487" s="7"/>
      <c r="R487" s="7"/>
      <c r="S487" s="7"/>
      <c r="T487" s="7"/>
      <c r="U487" s="7"/>
      <c r="V487" s="31"/>
      <c r="W487" s="31">
        <v>653.77998000000002</v>
      </c>
      <c r="X487" s="31">
        <v>726.75542119266049</v>
      </c>
      <c r="Y487" s="31">
        <v>878.70428504587142</v>
      </c>
      <c r="Z487" s="31">
        <v>993.66559651376144</v>
      </c>
      <c r="AA487" s="31">
        <v>958.67737128440365</v>
      </c>
      <c r="AB487" s="31">
        <v>1012.6592044954126</v>
      </c>
      <c r="AC487" s="31">
        <v>957.67770770642164</v>
      </c>
      <c r="AD487" s="31">
        <v>828.72110614678877</v>
      </c>
      <c r="AE487" s="31">
        <v>772.73994577981625</v>
      </c>
      <c r="AF487" s="31">
        <v>808.72783458715571</v>
      </c>
      <c r="AG487" s="31">
        <v>923.68914605504585</v>
      </c>
      <c r="AH487" s="31">
        <v>950.31615060488559</v>
      </c>
      <c r="AI487" s="31">
        <v>969.17920987568596</v>
      </c>
      <c r="AJ487" s="31">
        <v>993.40869012257804</v>
      </c>
      <c r="AK487" s="31">
        <v>1018.2439073756424</v>
      </c>
      <c r="AL487" s="31">
        <v>1043.7000050600332</v>
      </c>
      <c r="AM487" s="31">
        <v>1069.7925051865341</v>
      </c>
      <c r="AN487" s="31">
        <v>1096.5373178161974</v>
      </c>
      <c r="AO487" s="31">
        <v>1123.9507507616022</v>
      </c>
      <c r="AP487" s="31">
        <v>1152.0495195306421</v>
      </c>
      <c r="AQ487" s="31">
        <v>1152.0495195306421</v>
      </c>
      <c r="AR487" s="31">
        <v>1152.0495195306421</v>
      </c>
      <c r="AS487" s="31">
        <v>1152.0495195306421</v>
      </c>
      <c r="AT487" s="2"/>
      <c r="AU487" s="2"/>
    </row>
    <row r="488" spans="1:47" hidden="1" outlineLevel="1">
      <c r="A488" s="298"/>
      <c r="B488" s="241" t="s">
        <v>1099</v>
      </c>
      <c r="C488" s="18" t="s">
        <v>733</v>
      </c>
      <c r="D488" s="18"/>
      <c r="E488" s="18"/>
      <c r="F488" s="18"/>
      <c r="G488" s="18"/>
      <c r="H488" s="18"/>
      <c r="I488" s="18"/>
      <c r="J488" s="18"/>
      <c r="K488" s="7"/>
      <c r="L488" s="7"/>
      <c r="M488" s="7"/>
      <c r="N488" s="7"/>
      <c r="O488" s="7"/>
      <c r="P488" s="7"/>
      <c r="Q488" s="7"/>
      <c r="R488" s="7"/>
      <c r="S488" s="7"/>
      <c r="T488" s="7"/>
      <c r="U488" s="7"/>
      <c r="V488" s="7"/>
      <c r="W488" s="7"/>
      <c r="X488" s="7">
        <v>0.1116207951070336</v>
      </c>
      <c r="Y488" s="7">
        <v>0.20907840440165049</v>
      </c>
      <c r="Z488" s="7">
        <v>0.13083048919226403</v>
      </c>
      <c r="AA488" s="7">
        <v>-3.5211267605633756E-2</v>
      </c>
      <c r="AB488" s="7">
        <v>5.6308654848800543E-2</v>
      </c>
      <c r="AC488" s="7">
        <v>-5.4294175715696058E-2</v>
      </c>
      <c r="AD488" s="7">
        <v>-0.13465553235908134</v>
      </c>
      <c r="AE488" s="7">
        <v>-6.7551266586248548E-2</v>
      </c>
      <c r="AF488" s="7">
        <v>4.6571798188874469E-2</v>
      </c>
      <c r="AG488" s="7">
        <v>0.14215080346106346</v>
      </c>
      <c r="AH488" s="7">
        <v>2.8826802462235346E-2</v>
      </c>
      <c r="AI488" s="7">
        <v>1.9849246231155693E-2</v>
      </c>
      <c r="AJ488" s="7">
        <v>2.4999999999999911E-2</v>
      </c>
      <c r="AK488" s="7">
        <v>2.4999999999999911E-2</v>
      </c>
      <c r="AL488" s="7">
        <v>2.4999999999999689E-2</v>
      </c>
      <c r="AM488" s="7">
        <v>2.5000000000000133E-2</v>
      </c>
      <c r="AN488" s="7">
        <v>2.4999999999999911E-2</v>
      </c>
      <c r="AO488" s="7">
        <v>2.4999999999999911E-2</v>
      </c>
      <c r="AP488" s="7">
        <v>2.4999999999999911E-2</v>
      </c>
      <c r="AQ488" s="7">
        <v>2.4999999999999911E-2</v>
      </c>
      <c r="AR488" s="7">
        <v>2.4999999999999911E-2</v>
      </c>
      <c r="AS488" s="7">
        <v>2.4999999999999911E-2</v>
      </c>
      <c r="AT488" s="2"/>
      <c r="AU488" s="2"/>
    </row>
    <row r="489" spans="1:47" hidden="1" outlineLevel="1">
      <c r="A489" s="298"/>
      <c r="B489" s="8"/>
      <c r="C489" s="18"/>
      <c r="D489" s="18"/>
      <c r="E489" s="18"/>
      <c r="F489" s="18"/>
      <c r="G489" s="18"/>
      <c r="H489" s="18"/>
      <c r="I489" s="18"/>
      <c r="J489" s="18"/>
      <c r="K489" s="7"/>
      <c r="L489" s="7"/>
      <c r="M489" s="7"/>
      <c r="N489" s="7"/>
      <c r="O489" s="7"/>
      <c r="P489" s="7"/>
      <c r="Q489" s="7"/>
      <c r="R489" s="7"/>
      <c r="S489" s="7"/>
      <c r="T489" s="7"/>
      <c r="U489" s="7"/>
      <c r="V489" s="7"/>
      <c r="W489" s="7"/>
      <c r="X489" s="7"/>
      <c r="Y489" s="7"/>
      <c r="Z489" s="7"/>
      <c r="AA489" s="7"/>
      <c r="AB489" s="7"/>
      <c r="AC489" s="7"/>
      <c r="AD489" s="7"/>
      <c r="AE489" s="7"/>
      <c r="AF489" s="7"/>
      <c r="AG489" s="7"/>
      <c r="AH489" s="7"/>
      <c r="AI489" s="7"/>
      <c r="AJ489" s="7"/>
      <c r="AK489" s="7"/>
      <c r="AL489" s="7"/>
      <c r="AM489" s="7"/>
      <c r="AN489" s="7"/>
      <c r="AO489" s="7"/>
      <c r="AP489" s="7"/>
      <c r="AQ489" s="7"/>
      <c r="AR489" s="7"/>
      <c r="AS489" s="7"/>
      <c r="AT489" s="2"/>
      <c r="AU489" s="2"/>
    </row>
    <row r="490" spans="1:47" ht="15.6" hidden="1" outlineLevel="1">
      <c r="A490" s="298"/>
      <c r="B490" s="737" t="s">
        <v>1179</v>
      </c>
      <c r="C490" s="283"/>
      <c r="D490" s="284"/>
      <c r="E490" s="284"/>
      <c r="F490" s="284"/>
      <c r="G490" s="285"/>
      <c r="H490" s="285"/>
      <c r="I490" s="285"/>
      <c r="J490" s="285"/>
      <c r="K490" s="285"/>
      <c r="L490" s="285"/>
      <c r="M490" s="285"/>
      <c r="N490" s="284"/>
      <c r="O490" s="286"/>
      <c r="P490" s="286"/>
      <c r="Q490" s="286"/>
      <c r="R490" s="286"/>
      <c r="S490" s="286"/>
      <c r="T490" s="286"/>
      <c r="U490" s="286"/>
      <c r="V490" s="285"/>
      <c r="W490" s="285"/>
      <c r="X490" s="285"/>
      <c r="Y490" s="285"/>
      <c r="Z490" s="285"/>
      <c r="AA490" s="285"/>
      <c r="AB490" s="285"/>
      <c r="AC490" s="285"/>
      <c r="AD490" s="285"/>
      <c r="AE490" s="285"/>
      <c r="AF490" s="285"/>
      <c r="AG490" s="285"/>
      <c r="AH490" s="285"/>
      <c r="AI490" s="285"/>
      <c r="AJ490" s="285"/>
      <c r="AK490" s="285"/>
      <c r="AL490" s="285"/>
      <c r="AM490" s="285"/>
      <c r="AN490" s="285"/>
      <c r="AO490" s="285"/>
      <c r="AP490" s="285"/>
      <c r="AQ490" s="285"/>
      <c r="AR490" s="285"/>
      <c r="AS490" s="285"/>
      <c r="AT490" s="2"/>
      <c r="AU490" s="2"/>
    </row>
    <row r="491" spans="1:47" hidden="1" outlineLevel="1">
      <c r="A491" s="298"/>
      <c r="B491" s="2"/>
      <c r="C491" s="18"/>
      <c r="D491" s="18"/>
      <c r="E491" s="18"/>
      <c r="F491" s="18"/>
      <c r="G491" s="18"/>
      <c r="H491" s="18"/>
      <c r="I491" s="18"/>
      <c r="J491" s="18"/>
      <c r="K491" s="7"/>
      <c r="L491" s="7"/>
      <c r="M491" s="7"/>
      <c r="N491" s="7"/>
      <c r="O491" s="7"/>
      <c r="P491" s="7"/>
      <c r="Q491" s="7"/>
      <c r="R491" s="7"/>
      <c r="S491" s="7"/>
      <c r="T491" s="7"/>
      <c r="U491" s="7"/>
      <c r="V491" s="7"/>
      <c r="W491" s="7"/>
      <c r="X491" s="7"/>
      <c r="Y491" s="7"/>
      <c r="Z491" s="7"/>
      <c r="AA491" s="7"/>
      <c r="AB491" s="7"/>
      <c r="AC491" s="7"/>
      <c r="AD491" s="7"/>
      <c r="AE491" s="7"/>
      <c r="AF491" s="7"/>
      <c r="AG491" s="7"/>
      <c r="AH491" s="7"/>
      <c r="AI491" s="7"/>
      <c r="AJ491" s="7"/>
      <c r="AK491" s="7"/>
      <c r="AL491" s="7"/>
      <c r="AM491" s="7"/>
      <c r="AN491" s="7"/>
      <c r="AO491" s="7"/>
      <c r="AP491" s="7"/>
      <c r="AQ491" s="7"/>
      <c r="AR491" s="7"/>
      <c r="AS491" s="7"/>
      <c r="AT491" s="2"/>
      <c r="AU491" s="2"/>
    </row>
    <row r="492" spans="1:47" hidden="1" outlineLevel="1">
      <c r="A492" s="298"/>
      <c r="B492" s="2" t="s">
        <v>296</v>
      </c>
      <c r="C492" s="18" t="s">
        <v>298</v>
      </c>
      <c r="D492" s="541">
        <v>17.667000000000002</v>
      </c>
      <c r="E492" s="541">
        <v>17.853999999999999</v>
      </c>
      <c r="F492" s="541">
        <v>18.071000000000002</v>
      </c>
      <c r="G492" s="541">
        <v>18.309999999999999</v>
      </c>
      <c r="H492" s="541">
        <v>18.516999999999999</v>
      </c>
      <c r="I492" s="541">
        <v>18.710999999999999</v>
      </c>
      <c r="J492" s="541">
        <v>18.925000000000001</v>
      </c>
      <c r="K492" s="42">
        <v>19.15549</v>
      </c>
      <c r="L492" s="42">
        <v>19.403310000000001</v>
      </c>
      <c r="M492" s="42">
        <v>19.652470000000001</v>
      </c>
      <c r="N492" s="42">
        <v>19.89142</v>
      </c>
      <c r="O492" s="42">
        <v>20.132010000000001</v>
      </c>
      <c r="P492" s="42">
        <v>20.398099999999999</v>
      </c>
      <c r="Q492" s="42">
        <v>20.69641</v>
      </c>
      <c r="R492" s="42">
        <v>21.014700000000001</v>
      </c>
      <c r="S492" s="42">
        <v>21.373999999999999</v>
      </c>
      <c r="T492" s="42">
        <v>21.613800000000001</v>
      </c>
      <c r="U492" s="42">
        <v>22.36</v>
      </c>
      <c r="V492" s="42">
        <v>22.675000000000001</v>
      </c>
      <c r="W492" s="42">
        <v>22.969774999999998</v>
      </c>
      <c r="X492" s="42">
        <v>23.268382074999995</v>
      </c>
      <c r="Y492" s="42">
        <v>23.570871041974993</v>
      </c>
      <c r="Z492" s="42">
        <v>23.877292365520667</v>
      </c>
      <c r="AA492" s="42">
        <v>24.187697166272432</v>
      </c>
      <c r="AB492" s="42">
        <v>24.50213722943397</v>
      </c>
      <c r="AC492" s="42">
        <v>24.820665013416608</v>
      </c>
      <c r="AD492" s="42">
        <v>25.143333658591022</v>
      </c>
      <c r="AE492" s="42">
        <v>25.470196996152701</v>
      </c>
      <c r="AF492" s="42">
        <v>25.801309557102684</v>
      </c>
      <c r="AG492" s="42">
        <v>26.136726581345016</v>
      </c>
      <c r="AH492" s="42">
        <v>26.4765040269025</v>
      </c>
      <c r="AI492" s="42">
        <v>26.82069857925223</v>
      </c>
      <c r="AJ492" s="42">
        <v>27.169367660782505</v>
      </c>
      <c r="AK492" s="42">
        <v>27.522569440372674</v>
      </c>
      <c r="AL492" s="42">
        <v>27.880362843097515</v>
      </c>
      <c r="AM492" s="42">
        <v>28.242807560057781</v>
      </c>
      <c r="AN492" s="42">
        <v>28.60996405833853</v>
      </c>
      <c r="AO492" s="42">
        <v>28.981893591096927</v>
      </c>
      <c r="AP492" s="42">
        <v>29.358658207781186</v>
      </c>
      <c r="AQ492" s="42">
        <v>29.358658207781186</v>
      </c>
      <c r="AR492" s="42">
        <v>29.358658207781186</v>
      </c>
      <c r="AS492" s="42">
        <v>29.358658207781186</v>
      </c>
      <c r="AT492" s="2"/>
      <c r="AU492" s="2"/>
    </row>
    <row r="493" spans="1:47" hidden="1" outlineLevel="1">
      <c r="A493" s="308"/>
      <c r="B493" s="322" t="s">
        <v>1099</v>
      </c>
      <c r="C493" s="310" t="s">
        <v>733</v>
      </c>
      <c r="D493" s="310"/>
      <c r="E493" s="311">
        <v>1.0584705948944118E-2</v>
      </c>
      <c r="F493" s="311">
        <v>1.215413912848673E-2</v>
      </c>
      <c r="G493" s="311">
        <v>1.3225610093519746E-2</v>
      </c>
      <c r="H493" s="311">
        <v>1.1305297651556634E-2</v>
      </c>
      <c r="I493" s="311">
        <v>1.0476859102446445E-2</v>
      </c>
      <c r="J493" s="311">
        <v>1.1437122548233702E-2</v>
      </c>
      <c r="K493" s="311">
        <v>1.2179128137384421E-2</v>
      </c>
      <c r="L493" s="311">
        <v>1.2937283254043752E-2</v>
      </c>
      <c r="M493" s="311">
        <v>1.2841108037752402E-2</v>
      </c>
      <c r="N493" s="311">
        <v>1.2158776988337783E-2</v>
      </c>
      <c r="O493" s="311">
        <v>1.209516464887872E-2</v>
      </c>
      <c r="P493" s="311">
        <v>1.3217259478810028E-2</v>
      </c>
      <c r="Q493" s="311">
        <v>1.4624401292277156E-2</v>
      </c>
      <c r="R493" s="311">
        <v>1.5378995680893404E-2</v>
      </c>
      <c r="S493" s="311">
        <v>1.7097555520659169E-2</v>
      </c>
      <c r="T493" s="311">
        <v>1.1219238326939385E-2</v>
      </c>
      <c r="U493" s="311">
        <v>3.4524239143510105E-2</v>
      </c>
      <c r="V493" s="311">
        <v>1.4087656529517156E-2</v>
      </c>
      <c r="W493" s="311">
        <v>1.2999999999999999E-2</v>
      </c>
      <c r="X493" s="311">
        <v>1.2999999999999999E-2</v>
      </c>
      <c r="Y493" s="311">
        <v>1.2999999999999999E-2</v>
      </c>
      <c r="Z493" s="311">
        <v>1.2999999999999999E-2</v>
      </c>
      <c r="AA493" s="311">
        <v>1.2999999999999999E-2</v>
      </c>
      <c r="AB493" s="311">
        <v>1.2999999999999999E-2</v>
      </c>
      <c r="AC493" s="311">
        <v>1.2999999999999999E-2</v>
      </c>
      <c r="AD493" s="311">
        <v>1.2999999999999999E-2</v>
      </c>
      <c r="AE493" s="311">
        <v>1.2999999999999999E-2</v>
      </c>
      <c r="AF493" s="311">
        <v>1.2999999999999999E-2</v>
      </c>
      <c r="AG493" s="311">
        <v>1.2999999999999999E-2</v>
      </c>
      <c r="AH493" s="311">
        <v>1.2999999999999999E-2</v>
      </c>
      <c r="AI493" s="311">
        <v>1.2999999999999999E-2</v>
      </c>
      <c r="AJ493" s="311">
        <v>1.2999999999999999E-2</v>
      </c>
      <c r="AK493" s="311">
        <v>1.2999999999999999E-2</v>
      </c>
      <c r="AL493" s="311">
        <v>1.2999999999999999E-2</v>
      </c>
      <c r="AM493" s="311">
        <v>1.2999999999999999E-2</v>
      </c>
      <c r="AN493" s="311">
        <v>1.2999999999999999E-2</v>
      </c>
      <c r="AO493" s="311">
        <v>1.2999999999999999E-2</v>
      </c>
      <c r="AP493" s="311">
        <v>1.2999999999999999E-2</v>
      </c>
      <c r="AQ493" s="311">
        <v>1.2999999999999999E-2</v>
      </c>
      <c r="AR493" s="311">
        <v>1.2999999999999999E-2</v>
      </c>
      <c r="AS493" s="311">
        <v>1.2999999999999999E-2</v>
      </c>
      <c r="AT493" s="312"/>
      <c r="AU493" s="514"/>
    </row>
    <row r="494" spans="1:47" hidden="1" outlineLevel="1">
      <c r="A494" s="298"/>
      <c r="B494" s="55"/>
      <c r="C494" s="18"/>
      <c r="D494" s="18"/>
      <c r="E494" s="18"/>
      <c r="F494" s="18"/>
      <c r="G494" s="18"/>
      <c r="H494" s="18"/>
      <c r="I494" s="18"/>
      <c r="J494" s="18"/>
      <c r="K494" s="7"/>
      <c r="L494" s="7"/>
      <c r="M494" s="7"/>
      <c r="N494" s="7"/>
      <c r="O494" s="7"/>
      <c r="P494" s="7"/>
      <c r="Q494" s="7"/>
      <c r="R494" s="7"/>
      <c r="S494" s="7"/>
      <c r="T494" s="7"/>
      <c r="U494" s="7"/>
      <c r="V494" s="7"/>
      <c r="W494" s="7"/>
      <c r="X494" s="7"/>
      <c r="Y494" s="7"/>
      <c r="Z494" s="7"/>
      <c r="AA494" s="7"/>
      <c r="AB494" s="7"/>
      <c r="AC494" s="7"/>
      <c r="AD494" s="7"/>
      <c r="AE494" s="7"/>
      <c r="AF494" s="7"/>
      <c r="AG494" s="7"/>
      <c r="AH494" s="7"/>
      <c r="AI494" s="7"/>
      <c r="AJ494" s="7"/>
      <c r="AK494" s="7"/>
      <c r="AL494" s="7"/>
      <c r="AM494" s="7"/>
      <c r="AN494" s="7"/>
      <c r="AO494" s="7"/>
      <c r="AP494" s="7"/>
      <c r="AQ494" s="7"/>
      <c r="AR494" s="7"/>
      <c r="AS494" s="7"/>
      <c r="AT494" s="2"/>
      <c r="AU494" s="2"/>
    </row>
    <row r="495" spans="1:47" hidden="1" outlineLevel="1">
      <c r="A495" s="298"/>
      <c r="B495" s="6" t="s">
        <v>266</v>
      </c>
      <c r="C495" s="18"/>
      <c r="D495" s="18"/>
      <c r="E495" s="18"/>
      <c r="F495" s="18"/>
      <c r="G495" s="18"/>
      <c r="H495" s="18"/>
      <c r="I495" s="18"/>
      <c r="J495" s="18"/>
      <c r="K495" s="7"/>
      <c r="L495" s="7"/>
      <c r="M495" s="7"/>
      <c r="N495" s="7"/>
      <c r="O495" s="7"/>
      <c r="P495" s="7"/>
      <c r="Q495" s="7"/>
      <c r="R495" s="7"/>
      <c r="S495" s="7"/>
      <c r="T495" s="7"/>
      <c r="U495" s="7"/>
      <c r="V495" s="7"/>
      <c r="W495" s="7"/>
      <c r="X495" s="7"/>
      <c r="Y495" s="7"/>
      <c r="Z495" s="7"/>
      <c r="AA495" s="7"/>
      <c r="AB495" s="7"/>
      <c r="AC495" s="7"/>
      <c r="AD495" s="7"/>
      <c r="AE495" s="7"/>
      <c r="AF495" s="7"/>
      <c r="AG495" s="7"/>
      <c r="AH495" s="7"/>
      <c r="AI495" s="7"/>
      <c r="AJ495" s="7"/>
      <c r="AK495" s="7"/>
      <c r="AL495" s="7"/>
      <c r="AM495" s="7"/>
      <c r="AN495" s="7"/>
      <c r="AO495" s="7"/>
      <c r="AP495" s="7"/>
      <c r="AQ495" s="7"/>
      <c r="AR495" s="7"/>
      <c r="AS495" s="7"/>
      <c r="AT495" s="2"/>
      <c r="AU495" s="2"/>
    </row>
    <row r="496" spans="1:47" hidden="1" outlineLevel="1">
      <c r="A496" s="308"/>
      <c r="B496" s="313" t="s">
        <v>893</v>
      </c>
      <c r="C496" s="310" t="s">
        <v>733</v>
      </c>
      <c r="D496" s="310">
        <v>3.875001851005349E-2</v>
      </c>
      <c r="E496" s="310">
        <v>6.8097091471077634E-2</v>
      </c>
      <c r="F496" s="310">
        <v>0.12841628504360028</v>
      </c>
      <c r="G496" s="310">
        <v>0.2005187102425485</v>
      </c>
      <c r="H496" s="310">
        <v>0.24815257991651182</v>
      </c>
      <c r="I496" s="310">
        <v>0.28435807368986654</v>
      </c>
      <c r="J496" s="310">
        <v>0.34426163884552258</v>
      </c>
      <c r="K496" s="528">
        <v>0.44712361834648973</v>
      </c>
      <c r="L496" s="528">
        <v>0.57781378537991701</v>
      </c>
      <c r="M496" s="528">
        <v>0.63986867808473946</v>
      </c>
      <c r="N496" s="528">
        <v>0.72128063255413644</v>
      </c>
      <c r="O496" s="528">
        <v>0.8162622609466218</v>
      </c>
      <c r="P496" s="528">
        <v>0.88723949779636357</v>
      </c>
      <c r="Q496" s="528">
        <v>0.93030627050778358</v>
      </c>
      <c r="R496" s="528">
        <v>0.98987851361190016</v>
      </c>
      <c r="S496" s="528">
        <v>1.0349490034621505</v>
      </c>
      <c r="T496" s="528">
        <v>1.1599999999999999</v>
      </c>
      <c r="U496" s="528">
        <v>1.21</v>
      </c>
      <c r="V496" s="528">
        <v>1.28</v>
      </c>
      <c r="W496" s="528">
        <v>1.3</v>
      </c>
      <c r="X496" s="528">
        <v>1.33</v>
      </c>
      <c r="Y496" s="528">
        <v>1.35</v>
      </c>
      <c r="Z496" s="528">
        <v>1.415</v>
      </c>
      <c r="AA496" s="528">
        <v>1.415</v>
      </c>
      <c r="AB496" s="528">
        <v>1.415</v>
      </c>
      <c r="AC496" s="528">
        <v>1.415</v>
      </c>
      <c r="AD496" s="316">
        <v>1.42</v>
      </c>
      <c r="AE496" s="314">
        <v>1.43</v>
      </c>
      <c r="AF496" s="314">
        <v>1.44</v>
      </c>
      <c r="AG496" s="314">
        <v>1.45</v>
      </c>
      <c r="AH496" s="314">
        <v>1.46</v>
      </c>
      <c r="AI496" s="542">
        <v>1.5</v>
      </c>
      <c r="AJ496" s="542">
        <v>1.5</v>
      </c>
      <c r="AK496" s="542">
        <v>1.5</v>
      </c>
      <c r="AL496" s="542">
        <v>1.5</v>
      </c>
      <c r="AM496" s="542">
        <v>1.5</v>
      </c>
      <c r="AN496" s="542">
        <v>1.5</v>
      </c>
      <c r="AO496" s="543">
        <v>1.5</v>
      </c>
      <c r="AP496" s="543">
        <v>1.5</v>
      </c>
      <c r="AQ496" s="543">
        <v>1.5</v>
      </c>
      <c r="AR496" s="543">
        <v>1.5</v>
      </c>
      <c r="AS496" s="543">
        <v>1.5</v>
      </c>
      <c r="AT496" s="312"/>
      <c r="AU496" s="514"/>
    </row>
    <row r="497" spans="1:47" hidden="1" outlineLevel="1">
      <c r="A497" s="298"/>
      <c r="B497" s="2" t="s">
        <v>264</v>
      </c>
      <c r="C497" s="18" t="s">
        <v>298</v>
      </c>
      <c r="D497" s="112">
        <v>0.68459657701711507</v>
      </c>
      <c r="E497" s="112">
        <v>1.21580547112462</v>
      </c>
      <c r="F497" s="112">
        <v>2.3206106870229006</v>
      </c>
      <c r="G497" s="112">
        <v>3.6714975845410627</v>
      </c>
      <c r="H497" s="112">
        <v>4.5950413223140494</v>
      </c>
      <c r="I497" s="112">
        <v>5.3206239168110923</v>
      </c>
      <c r="J497" s="112">
        <v>6.5151515151515147</v>
      </c>
      <c r="K497" s="42">
        <v>8.5648720000000012</v>
      </c>
      <c r="L497" s="42">
        <v>11.211499999999997</v>
      </c>
      <c r="M497" s="42">
        <v>12.575000000000001</v>
      </c>
      <c r="N497" s="42">
        <v>14.347296</v>
      </c>
      <c r="O497" s="42">
        <v>16.433</v>
      </c>
      <c r="P497" s="42">
        <v>18.098000000000003</v>
      </c>
      <c r="Q497" s="42">
        <v>19.253999999999998</v>
      </c>
      <c r="R497" s="42">
        <v>20.802</v>
      </c>
      <c r="S497" s="42">
        <v>22.121000000000002</v>
      </c>
      <c r="T497" s="42">
        <v>25.072008</v>
      </c>
      <c r="U497" s="42">
        <v>27.055599999999998</v>
      </c>
      <c r="V497" s="42">
        <v>29.024000000000001</v>
      </c>
      <c r="W497" s="42">
        <v>29.8607075</v>
      </c>
      <c r="X497" s="42">
        <v>30.946948159749994</v>
      </c>
      <c r="Y497" s="42">
        <v>31.820675906666242</v>
      </c>
      <c r="Z497" s="42">
        <v>33.786368697211742</v>
      </c>
      <c r="AA497" s="42">
        <v>34.225591490275491</v>
      </c>
      <c r="AB497" s="42">
        <v>34.670524179649071</v>
      </c>
      <c r="AC497" s="42">
        <v>35.1212409939845</v>
      </c>
      <c r="AD497" s="42">
        <v>35.703533795199249</v>
      </c>
      <c r="AE497" s="224">
        <v>36.422381704498363</v>
      </c>
      <c r="AF497" s="42">
        <v>37.153885762227866</v>
      </c>
      <c r="AG497" s="42">
        <v>37.898253542950272</v>
      </c>
      <c r="AH497" s="42">
        <v>38.655695879277651</v>
      </c>
      <c r="AI497" s="42">
        <v>40.231047868878349</v>
      </c>
      <c r="AJ497" s="42">
        <v>40.754051491173755</v>
      </c>
      <c r="AK497" s="42">
        <v>41.283854160559009</v>
      </c>
      <c r="AL497" s="42">
        <v>41.820544264646273</v>
      </c>
      <c r="AM497" s="42">
        <v>42.364211340086669</v>
      </c>
      <c r="AN497" s="42">
        <v>42.914946087507793</v>
      </c>
      <c r="AO497" s="42">
        <v>43.472840386645387</v>
      </c>
      <c r="AP497" s="42">
        <v>44.037987311671777</v>
      </c>
      <c r="AQ497" s="42">
        <v>44.037987311671777</v>
      </c>
      <c r="AR497" s="42">
        <v>44.037987311671777</v>
      </c>
      <c r="AS497" s="42">
        <v>44.037987311671777</v>
      </c>
      <c r="AT497" s="2"/>
      <c r="AU497" s="2"/>
    </row>
    <row r="498" spans="1:47" hidden="1" outlineLevel="1">
      <c r="A498" s="298"/>
      <c r="B498" s="2"/>
      <c r="C498" s="18"/>
      <c r="D498" s="18"/>
      <c r="E498" s="18"/>
      <c r="F498" s="18"/>
      <c r="G498" s="18"/>
      <c r="H498" s="18"/>
      <c r="I498" s="18"/>
      <c r="J498" s="18"/>
      <c r="K498" s="18"/>
      <c r="L498" s="18"/>
      <c r="M498" s="18"/>
      <c r="N498" s="18"/>
      <c r="O498" s="18"/>
      <c r="P498" s="18"/>
      <c r="Q498" s="18"/>
      <c r="R498" s="18"/>
      <c r="S498" s="18"/>
      <c r="T498" s="18"/>
      <c r="U498" s="18"/>
      <c r="V498" s="18"/>
      <c r="W498" s="18"/>
      <c r="X498" s="18"/>
      <c r="Y498" s="18"/>
      <c r="Z498" s="18"/>
      <c r="AA498" s="18"/>
      <c r="AB498" s="18"/>
      <c r="AC498" s="18"/>
      <c r="AD498" s="18"/>
      <c r="AE498" s="18"/>
      <c r="AF498" s="18"/>
      <c r="AG498" s="18"/>
      <c r="AH498" s="18"/>
      <c r="AI498" s="18"/>
      <c r="AJ498" s="18"/>
      <c r="AK498" s="18"/>
      <c r="AL498" s="18"/>
      <c r="AM498" s="18"/>
      <c r="AN498" s="18"/>
      <c r="AO498" s="18"/>
      <c r="AP498" s="18"/>
      <c r="AQ498" s="18"/>
      <c r="AR498" s="18"/>
      <c r="AS498" s="18"/>
      <c r="AT498" s="2"/>
      <c r="AU498" s="2"/>
    </row>
    <row r="499" spans="1:47" hidden="1" outlineLevel="1">
      <c r="A499" s="298"/>
      <c r="B499" s="2" t="s">
        <v>763</v>
      </c>
      <c r="C499" s="18" t="s">
        <v>298</v>
      </c>
      <c r="D499" s="18"/>
      <c r="E499" s="18"/>
      <c r="F499" s="18"/>
      <c r="G499" s="18"/>
      <c r="H499" s="18"/>
      <c r="I499" s="18"/>
      <c r="J499" s="18"/>
      <c r="K499" s="42"/>
      <c r="L499" s="42"/>
      <c r="M499" s="42"/>
      <c r="N499" s="42"/>
      <c r="O499" s="42"/>
      <c r="P499" s="42">
        <v>18.098000000000003</v>
      </c>
      <c r="Q499" s="42">
        <v>19.253999999999998</v>
      </c>
      <c r="R499" s="42">
        <v>20.802</v>
      </c>
      <c r="S499" s="42">
        <v>22.121000000000002</v>
      </c>
      <c r="T499" s="42">
        <v>25.072008</v>
      </c>
      <c r="U499" s="42">
        <v>26.516599999999997</v>
      </c>
      <c r="V499" s="42">
        <v>28.366</v>
      </c>
      <c r="W499" s="42">
        <v>29.051707499999999</v>
      </c>
      <c r="X499" s="42">
        <v>29.976948159749995</v>
      </c>
      <c r="Y499" s="42">
        <v>30.559675906666243</v>
      </c>
      <c r="Z499" s="42">
        <v>32.239368697211745</v>
      </c>
      <c r="AA499" s="42">
        <v>32.287591490275489</v>
      </c>
      <c r="AB499" s="42">
        <v>32.482524179649069</v>
      </c>
      <c r="AC499" s="42">
        <v>32.550240993984502</v>
      </c>
      <c r="AD499" s="42">
        <v>32.571533795199251</v>
      </c>
      <c r="AE499" s="42">
        <v>32.638381704498364</v>
      </c>
      <c r="AF499" s="42">
        <v>32.477885762227864</v>
      </c>
      <c r="AG499" s="42">
        <v>32.198253542950269</v>
      </c>
      <c r="AH499" s="42">
        <v>31.821449514863623</v>
      </c>
      <c r="AI499" s="42">
        <v>32.173535713797094</v>
      </c>
      <c r="AJ499" s="42">
        <v>31.415470722625088</v>
      </c>
      <c r="AK499" s="42">
        <v>30.647298538910434</v>
      </c>
      <c r="AL499" s="42">
        <v>30.65216086191527</v>
      </c>
      <c r="AM499" s="42">
        <v>30.637408767219114</v>
      </c>
      <c r="AN499" s="42">
        <v>30.60180338599686</v>
      </c>
      <c r="AO499" s="42">
        <v>30.544040550058909</v>
      </c>
      <c r="AP499" s="42">
        <v>30.462747483255974</v>
      </c>
      <c r="AQ499" s="42">
        <v>30.462747483255974</v>
      </c>
      <c r="AR499" s="42">
        <v>30.462747483255974</v>
      </c>
      <c r="AS499" s="42">
        <v>30.462747483255974</v>
      </c>
      <c r="AT499" s="2"/>
      <c r="AU499" s="2"/>
    </row>
    <row r="500" spans="1:47" hidden="1" outlineLevel="1">
      <c r="A500" s="298"/>
      <c r="B500" s="2" t="s">
        <v>764</v>
      </c>
      <c r="C500" s="18"/>
      <c r="D500" s="18"/>
      <c r="E500" s="18"/>
      <c r="F500" s="18"/>
      <c r="G500" s="18"/>
      <c r="H500" s="18"/>
      <c r="I500" s="18"/>
      <c r="J500" s="18"/>
      <c r="K500" s="42"/>
      <c r="L500" s="42"/>
      <c r="M500" s="42"/>
      <c r="N500" s="42"/>
      <c r="O500" s="42"/>
      <c r="P500" s="7">
        <v>0.88723949779636357</v>
      </c>
      <c r="Q500" s="7">
        <v>0.93030627050778358</v>
      </c>
      <c r="R500" s="7">
        <v>0.98987851361190016</v>
      </c>
      <c r="S500" s="7">
        <v>1.0349490034621505</v>
      </c>
      <c r="T500" s="7">
        <v>1.1599999999999999</v>
      </c>
      <c r="U500" s="7">
        <v>1.1858944543828263</v>
      </c>
      <c r="V500" s="7">
        <v>1.2509812568908489</v>
      </c>
      <c r="W500" s="7">
        <v>1.2647798030237563</v>
      </c>
      <c r="X500" s="7">
        <v>1.2883125291275759</v>
      </c>
      <c r="Y500" s="7">
        <v>1.2965017649218644</v>
      </c>
      <c r="Z500" s="7">
        <v>1.3502104092742986</v>
      </c>
      <c r="AA500" s="7">
        <v>1.3348766221241446</v>
      </c>
      <c r="AB500" s="7">
        <v>1.3257016673887698</v>
      </c>
      <c r="AC500" s="7">
        <v>1.3114169574582202</v>
      </c>
      <c r="AD500" s="7">
        <v>1.2954341789944051</v>
      </c>
      <c r="AE500" s="7">
        <v>1.281434207573205</v>
      </c>
      <c r="AF500" s="7">
        <v>1.2587688888561559</v>
      </c>
      <c r="AG500" s="7">
        <v>1.2319160719204847</v>
      </c>
      <c r="AH500" s="7">
        <v>1.2018750467406942</v>
      </c>
      <c r="AI500" s="7">
        <v>1.1995785873633311</v>
      </c>
      <c r="AJ500" s="7">
        <v>1.1562827341017436</v>
      </c>
      <c r="AK500" s="7">
        <v>1.1135333350800494</v>
      </c>
      <c r="AL500" s="7">
        <v>1.0994175733801106</v>
      </c>
      <c r="AM500" s="7">
        <v>1.0847862310455241</v>
      </c>
      <c r="AN500" s="7">
        <v>1.0696204764045412</v>
      </c>
      <c r="AO500" s="7">
        <v>1.0539007899553487</v>
      </c>
      <c r="AP500" s="7">
        <v>1.0376069392429577</v>
      </c>
      <c r="AQ500" s="7">
        <v>1.0376069392429577</v>
      </c>
      <c r="AR500" s="7">
        <v>1.0376069392429577</v>
      </c>
      <c r="AS500" s="7">
        <v>1.0376069392429577</v>
      </c>
      <c r="AT500" s="2"/>
      <c r="AU500" s="2"/>
    </row>
    <row r="501" spans="1:47" hidden="1" outlineLevel="1">
      <c r="A501" s="298"/>
      <c r="B501" s="2"/>
      <c r="C501" s="18"/>
      <c r="D501" s="18"/>
      <c r="E501" s="18"/>
      <c r="F501" s="18"/>
      <c r="G501" s="18"/>
      <c r="H501" s="18"/>
      <c r="I501" s="18"/>
      <c r="J501" s="18"/>
      <c r="K501" s="7"/>
      <c r="L501" s="7"/>
      <c r="M501" s="7"/>
      <c r="N501" s="7"/>
      <c r="O501" s="7"/>
      <c r="P501" s="7"/>
      <c r="Q501" s="7"/>
      <c r="R501" s="7"/>
      <c r="S501" s="7"/>
      <c r="T501" s="7"/>
      <c r="U501" s="7"/>
      <c r="V501" s="7"/>
      <c r="W501" s="42"/>
      <c r="X501" s="7"/>
      <c r="Y501" s="7"/>
      <c r="Z501" s="7"/>
      <c r="AA501" s="7"/>
      <c r="AB501" s="7"/>
      <c r="AC501" s="7"/>
      <c r="AD501" s="42"/>
      <c r="AE501" s="42"/>
      <c r="AF501" s="42"/>
      <c r="AG501" s="42"/>
      <c r="AH501" s="42"/>
      <c r="AI501" s="42"/>
      <c r="AJ501" s="42"/>
      <c r="AK501" s="42"/>
      <c r="AL501" s="42"/>
      <c r="AM501" s="42"/>
      <c r="AN501" s="42"/>
      <c r="AO501" s="42"/>
      <c r="AP501" s="42"/>
      <c r="AQ501" s="42"/>
      <c r="AR501" s="42"/>
      <c r="AS501" s="42"/>
      <c r="AT501" s="2"/>
      <c r="AU501" s="2"/>
    </row>
    <row r="502" spans="1:47" hidden="1" outlineLevel="1">
      <c r="A502" s="298"/>
      <c r="B502" s="2" t="s">
        <v>265</v>
      </c>
      <c r="C502" s="18" t="s">
        <v>298</v>
      </c>
      <c r="D502" s="42">
        <v>0.56000000000000005</v>
      </c>
      <c r="E502" s="42">
        <v>0.8</v>
      </c>
      <c r="F502" s="42">
        <v>1.52</v>
      </c>
      <c r="G502" s="42">
        <v>2.2799999999999998</v>
      </c>
      <c r="H502" s="42">
        <v>2.78</v>
      </c>
      <c r="I502" s="42">
        <v>3.07</v>
      </c>
      <c r="J502" s="42">
        <v>3.44</v>
      </c>
      <c r="K502" s="42">
        <v>4.1260000000000003</v>
      </c>
      <c r="L502" s="42">
        <v>5.1760000000000002</v>
      </c>
      <c r="M502" s="42">
        <v>5.9420000000000002</v>
      </c>
      <c r="N502" s="42">
        <v>6.569</v>
      </c>
      <c r="O502" s="42">
        <v>7.6039999999999992</v>
      </c>
      <c r="P502" s="42">
        <v>8.2270000000000003</v>
      </c>
      <c r="Q502" s="42">
        <v>8.5289999999999999</v>
      </c>
      <c r="R502" s="42">
        <v>9.2119999999999997</v>
      </c>
      <c r="S502" s="42">
        <v>9.3350000000000009</v>
      </c>
      <c r="T502" s="42">
        <v>10.191000000000001</v>
      </c>
      <c r="U502" s="42">
        <v>10.555</v>
      </c>
      <c r="V502" s="42">
        <v>12.223000000000001</v>
      </c>
      <c r="W502" s="42">
        <v>13.815</v>
      </c>
      <c r="X502" s="42">
        <v>15.071999999999999</v>
      </c>
      <c r="Y502" s="42">
        <v>15.910337953333121</v>
      </c>
      <c r="Z502" s="42">
        <v>16.672999999999998</v>
      </c>
      <c r="AA502" s="42">
        <v>17.233000000000001</v>
      </c>
      <c r="AB502" s="42">
        <v>17.373999999999999</v>
      </c>
      <c r="AC502" s="42">
        <v>17.716000000000001</v>
      </c>
      <c r="AD502" s="42">
        <v>18.338000000000001</v>
      </c>
      <c r="AE502" s="42">
        <v>18.774999999999999</v>
      </c>
      <c r="AF502" s="42">
        <v>21.18674258791323</v>
      </c>
      <c r="AG502" s="42">
        <v>21.421721822741041</v>
      </c>
      <c r="AH502" s="42">
        <v>18.168177063260494</v>
      </c>
      <c r="AI502" s="42">
        <v>18.103971540995257</v>
      </c>
      <c r="AJ502" s="42">
        <v>18.339323171028191</v>
      </c>
      <c r="AK502" s="42">
        <v>18.577734372251555</v>
      </c>
      <c r="AL502" s="42">
        <v>18.819244919090824</v>
      </c>
      <c r="AM502" s="42">
        <v>19.063895103039002</v>
      </c>
      <c r="AN502" s="42">
        <v>19.311725739378506</v>
      </c>
      <c r="AO502" s="42">
        <v>19.562778173990424</v>
      </c>
      <c r="AP502" s="42">
        <v>19.8170942902523</v>
      </c>
      <c r="AQ502" s="42">
        <v>19.8170942902523</v>
      </c>
      <c r="AR502" s="42">
        <v>19.8170942902523</v>
      </c>
      <c r="AS502" s="42">
        <v>19.8170942902523</v>
      </c>
      <c r="AT502" s="2"/>
      <c r="AU502" s="2"/>
    </row>
    <row r="503" spans="1:47" hidden="1" outlineLevel="1">
      <c r="A503" s="308"/>
      <c r="B503" s="313" t="s">
        <v>669</v>
      </c>
      <c r="C503" s="310" t="s">
        <v>733</v>
      </c>
      <c r="D503" s="528">
        <v>0.81799999999999995</v>
      </c>
      <c r="E503" s="528">
        <v>0.65800000000000003</v>
      </c>
      <c r="F503" s="528">
        <v>0.65500000000000003</v>
      </c>
      <c r="G503" s="528">
        <v>0.621</v>
      </c>
      <c r="H503" s="528">
        <v>0.60499999999999998</v>
      </c>
      <c r="I503" s="528">
        <v>0.57699999999999996</v>
      </c>
      <c r="J503" s="528">
        <v>0.52800000000000002</v>
      </c>
      <c r="K503" s="311">
        <v>0.48173516194988086</v>
      </c>
      <c r="L503" s="311">
        <v>0.46166882219149991</v>
      </c>
      <c r="M503" s="311">
        <v>0.4725248508946322</v>
      </c>
      <c r="N503" s="311">
        <v>0.45785630964887042</v>
      </c>
      <c r="O503" s="311">
        <v>0.46272743869043992</v>
      </c>
      <c r="P503" s="311">
        <v>0.45458061664272292</v>
      </c>
      <c r="Q503" s="311">
        <v>0.44297288875038959</v>
      </c>
      <c r="R503" s="311">
        <v>0.44284203441976733</v>
      </c>
      <c r="S503" s="311">
        <v>0.42199719723339812</v>
      </c>
      <c r="T503" s="311">
        <v>0.40646923852289774</v>
      </c>
      <c r="U503" s="311">
        <v>0.39012256242700216</v>
      </c>
      <c r="V503" s="311">
        <v>0.42113423373759651</v>
      </c>
      <c r="W503" s="311">
        <v>0.46264811374613274</v>
      </c>
      <c r="X503" s="311">
        <v>0.48702702192789532</v>
      </c>
      <c r="Y503" s="528">
        <v>0.5</v>
      </c>
      <c r="Z503" s="311">
        <v>0.517162732204554</v>
      </c>
      <c r="AA503" s="311">
        <v>0.53373445353427207</v>
      </c>
      <c r="AB503" s="311">
        <v>0.53487222556691416</v>
      </c>
      <c r="AC503" s="311">
        <v>0.54426632365868</v>
      </c>
      <c r="AD503" s="311">
        <v>0.56300695310525584</v>
      </c>
      <c r="AE503" s="316">
        <v>0.57524298140714325</v>
      </c>
      <c r="AF503" s="317">
        <v>0.57024298140714325</v>
      </c>
      <c r="AG503" s="317">
        <v>0.56524298140714324</v>
      </c>
      <c r="AH503" s="544">
        <v>0.47</v>
      </c>
      <c r="AI503" s="544">
        <v>0.45</v>
      </c>
      <c r="AJ503" s="544">
        <v>0.45</v>
      </c>
      <c r="AK503" s="544">
        <v>0.45</v>
      </c>
      <c r="AL503" s="544">
        <v>0.45</v>
      </c>
      <c r="AM503" s="544">
        <v>0.45</v>
      </c>
      <c r="AN503" s="544">
        <v>0.45</v>
      </c>
      <c r="AO503" s="545">
        <v>0.45</v>
      </c>
      <c r="AP503" s="545">
        <v>0.45</v>
      </c>
      <c r="AQ503" s="545">
        <v>0.45</v>
      </c>
      <c r="AR503" s="545">
        <v>0.45</v>
      </c>
      <c r="AS503" s="545">
        <v>0.45</v>
      </c>
      <c r="AT503" s="312"/>
      <c r="AU503" s="514"/>
    </row>
    <row r="504" spans="1:47" hidden="1" outlineLevel="1">
      <c r="A504" s="298"/>
      <c r="B504" s="2"/>
      <c r="C504" s="18"/>
      <c r="D504" s="18"/>
      <c r="E504" s="18"/>
      <c r="F504" s="18"/>
      <c r="G504" s="18"/>
      <c r="H504" s="18"/>
      <c r="I504" s="18"/>
      <c r="J504" s="18"/>
      <c r="K504" s="7"/>
      <c r="L504" s="7"/>
      <c r="M504" s="7"/>
      <c r="N504" s="7"/>
      <c r="O504" s="7"/>
      <c r="P504" s="7"/>
      <c r="Q504" s="7"/>
      <c r="R504" s="7"/>
      <c r="S504" s="7"/>
      <c r="T504" s="7"/>
      <c r="U504" s="7"/>
      <c r="V504" s="7"/>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row>
    <row r="505" spans="1:47" hidden="1" outlineLevel="1">
      <c r="A505" s="301"/>
      <c r="B505" s="6" t="s">
        <v>787</v>
      </c>
      <c r="C505" s="21" t="s">
        <v>298</v>
      </c>
      <c r="D505" s="21"/>
      <c r="E505" s="21"/>
      <c r="F505" s="21"/>
      <c r="G505" s="21"/>
      <c r="H505" s="21"/>
      <c r="I505" s="21"/>
      <c r="J505" s="21"/>
      <c r="K505" s="43">
        <v>4.1260000000000003</v>
      </c>
      <c r="L505" s="43">
        <v>5.1760000000000002</v>
      </c>
      <c r="M505" s="43">
        <v>5.9420000000000002</v>
      </c>
      <c r="N505" s="43">
        <v>6.5689999999999991</v>
      </c>
      <c r="O505" s="43">
        <v>7.6039999999999992</v>
      </c>
      <c r="P505" s="43">
        <v>8.2270000000000003</v>
      </c>
      <c r="Q505" s="43">
        <v>8.5289999999999999</v>
      </c>
      <c r="R505" s="43">
        <v>9.2119999999999997</v>
      </c>
      <c r="S505" s="43">
        <v>9.3350000000000009</v>
      </c>
      <c r="T505" s="43">
        <v>10.191000000000001</v>
      </c>
      <c r="U505" s="43">
        <v>10.016</v>
      </c>
      <c r="V505" s="43">
        <v>11.565000000000001</v>
      </c>
      <c r="W505" s="43">
        <v>13.006</v>
      </c>
      <c r="X505" s="43">
        <v>14.101999999999999</v>
      </c>
      <c r="Y505" s="43">
        <v>14.649337953333122</v>
      </c>
      <c r="Z505" s="43">
        <v>15.125999999999998</v>
      </c>
      <c r="AA505" s="43">
        <v>15.295</v>
      </c>
      <c r="AB505" s="43">
        <v>15.185999999999998</v>
      </c>
      <c r="AC505" s="43">
        <v>15.145000000000001</v>
      </c>
      <c r="AD505" s="43">
        <v>15.206000000000001</v>
      </c>
      <c r="AE505" s="43">
        <v>14.991</v>
      </c>
      <c r="AF505" s="43">
        <v>16.510742587913228</v>
      </c>
      <c r="AG505" s="43">
        <v>15.721721822741042</v>
      </c>
      <c r="AH505" s="43">
        <v>11.333930698846464</v>
      </c>
      <c r="AI505" s="43">
        <v>10.046459385913998</v>
      </c>
      <c r="AJ505" s="43">
        <v>9.0007424024795224</v>
      </c>
      <c r="AK505" s="43">
        <v>7.9411787506029814</v>
      </c>
      <c r="AL505" s="43">
        <v>7.6508615163598215</v>
      </c>
      <c r="AM505" s="43">
        <v>7.3370925301714482</v>
      </c>
      <c r="AN505" s="43">
        <v>6.998583037867574</v>
      </c>
      <c r="AO505" s="43">
        <v>6.6339783374039438</v>
      </c>
      <c r="AP505" s="43">
        <v>6.2418544618364944</v>
      </c>
      <c r="AQ505" s="43">
        <v>6.2418544618364944</v>
      </c>
      <c r="AR505" s="43">
        <v>6.2418544618364944</v>
      </c>
      <c r="AS505" s="43">
        <v>6.2418544618364944</v>
      </c>
      <c r="AT505" s="6"/>
      <c r="AU505" s="6"/>
    </row>
    <row r="506" spans="1:47" hidden="1" outlineLevel="1">
      <c r="A506" s="308"/>
      <c r="B506" s="313" t="s">
        <v>788</v>
      </c>
      <c r="C506" s="310" t="s">
        <v>733</v>
      </c>
      <c r="D506" s="310"/>
      <c r="E506" s="310"/>
      <c r="F506" s="310"/>
      <c r="G506" s="310"/>
      <c r="H506" s="310"/>
      <c r="I506" s="310"/>
      <c r="J506" s="310"/>
      <c r="K506" s="311">
        <v>0.48173516194988086</v>
      </c>
      <c r="L506" s="311">
        <v>0.46166882219149991</v>
      </c>
      <c r="M506" s="311">
        <v>0.4725248508946322</v>
      </c>
      <c r="N506" s="311">
        <v>0.45785630964887036</v>
      </c>
      <c r="O506" s="311">
        <v>0.46272743869043992</v>
      </c>
      <c r="P506" s="311">
        <v>0.45458061664272292</v>
      </c>
      <c r="Q506" s="311">
        <v>0.44297288875038959</v>
      </c>
      <c r="R506" s="311">
        <v>0.44284203441976733</v>
      </c>
      <c r="S506" s="311">
        <v>0.42199719723339812</v>
      </c>
      <c r="T506" s="311">
        <v>0.40646923852289774</v>
      </c>
      <c r="U506" s="311">
        <v>0.37020062390041253</v>
      </c>
      <c r="V506" s="311">
        <v>0.39846334068357225</v>
      </c>
      <c r="W506" s="311">
        <v>0.43555565453363754</v>
      </c>
      <c r="X506" s="311">
        <v>0.4556830588659222</v>
      </c>
      <c r="Y506" s="311">
        <v>0.46037167771989951</v>
      </c>
      <c r="Z506" s="311">
        <v>0.46917792162934585</v>
      </c>
      <c r="AA506" s="311">
        <v>0.473711394812667</v>
      </c>
      <c r="AB506" s="311">
        <v>0.46751292836762737</v>
      </c>
      <c r="AC506" s="311">
        <v>0.46528073333770081</v>
      </c>
      <c r="AD506" s="311">
        <v>0.46684936901071661</v>
      </c>
      <c r="AE506" s="316">
        <v>0.45930586068039869</v>
      </c>
      <c r="AF506" s="314">
        <v>0.50836876232613026</v>
      </c>
      <c r="AG506" s="314">
        <v>0.48827871368145292</v>
      </c>
      <c r="AH506" s="314">
        <v>0.35617267194420066</v>
      </c>
      <c r="AI506" s="314">
        <v>0.31225848086089397</v>
      </c>
      <c r="AJ506" s="314">
        <v>0.28650668589209721</v>
      </c>
      <c r="AK506" s="314">
        <v>0.2591151301809097</v>
      </c>
      <c r="AL506" s="314">
        <v>0.24960268056879056</v>
      </c>
      <c r="AM506" s="314">
        <v>0.23948149746991215</v>
      </c>
      <c r="AN506" s="314">
        <v>0.2286983858301001</v>
      </c>
      <c r="AO506" s="315">
        <v>0.2171938688508305</v>
      </c>
      <c r="AP506" s="315">
        <v>0.20490123109438391</v>
      </c>
      <c r="AQ506" s="315">
        <v>0.20490123109438391</v>
      </c>
      <c r="AR506" s="315">
        <v>0.20490123109438391</v>
      </c>
      <c r="AS506" s="315">
        <v>0.20490123109438391</v>
      </c>
      <c r="AT506" s="312"/>
      <c r="AU506" s="514"/>
    </row>
    <row r="507" spans="1:47" hidden="1" outlineLevel="1">
      <c r="A507" s="298"/>
      <c r="B507" s="2"/>
      <c r="C507" s="18"/>
      <c r="D507" s="18"/>
      <c r="E507" s="18"/>
      <c r="F507" s="18"/>
      <c r="G507" s="18"/>
      <c r="H507" s="18"/>
      <c r="I507" s="18"/>
      <c r="J507" s="18"/>
      <c r="K507" s="7"/>
      <c r="L507" s="7"/>
      <c r="M507" s="7"/>
      <c r="N507" s="7"/>
      <c r="O507" s="7"/>
      <c r="P507" s="7"/>
      <c r="Q507" s="7"/>
      <c r="R507" s="7"/>
      <c r="S507" s="7"/>
      <c r="T507" s="7"/>
      <c r="U507" s="7"/>
      <c r="V507" s="7"/>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row>
    <row r="508" spans="1:47" hidden="1" outlineLevel="1">
      <c r="A508" s="298"/>
      <c r="B508" s="6" t="s">
        <v>267</v>
      </c>
      <c r="C508" s="18"/>
      <c r="D508" s="18"/>
      <c r="E508" s="18"/>
      <c r="F508" s="18"/>
      <c r="G508" s="18"/>
      <c r="H508" s="18"/>
      <c r="I508" s="18"/>
      <c r="J508" s="18"/>
      <c r="K508" s="7"/>
      <c r="L508" s="7"/>
      <c r="M508" s="7"/>
      <c r="N508" s="7"/>
      <c r="O508" s="7"/>
      <c r="P508" s="7"/>
      <c r="Q508" s="7"/>
      <c r="R508" s="7"/>
      <c r="S508" s="7"/>
      <c r="T508" s="7"/>
      <c r="U508" s="7"/>
      <c r="V508" s="7"/>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row>
    <row r="509" spans="1:47" hidden="1" outlineLevel="1">
      <c r="A509" s="308"/>
      <c r="B509" s="313" t="s">
        <v>268</v>
      </c>
      <c r="C509" s="310" t="s">
        <v>733</v>
      </c>
      <c r="D509" s="310"/>
      <c r="E509" s="310"/>
      <c r="F509" s="310"/>
      <c r="G509" s="310"/>
      <c r="H509" s="310"/>
      <c r="I509" s="310"/>
      <c r="J509" s="310"/>
      <c r="K509" s="311"/>
      <c r="L509" s="311"/>
      <c r="M509" s="311"/>
      <c r="N509" s="311"/>
      <c r="O509" s="311"/>
      <c r="P509" s="311"/>
      <c r="Q509" s="528">
        <v>1.34E-2</v>
      </c>
      <c r="R509" s="528">
        <v>2.06E-2</v>
      </c>
      <c r="S509" s="528">
        <v>3.78E-2</v>
      </c>
      <c r="T509" s="528">
        <v>9.8100000000000007E-2</v>
      </c>
      <c r="U509" s="528">
        <v>0.17</v>
      </c>
      <c r="V509" s="528">
        <v>0.24</v>
      </c>
      <c r="W509" s="528">
        <v>0.27500000000000002</v>
      </c>
      <c r="X509" s="528">
        <v>0.33</v>
      </c>
      <c r="Y509" s="528">
        <v>0.37</v>
      </c>
      <c r="Z509" s="528">
        <v>0.41</v>
      </c>
      <c r="AA509" s="528">
        <v>1.41</v>
      </c>
      <c r="AB509" s="528">
        <v>2.41</v>
      </c>
      <c r="AC509" s="528">
        <v>2.41</v>
      </c>
      <c r="AD509" s="537">
        <v>2.41</v>
      </c>
      <c r="AE509" s="317">
        <v>2.39</v>
      </c>
      <c r="AF509" s="317">
        <v>2.37</v>
      </c>
      <c r="AG509" s="317">
        <v>2.35</v>
      </c>
      <c r="AH509" s="317">
        <v>2.33</v>
      </c>
      <c r="AI509" s="317">
        <v>2.31</v>
      </c>
      <c r="AJ509" s="317">
        <v>2.29</v>
      </c>
      <c r="AK509" s="317">
        <v>2.27</v>
      </c>
      <c r="AL509" s="317">
        <v>2.25</v>
      </c>
      <c r="AM509" s="317">
        <v>2.23</v>
      </c>
      <c r="AN509" s="317">
        <v>2.21</v>
      </c>
      <c r="AO509" s="318">
        <v>2.19</v>
      </c>
      <c r="AP509" s="318">
        <v>2.17</v>
      </c>
      <c r="AQ509" s="318">
        <v>2.17</v>
      </c>
      <c r="AR509" s="318">
        <v>2.17</v>
      </c>
      <c r="AS509" s="318">
        <v>2.17</v>
      </c>
      <c r="AT509" s="312"/>
      <c r="AU509" s="514"/>
    </row>
    <row r="510" spans="1:47" hidden="1" outlineLevel="1">
      <c r="A510" s="298"/>
      <c r="B510" s="2" t="s">
        <v>668</v>
      </c>
      <c r="C510" s="18" t="s">
        <v>298</v>
      </c>
      <c r="D510" s="18"/>
      <c r="E510" s="18"/>
      <c r="F510" s="18"/>
      <c r="G510" s="18"/>
      <c r="H510" s="18"/>
      <c r="I510" s="18"/>
      <c r="J510" s="18"/>
      <c r="K510" s="7"/>
      <c r="L510" s="7"/>
      <c r="M510" s="7"/>
      <c r="N510" s="7"/>
      <c r="O510" s="7"/>
      <c r="P510" s="7"/>
      <c r="Q510" s="42">
        <v>0.27733189400000002</v>
      </c>
      <c r="R510" s="42">
        <v>0.43290282000000002</v>
      </c>
      <c r="S510" s="42">
        <v>0.80793719999999991</v>
      </c>
      <c r="T510" s="42">
        <v>2.1203137800000005</v>
      </c>
      <c r="U510" s="42">
        <v>3.8012000000000001</v>
      </c>
      <c r="V510" s="42">
        <v>5.4420000000000002</v>
      </c>
      <c r="W510" s="42">
        <v>6.3166881249999998</v>
      </c>
      <c r="X510" s="42">
        <v>7.6785660847499981</v>
      </c>
      <c r="Y510" s="42">
        <v>8.7212222855307466</v>
      </c>
      <c r="Z510" s="42">
        <v>9.7896898698634729</v>
      </c>
      <c r="AA510" s="42">
        <v>34.104653004444124</v>
      </c>
      <c r="AB510" s="42">
        <v>59.050150722935868</v>
      </c>
      <c r="AC510" s="42">
        <v>59.817802682334026</v>
      </c>
      <c r="AD510" s="42">
        <v>60.59543411720437</v>
      </c>
      <c r="AE510" s="42">
        <v>60.873770820804957</v>
      </c>
      <c r="AF510" s="42">
        <v>61.149103650333366</v>
      </c>
      <c r="AG510" s="42">
        <v>61.421307466160791</v>
      </c>
      <c r="AH510" s="42">
        <v>61.690254382682824</v>
      </c>
      <c r="AI510" s="42">
        <v>61.955813718072655</v>
      </c>
      <c r="AJ510" s="42">
        <v>62.217851943191938</v>
      </c>
      <c r="AK510" s="42">
        <v>62.47623262964597</v>
      </c>
      <c r="AL510" s="42">
        <v>62.730816396969409</v>
      </c>
      <c r="AM510" s="42">
        <v>62.981460858928848</v>
      </c>
      <c r="AN510" s="42">
        <v>63.228020568928152</v>
      </c>
      <c r="AO510" s="42">
        <v>63.470346964502269</v>
      </c>
      <c r="AP510" s="42">
        <v>63.708288310885173</v>
      </c>
      <c r="AQ510" s="42">
        <v>63.708288310885173</v>
      </c>
      <c r="AR510" s="42">
        <v>63.708288310885173</v>
      </c>
      <c r="AS510" s="42">
        <v>63.708288310885173</v>
      </c>
      <c r="AT510" s="2"/>
      <c r="AU510" s="2"/>
    </row>
    <row r="511" spans="1:47" hidden="1" outlineLevel="1">
      <c r="A511" s="298"/>
      <c r="B511" s="2"/>
      <c r="C511" s="18"/>
      <c r="D511" s="18"/>
      <c r="E511" s="18"/>
      <c r="F511" s="18"/>
      <c r="G511" s="18"/>
      <c r="H511" s="18"/>
      <c r="I511" s="18"/>
      <c r="J511" s="18"/>
      <c r="K511" s="7"/>
      <c r="L511" s="7"/>
      <c r="M511" s="7"/>
      <c r="N511" s="7"/>
      <c r="O511" s="7"/>
      <c r="P511" s="7"/>
      <c r="Q511" s="42"/>
      <c r="R511" s="7">
        <v>0.56095576947958237</v>
      </c>
      <c r="S511" s="7">
        <v>0.86632464071266591</v>
      </c>
      <c r="T511" s="7">
        <v>1.6243546899437242</v>
      </c>
      <c r="U511" s="7">
        <v>0.79275352349028227</v>
      </c>
      <c r="V511" s="7">
        <v>0.43165316215931804</v>
      </c>
      <c r="W511" s="7">
        <v>0.16072916666666659</v>
      </c>
      <c r="X511" s="7">
        <v>0.21559999999999979</v>
      </c>
      <c r="Y511" s="7">
        <v>0.13578787878787857</v>
      </c>
      <c r="Z511" s="7">
        <v>0.12251351351351358</v>
      </c>
      <c r="AA511" s="7">
        <v>2.4837317073170722</v>
      </c>
      <c r="AB511" s="7">
        <v>0.73143971631205673</v>
      </c>
      <c r="AC511" s="7">
        <v>1.2999999999999901E-2</v>
      </c>
      <c r="AD511" s="7">
        <v>1.3000000000000123E-2</v>
      </c>
      <c r="AE511" s="7">
        <v>4.5933609958503929E-3</v>
      </c>
      <c r="AF511" s="7">
        <v>4.5230125523012532E-3</v>
      </c>
      <c r="AG511" s="7">
        <v>4.4514767932488652E-3</v>
      </c>
      <c r="AH511" s="7">
        <v>4.3787234042551582E-3</v>
      </c>
      <c r="AI511" s="7">
        <v>4.3047210300428684E-3</v>
      </c>
      <c r="AJ511" s="7">
        <v>4.2294372294371385E-3</v>
      </c>
      <c r="AK511" s="7">
        <v>4.1528384279474473E-3</v>
      </c>
      <c r="AL511" s="7">
        <v>4.0748898678413248E-3</v>
      </c>
      <c r="AM511" s="7">
        <v>3.99555555555553E-3</v>
      </c>
      <c r="AN511" s="7">
        <v>3.9147982062779363E-3</v>
      </c>
      <c r="AO511" s="7">
        <v>3.8325791855202684E-3</v>
      </c>
      <c r="AP511" s="7">
        <v>3.7488584474885123E-3</v>
      </c>
      <c r="AQ511" s="7">
        <v>3.7488584474885123E-3</v>
      </c>
      <c r="AR511" s="7">
        <v>3.7488584474885123E-3</v>
      </c>
      <c r="AS511" s="7">
        <v>3.7488584474885123E-3</v>
      </c>
      <c r="AT511" s="2"/>
      <c r="AU511" s="2"/>
    </row>
    <row r="512" spans="1:47" hidden="1" outlineLevel="1">
      <c r="A512" s="298"/>
      <c r="B512" s="2"/>
      <c r="C512" s="18"/>
      <c r="D512" s="18"/>
      <c r="E512" s="18"/>
      <c r="F512" s="18"/>
      <c r="G512" s="18"/>
      <c r="H512" s="18"/>
      <c r="I512" s="18"/>
      <c r="J512" s="18"/>
      <c r="K512" s="7"/>
      <c r="L512" s="7"/>
      <c r="M512" s="7"/>
      <c r="N512" s="7"/>
      <c r="O512" s="7"/>
      <c r="P512" s="7"/>
      <c r="Q512" s="7"/>
      <c r="R512" s="7"/>
      <c r="S512" s="7"/>
      <c r="T512" s="7"/>
      <c r="U512" s="7"/>
      <c r="V512" s="7"/>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row>
    <row r="513" spans="1:47" hidden="1" outlineLevel="1">
      <c r="A513" s="298"/>
      <c r="B513" s="2" t="s">
        <v>667</v>
      </c>
      <c r="C513" s="18" t="s">
        <v>298</v>
      </c>
      <c r="D513" s="18"/>
      <c r="E513" s="18"/>
      <c r="F513" s="18"/>
      <c r="G513" s="18"/>
      <c r="H513" s="18"/>
      <c r="I513" s="18"/>
      <c r="J513" s="18"/>
      <c r="K513" s="7"/>
      <c r="L513" s="7"/>
      <c r="M513" s="7"/>
      <c r="N513" s="7"/>
      <c r="O513" s="7"/>
      <c r="P513" s="7"/>
      <c r="Q513" s="2">
        <v>0</v>
      </c>
      <c r="R513" s="2">
        <v>0</v>
      </c>
      <c r="S513" s="2">
        <v>0.52600000000000002</v>
      </c>
      <c r="T513" s="2">
        <v>1.046</v>
      </c>
      <c r="U513" s="3">
        <v>1.498</v>
      </c>
      <c r="V513" s="2">
        <v>2.31</v>
      </c>
      <c r="W513" s="3">
        <v>3.1179999999999999</v>
      </c>
      <c r="X513" s="3">
        <v>3.57</v>
      </c>
      <c r="Y513" s="3">
        <v>3.6789999999999998</v>
      </c>
      <c r="Z513" s="3">
        <v>3.8660000000000001</v>
      </c>
      <c r="AA513" s="3">
        <v>3.9590000000000001</v>
      </c>
      <c r="AB513" s="3">
        <v>3.93</v>
      </c>
      <c r="AC513" s="3">
        <v>3.8929999999999998</v>
      </c>
      <c r="AD513" s="3">
        <v>3.6269999999999998</v>
      </c>
      <c r="AE513" s="3">
        <v>3.1579999999999999</v>
      </c>
      <c r="AF513" s="3">
        <v>3.0230000000000001</v>
      </c>
      <c r="AG513" s="3">
        <v>3.0350000000000001</v>
      </c>
      <c r="AH513" s="3">
        <v>3.0046500000000003</v>
      </c>
      <c r="AI513" s="3">
        <v>2.9746035000000002</v>
      </c>
      <c r="AJ513" s="3">
        <v>2.9448574650000001</v>
      </c>
      <c r="AK513" s="3">
        <v>2.9154088903500002</v>
      </c>
      <c r="AL513" s="3">
        <v>2.8862548014464999</v>
      </c>
      <c r="AM513" s="3">
        <v>2.8573922534320348</v>
      </c>
      <c r="AN513" s="3">
        <v>2.8288183308977146</v>
      </c>
      <c r="AO513" s="3">
        <v>2.8005301475887374</v>
      </c>
      <c r="AP513" s="3">
        <v>2.7725248461128502</v>
      </c>
      <c r="AQ513" s="3">
        <v>2.7725248461128502</v>
      </c>
      <c r="AR513" s="3">
        <v>2.7725248461128502</v>
      </c>
      <c r="AS513" s="3">
        <v>2.7725248461128502</v>
      </c>
      <c r="AT513" s="2"/>
      <c r="AU513" s="2"/>
    </row>
    <row r="514" spans="1:47" hidden="1" outlineLevel="1">
      <c r="A514" s="308"/>
      <c r="B514" s="313" t="s">
        <v>271</v>
      </c>
      <c r="C514" s="310" t="s">
        <v>733</v>
      </c>
      <c r="D514" s="310"/>
      <c r="E514" s="310"/>
      <c r="F514" s="310"/>
      <c r="G514" s="310"/>
      <c r="H514" s="310"/>
      <c r="I514" s="310"/>
      <c r="J514" s="310"/>
      <c r="K514" s="311"/>
      <c r="L514" s="311"/>
      <c r="M514" s="311"/>
      <c r="N514" s="311"/>
      <c r="O514" s="311"/>
      <c r="P514" s="311"/>
      <c r="Q514" s="312">
        <v>0</v>
      </c>
      <c r="R514" s="312">
        <v>0</v>
      </c>
      <c r="S514" s="312">
        <v>0.65104069969794687</v>
      </c>
      <c r="T514" s="312">
        <v>0.49332320992603262</v>
      </c>
      <c r="U514" s="312">
        <v>0.39408607808060608</v>
      </c>
      <c r="V514" s="313">
        <v>0.42447629547960308</v>
      </c>
      <c r="W514" s="313">
        <v>0.49361309887370763</v>
      </c>
      <c r="X514" s="313">
        <v>0.46493055612169459</v>
      </c>
      <c r="Y514" s="313">
        <v>0.42184453962419644</v>
      </c>
      <c r="Z514" s="313">
        <v>0.3949052576119978</v>
      </c>
      <c r="AA514" s="313">
        <v>0.11608386689886888</v>
      </c>
      <c r="AB514" s="313">
        <v>6.65535981176342E-2</v>
      </c>
      <c r="AC514" s="313">
        <v>6.5080959604517846E-2</v>
      </c>
      <c r="AD514" s="743">
        <v>5.9855994974549E-2</v>
      </c>
      <c r="AE514" s="317">
        <v>5.9855994974549E-2</v>
      </c>
      <c r="AF514" s="317">
        <v>5.9855994974549E-2</v>
      </c>
      <c r="AG514" s="317">
        <v>5.9855994974549E-2</v>
      </c>
      <c r="AH514" s="317">
        <v>5.9855994974549E-2</v>
      </c>
      <c r="AI514" s="317">
        <v>5.9855994974549E-2</v>
      </c>
      <c r="AJ514" s="317">
        <v>5.9855994974549E-2</v>
      </c>
      <c r="AK514" s="317">
        <v>5.9855994974549E-2</v>
      </c>
      <c r="AL514" s="317">
        <v>5.9855994974549E-2</v>
      </c>
      <c r="AM514" s="317">
        <v>5.9855994974549E-2</v>
      </c>
      <c r="AN514" s="317">
        <v>5.9855994974549E-2</v>
      </c>
      <c r="AO514" s="318">
        <v>5.9855994974549E-2</v>
      </c>
      <c r="AP514" s="318">
        <v>5.9855994974549E-2</v>
      </c>
      <c r="AQ514" s="318">
        <v>5.9855994974549E-2</v>
      </c>
      <c r="AR514" s="318">
        <v>5.9855994974549E-2</v>
      </c>
      <c r="AS514" s="318">
        <v>5.9855994974549E-2</v>
      </c>
      <c r="AT514" s="312"/>
      <c r="AU514" s="514"/>
    </row>
    <row r="515" spans="1:47" hidden="1" outlineLevel="1">
      <c r="A515" s="298"/>
      <c r="B515" s="2"/>
      <c r="C515" s="18"/>
      <c r="D515" s="18"/>
      <c r="E515" s="18"/>
      <c r="F515" s="18"/>
      <c r="G515" s="18"/>
      <c r="H515" s="18"/>
      <c r="I515" s="18"/>
      <c r="J515" s="18"/>
      <c r="K515" s="7"/>
      <c r="L515" s="7"/>
      <c r="M515" s="7"/>
      <c r="N515" s="7"/>
      <c r="O515" s="7"/>
      <c r="P515" s="7"/>
      <c r="Q515" s="7"/>
      <c r="R515" s="7"/>
      <c r="S515" s="7"/>
      <c r="T515" s="7"/>
      <c r="U515" s="7"/>
      <c r="V515" s="7"/>
      <c r="W515" s="7"/>
      <c r="X515" s="7"/>
      <c r="Y515" s="7"/>
      <c r="Z515" s="7"/>
      <c r="AA515" s="7"/>
      <c r="AB515" s="29"/>
      <c r="AC515" s="29"/>
      <c r="AD515" s="3"/>
      <c r="AE515" s="42"/>
      <c r="AF515" s="7"/>
      <c r="AG515" s="7"/>
      <c r="AH515" s="7"/>
      <c r="AI515" s="7"/>
      <c r="AJ515" s="7"/>
      <c r="AK515" s="7"/>
      <c r="AL515" s="7"/>
      <c r="AM515" s="7"/>
      <c r="AN515" s="7"/>
      <c r="AO515" s="7"/>
      <c r="AP515" s="7"/>
      <c r="AQ515" s="7"/>
      <c r="AR515" s="7"/>
      <c r="AS515" s="7"/>
      <c r="AT515" s="2"/>
      <c r="AU515" s="2"/>
    </row>
    <row r="516" spans="1:47" hidden="1" outlineLevel="1">
      <c r="A516" s="298"/>
      <c r="B516" s="6" t="s">
        <v>254</v>
      </c>
      <c r="C516" s="18"/>
      <c r="D516" s="18"/>
      <c r="E516" s="18"/>
      <c r="F516" s="18"/>
      <c r="G516" s="18"/>
      <c r="H516" s="18"/>
      <c r="I516" s="18"/>
      <c r="J516" s="18"/>
      <c r="K516" s="7"/>
      <c r="L516" s="7"/>
      <c r="M516" s="7"/>
      <c r="N516" s="7"/>
      <c r="O516" s="7"/>
      <c r="P516" s="7"/>
      <c r="Q516" s="7"/>
      <c r="R516" s="7"/>
      <c r="S516" s="7"/>
      <c r="T516" s="7"/>
      <c r="U516" s="7"/>
      <c r="V516" s="7"/>
      <c r="W516" s="7"/>
      <c r="X516" s="7"/>
      <c r="Y516" s="7"/>
      <c r="Z516" s="7"/>
      <c r="AA516" s="7"/>
      <c r="AB516" s="7"/>
      <c r="AC516" s="7"/>
      <c r="AD516" s="7"/>
      <c r="AE516" s="7"/>
      <c r="AF516" s="7"/>
      <c r="AG516" s="7"/>
      <c r="AH516" s="7"/>
      <c r="AI516" s="7"/>
      <c r="AJ516" s="7"/>
      <c r="AK516" s="7"/>
      <c r="AL516" s="7"/>
      <c r="AM516" s="7"/>
      <c r="AN516" s="7"/>
      <c r="AO516" s="7"/>
      <c r="AP516" s="7"/>
      <c r="AQ516" s="7"/>
      <c r="AR516" s="7"/>
      <c r="AS516" s="7"/>
      <c r="AT516" s="2"/>
      <c r="AU516" s="2"/>
    </row>
    <row r="517" spans="1:47" hidden="1" outlineLevel="1">
      <c r="A517" s="298"/>
      <c r="B517" s="55" t="s">
        <v>670</v>
      </c>
      <c r="C517" s="18" t="s">
        <v>180</v>
      </c>
      <c r="D517" s="18"/>
      <c r="E517" s="18"/>
      <c r="F517" s="18"/>
      <c r="G517" s="18"/>
      <c r="H517" s="18"/>
      <c r="I517" s="18"/>
      <c r="J517" s="18"/>
      <c r="K517" s="533">
        <v>0.08</v>
      </c>
      <c r="L517" s="42"/>
      <c r="M517" s="42"/>
      <c r="N517" s="42"/>
      <c r="O517" s="42"/>
      <c r="P517" s="42"/>
      <c r="Q517" s="42"/>
      <c r="R517" s="42"/>
      <c r="S517" s="42"/>
      <c r="T517" s="42"/>
      <c r="U517" s="42"/>
      <c r="V517" s="42"/>
      <c r="W517" s="42"/>
      <c r="X517" s="42"/>
      <c r="Y517" s="42"/>
      <c r="Z517" s="42"/>
      <c r="AA517" s="42"/>
      <c r="AB517" s="42"/>
      <c r="AC517" s="42"/>
      <c r="AD517" s="42"/>
      <c r="AE517" s="42"/>
      <c r="AF517" s="42"/>
      <c r="AG517" s="42"/>
      <c r="AH517" s="42"/>
      <c r="AI517" s="42"/>
      <c r="AJ517" s="42"/>
      <c r="AK517" s="42"/>
      <c r="AL517" s="42"/>
      <c r="AM517" s="42"/>
      <c r="AN517" s="42"/>
      <c r="AO517" s="42"/>
      <c r="AP517" s="42"/>
      <c r="AQ517" s="42"/>
      <c r="AR517" s="42"/>
      <c r="AS517" s="42"/>
      <c r="AT517" s="2"/>
      <c r="AU517" s="2"/>
    </row>
    <row r="518" spans="1:47" hidden="1" outlineLevel="1">
      <c r="A518" s="298"/>
      <c r="B518" s="55" t="s">
        <v>671</v>
      </c>
      <c r="C518" s="18" t="s">
        <v>180</v>
      </c>
      <c r="D518" s="18"/>
      <c r="E518" s="18"/>
      <c r="F518" s="18"/>
      <c r="G518" s="18"/>
      <c r="H518" s="18"/>
      <c r="I518" s="18"/>
      <c r="J518" s="18"/>
      <c r="K518" s="533">
        <v>0.28000000000000003</v>
      </c>
      <c r="L518" s="533">
        <v>0.46400000000000002</v>
      </c>
      <c r="M518" s="533">
        <v>0.59599999999999997</v>
      </c>
      <c r="N518" s="533">
        <v>0.75700000000000001</v>
      </c>
      <c r="O518" s="533">
        <v>0.95099999999999996</v>
      </c>
      <c r="P518" s="533">
        <v>1.333</v>
      </c>
      <c r="Q518" s="533">
        <v>1.744</v>
      </c>
      <c r="R518" s="533">
        <v>1.262</v>
      </c>
      <c r="S518" s="533">
        <v>0</v>
      </c>
      <c r="T518" s="42"/>
      <c r="U518" s="42"/>
      <c r="V518" s="42"/>
      <c r="W518" s="42"/>
      <c r="X518" s="42"/>
      <c r="Y518" s="42"/>
      <c r="Z518" s="42"/>
      <c r="AA518" s="42"/>
      <c r="AB518" s="42"/>
      <c r="AC518" s="42"/>
      <c r="AD518" s="42"/>
      <c r="AE518" s="42"/>
      <c r="AF518" s="42"/>
      <c r="AG518" s="42"/>
      <c r="AH518" s="42"/>
      <c r="AI518" s="42"/>
      <c r="AJ518" s="42"/>
      <c r="AK518" s="42"/>
      <c r="AL518" s="42"/>
      <c r="AM518" s="42"/>
      <c r="AN518" s="42"/>
      <c r="AO518" s="42"/>
      <c r="AP518" s="42"/>
      <c r="AQ518" s="42"/>
      <c r="AR518" s="42"/>
      <c r="AS518" s="42"/>
      <c r="AT518" s="2"/>
      <c r="AU518" s="2"/>
    </row>
    <row r="519" spans="1:47" hidden="1" outlineLevel="1">
      <c r="A519" s="298"/>
      <c r="B519" s="55" t="s">
        <v>672</v>
      </c>
      <c r="C519" s="18" t="s">
        <v>180</v>
      </c>
      <c r="D519" s="18"/>
      <c r="E519" s="18"/>
      <c r="F519" s="18"/>
      <c r="G519" s="18"/>
      <c r="H519" s="18"/>
      <c r="I519" s="18"/>
      <c r="J519" s="18"/>
      <c r="K519" s="533">
        <v>3.766</v>
      </c>
      <c r="L519" s="533">
        <v>4.7119999999999997</v>
      </c>
      <c r="M519" s="533">
        <v>5.3460000000000001</v>
      </c>
      <c r="N519" s="533">
        <v>5.8120000000000003</v>
      </c>
      <c r="O519" s="533">
        <v>6.6529999999999996</v>
      </c>
      <c r="P519" s="533">
        <v>6.8940000000000001</v>
      </c>
      <c r="Q519" s="533">
        <v>6.468</v>
      </c>
      <c r="R519" s="533">
        <v>5.9470000000000001</v>
      </c>
      <c r="S519" s="533">
        <v>4.9829999999999997</v>
      </c>
      <c r="T519" s="42">
        <v>3.8630000000000004</v>
      </c>
      <c r="U519" s="42">
        <v>2.4239999999999995</v>
      </c>
      <c r="V519" s="42"/>
      <c r="W519" s="42"/>
      <c r="X519" s="42"/>
      <c r="Y519" s="42"/>
      <c r="Z519" s="42"/>
      <c r="AA519" s="42"/>
      <c r="AB519" s="42"/>
      <c r="AC519" s="42"/>
      <c r="AD519" s="42"/>
      <c r="AE519" s="42"/>
      <c r="AF519" s="42"/>
      <c r="AG519" s="42"/>
      <c r="AH519" s="42"/>
      <c r="AI519" s="42"/>
      <c r="AJ519" s="42"/>
      <c r="AK519" s="42"/>
      <c r="AL519" s="42"/>
      <c r="AM519" s="42"/>
      <c r="AN519" s="42"/>
      <c r="AO519" s="42"/>
      <c r="AP519" s="42"/>
      <c r="AQ519" s="42"/>
      <c r="AR519" s="42"/>
      <c r="AS519" s="42"/>
      <c r="AT519" s="2"/>
      <c r="AU519" s="2"/>
    </row>
    <row r="520" spans="1:47" hidden="1" outlineLevel="1">
      <c r="A520" s="298"/>
      <c r="B520" s="57" t="s">
        <v>253</v>
      </c>
      <c r="C520" s="22" t="s">
        <v>180</v>
      </c>
      <c r="D520" s="22"/>
      <c r="E520" s="22"/>
      <c r="F520" s="22"/>
      <c r="G520" s="22"/>
      <c r="H520" s="22"/>
      <c r="I520" s="22"/>
      <c r="J520" s="22"/>
      <c r="K520" s="44"/>
      <c r="L520" s="44"/>
      <c r="M520" s="44"/>
      <c r="N520" s="44"/>
      <c r="O520" s="44"/>
      <c r="P520" s="44"/>
      <c r="Q520" s="546">
        <v>0.317</v>
      </c>
      <c r="R520" s="546">
        <v>2.0030000000000001</v>
      </c>
      <c r="S520" s="546">
        <v>4.3520000000000003</v>
      </c>
      <c r="T520" s="546">
        <v>6.3280000000000003</v>
      </c>
      <c r="U520" s="546">
        <v>8.1310000000000002</v>
      </c>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2"/>
      <c r="AU520" s="2"/>
    </row>
    <row r="521" spans="1:47" hidden="1" outlineLevel="1">
      <c r="A521" s="298"/>
      <c r="B521" s="55"/>
      <c r="C521" s="18"/>
      <c r="D521" s="18"/>
      <c r="E521" s="18"/>
      <c r="F521" s="18"/>
      <c r="G521" s="18"/>
      <c r="H521" s="18"/>
      <c r="I521" s="18"/>
      <c r="J521" s="18"/>
      <c r="K521" s="42"/>
      <c r="L521" s="42"/>
      <c r="M521" s="42"/>
      <c r="N521" s="42"/>
      <c r="O521" s="42"/>
      <c r="P521" s="42"/>
      <c r="Q521" s="533"/>
      <c r="R521" s="533"/>
      <c r="S521" s="533"/>
      <c r="T521" s="533"/>
      <c r="U521" s="533"/>
      <c r="V521" s="42"/>
      <c r="W521" s="42"/>
      <c r="X521" s="42"/>
      <c r="Y521" s="42"/>
      <c r="Z521" s="42"/>
      <c r="AA521" s="42"/>
      <c r="AB521" s="42"/>
      <c r="AC521" s="42"/>
      <c r="AD521" s="42"/>
      <c r="AE521" s="42"/>
      <c r="AF521" s="42"/>
      <c r="AG521" s="42"/>
      <c r="AH521" s="42"/>
      <c r="AI521" s="42"/>
      <c r="AJ521" s="42"/>
      <c r="AK521" s="42"/>
      <c r="AL521" s="42"/>
      <c r="AM521" s="42"/>
      <c r="AN521" s="42"/>
      <c r="AO521" s="42"/>
      <c r="AP521" s="42"/>
      <c r="AQ521" s="42"/>
      <c r="AR521" s="42"/>
      <c r="AS521" s="42"/>
      <c r="AT521" s="2"/>
      <c r="AU521" s="2"/>
    </row>
    <row r="522" spans="1:47" hidden="1" outlineLevel="1">
      <c r="A522" s="298"/>
      <c r="B522" s="59" t="s">
        <v>786</v>
      </c>
      <c r="C522" s="14" t="s">
        <v>180</v>
      </c>
      <c r="D522" s="18"/>
      <c r="E522" s="18"/>
      <c r="F522" s="18"/>
      <c r="G522" s="18"/>
      <c r="H522" s="18"/>
      <c r="I522" s="18"/>
      <c r="J522" s="18"/>
      <c r="K522" s="42">
        <v>4.1260000000000003</v>
      </c>
      <c r="L522" s="42">
        <v>5.1760000000000002</v>
      </c>
      <c r="M522" s="42">
        <v>5.9420000000000002</v>
      </c>
      <c r="N522" s="42">
        <v>6.5689999999999991</v>
      </c>
      <c r="O522" s="42">
        <v>7.6039999999999992</v>
      </c>
      <c r="P522" s="42">
        <v>8.2270000000000003</v>
      </c>
      <c r="Q522" s="42">
        <v>8.5289999999999999</v>
      </c>
      <c r="R522" s="42">
        <v>9.2119999999999997</v>
      </c>
      <c r="S522" s="42">
        <v>9.3350000000000009</v>
      </c>
      <c r="T522" s="42">
        <v>10.191000000000001</v>
      </c>
      <c r="U522" s="42">
        <v>10.016</v>
      </c>
      <c r="V522" s="42">
        <v>11.565000000000001</v>
      </c>
      <c r="W522" s="42">
        <v>13.006</v>
      </c>
      <c r="X522" s="42">
        <v>14.101999999999999</v>
      </c>
      <c r="Y522" s="42">
        <v>14.649337953333122</v>
      </c>
      <c r="Z522" s="28">
        <v>15.125999999999998</v>
      </c>
      <c r="AA522" s="28">
        <v>15.295</v>
      </c>
      <c r="AB522" s="28">
        <v>15.185999999999998</v>
      </c>
      <c r="AC522" s="28">
        <v>15.145000000000001</v>
      </c>
      <c r="AD522" s="28">
        <v>15.206000000000001</v>
      </c>
      <c r="AE522" s="28">
        <v>14.991</v>
      </c>
      <c r="AF522" s="28">
        <v>14.795</v>
      </c>
      <c r="AG522" s="28">
        <v>15.114000000000001</v>
      </c>
      <c r="AH522" s="28">
        <v>15.133406484375</v>
      </c>
      <c r="AI522" s="28">
        <v>15.236098734375002</v>
      </c>
      <c r="AJ522" s="28">
        <v>15.3635375025</v>
      </c>
      <c r="AK522" s="28">
        <v>15.516872398912499</v>
      </c>
      <c r="AL522" s="28">
        <v>15.67415745049275</v>
      </c>
      <c r="AM522" s="28">
        <v>15.835462825771708</v>
      </c>
      <c r="AN522" s="28">
        <v>16.000860184996682</v>
      </c>
      <c r="AO522" s="28">
        <v>16.170422709082189</v>
      </c>
      <c r="AP522" s="28">
        <v>16.344225129148668</v>
      </c>
      <c r="AQ522" s="28">
        <v>16.344225129148668</v>
      </c>
      <c r="AR522" s="28">
        <v>16.344225129148668</v>
      </c>
      <c r="AS522" s="28">
        <v>16.344225129148668</v>
      </c>
      <c r="AT522" s="2"/>
      <c r="AU522" s="2"/>
    </row>
    <row r="523" spans="1:47" hidden="1" outlineLevel="1">
      <c r="A523" s="298"/>
      <c r="B523" s="59"/>
      <c r="C523" s="18"/>
      <c r="D523" s="18"/>
      <c r="E523" s="18"/>
      <c r="F523" s="18"/>
      <c r="G523" s="18"/>
      <c r="H523" s="18"/>
      <c r="I523" s="18"/>
      <c r="J523" s="18"/>
      <c r="K523" s="42"/>
      <c r="L523" s="7">
        <v>0.25448376151236052</v>
      </c>
      <c r="M523" s="7">
        <v>0.14799072642967537</v>
      </c>
      <c r="N523" s="7">
        <v>0.1055200269269605</v>
      </c>
      <c r="O523" s="7">
        <v>0.15755822804079767</v>
      </c>
      <c r="P523" s="7">
        <v>8.1930562861652012E-2</v>
      </c>
      <c r="Q523" s="7">
        <v>3.6708399173453143E-2</v>
      </c>
      <c r="R523" s="7">
        <v>8.0079727986868354E-2</v>
      </c>
      <c r="S523" s="7">
        <v>1.3352149370386535E-2</v>
      </c>
      <c r="T523" s="7">
        <v>9.1697911087305739E-2</v>
      </c>
      <c r="U523" s="7">
        <v>-1.7172014522618073E-2</v>
      </c>
      <c r="V523" s="7">
        <v>0.15465255591054317</v>
      </c>
      <c r="W523" s="7">
        <v>0.12460008646779075</v>
      </c>
      <c r="X523" s="7">
        <v>8.4268799015838614E-2</v>
      </c>
      <c r="Y523" s="7">
        <v>3.8812789202462339E-2</v>
      </c>
      <c r="Z523" s="7">
        <v>3.253812890284391E-2</v>
      </c>
      <c r="AA523" s="7">
        <v>1.1172815020494609E-2</v>
      </c>
      <c r="AB523" s="7">
        <v>-7.1265119320040871E-3</v>
      </c>
      <c r="AC523" s="7">
        <v>-2.6998551297244822E-3</v>
      </c>
      <c r="AD523" s="7">
        <v>4.0277319247277177E-3</v>
      </c>
      <c r="AE523" s="7">
        <v>-1.4139155596475161E-2</v>
      </c>
      <c r="AF523" s="7">
        <v>-1.3074511373490694E-2</v>
      </c>
      <c r="AG523" s="7">
        <v>2.1561338289962872E-2</v>
      </c>
      <c r="AH523" s="7">
        <v>1.2840071705040312E-3</v>
      </c>
      <c r="AI523" s="7">
        <v>6.7857986968122841E-3</v>
      </c>
      <c r="AJ523" s="7">
        <v>8.3642650488655601E-3</v>
      </c>
      <c r="AK523" s="7">
        <v>9.9804420946378869E-3</v>
      </c>
      <c r="AL523" s="7">
        <v>1.0136388799026008E-2</v>
      </c>
      <c r="AM523" s="7">
        <v>1.0291167215108477E-2</v>
      </c>
      <c r="AN523" s="7">
        <v>1.0444744245541981E-2</v>
      </c>
      <c r="AO523" s="7">
        <v>1.0597088039335345E-2</v>
      </c>
      <c r="AP523" s="7">
        <v>1.0748168009786285E-2</v>
      </c>
      <c r="AQ523" s="7">
        <v>1.0748168009786285E-2</v>
      </c>
      <c r="AR523" s="7">
        <v>1.0748168009786285E-2</v>
      </c>
      <c r="AS523" s="7">
        <v>1.0748168009786285E-2</v>
      </c>
      <c r="AT523" s="2"/>
      <c r="AU523" s="2"/>
    </row>
    <row r="524" spans="1:47" hidden="1" outlineLevel="1">
      <c r="A524" s="298"/>
      <c r="B524" s="55" t="s">
        <v>255</v>
      </c>
      <c r="C524" s="18" t="s">
        <v>180</v>
      </c>
      <c r="D524" s="18"/>
      <c r="E524" s="18"/>
      <c r="F524" s="18"/>
      <c r="G524" s="18"/>
      <c r="H524" s="18"/>
      <c r="I524" s="18"/>
      <c r="J524" s="18"/>
      <c r="K524" s="117"/>
      <c r="L524" s="42">
        <v>4.6509999999999998</v>
      </c>
      <c r="M524" s="42">
        <v>5.5590000000000002</v>
      </c>
      <c r="N524" s="42">
        <v>6.2554999999999996</v>
      </c>
      <c r="O524" s="42">
        <v>7.0864999999999991</v>
      </c>
      <c r="P524" s="42">
        <v>7.9154999999999998</v>
      </c>
      <c r="Q524" s="42">
        <v>8.3780000000000001</v>
      </c>
      <c r="R524" s="42">
        <v>8.8704999999999998</v>
      </c>
      <c r="S524" s="42">
        <v>9.2735000000000003</v>
      </c>
      <c r="T524" s="42">
        <v>9.7630000000000017</v>
      </c>
      <c r="U524" s="42">
        <v>10.1035</v>
      </c>
      <c r="V524" s="42">
        <v>10.790500000000002</v>
      </c>
      <c r="W524" s="42">
        <v>12.285500000000001</v>
      </c>
      <c r="X524" s="42">
        <v>13.553999999999998</v>
      </c>
      <c r="Y524" s="42">
        <v>14.37566897666656</v>
      </c>
      <c r="Z524" s="42">
        <v>14.887668976666561</v>
      </c>
      <c r="AA524" s="42">
        <v>15.2105</v>
      </c>
      <c r="AB524" s="42">
        <v>15.240499999999999</v>
      </c>
      <c r="AC524" s="42">
        <v>15.1655</v>
      </c>
      <c r="AD524" s="42">
        <v>15.175500000000001</v>
      </c>
      <c r="AE524" s="42">
        <v>15.098500000000001</v>
      </c>
      <c r="AF524" s="42">
        <v>14.893000000000001</v>
      </c>
      <c r="AG524" s="42">
        <v>14.954499999999999</v>
      </c>
      <c r="AH524" s="42">
        <v>15.123703242187499</v>
      </c>
      <c r="AI524" s="42">
        <v>15.184752609375</v>
      </c>
      <c r="AJ524" s="42">
        <v>15.2998181184375</v>
      </c>
      <c r="AK524" s="42">
        <v>15.440204950706249</v>
      </c>
      <c r="AL524" s="42">
        <v>15.595514924702623</v>
      </c>
      <c r="AM524" s="42">
        <v>15.754810138132228</v>
      </c>
      <c r="AN524" s="42">
        <v>15.918161505384194</v>
      </c>
      <c r="AO524" s="42">
        <v>16.085641447039436</v>
      </c>
      <c r="AP524" s="42">
        <v>16.257323919115429</v>
      </c>
      <c r="AQ524" s="42">
        <v>16.257323919115429</v>
      </c>
      <c r="AR524" s="42">
        <v>16.257323919115429</v>
      </c>
      <c r="AS524" s="42">
        <v>16.257323919115429</v>
      </c>
      <c r="AT524" s="2"/>
      <c r="AU524" s="2"/>
    </row>
    <row r="525" spans="1:47" hidden="1" outlineLevel="1">
      <c r="A525" s="298"/>
      <c r="B525" s="55"/>
      <c r="C525" s="18"/>
      <c r="D525" s="18"/>
      <c r="E525" s="18"/>
      <c r="F525" s="18"/>
      <c r="G525" s="18"/>
      <c r="H525" s="18"/>
      <c r="I525" s="18"/>
      <c r="J525" s="18"/>
      <c r="K525" s="7"/>
      <c r="L525" s="7"/>
      <c r="M525" s="7"/>
      <c r="N525" s="7"/>
      <c r="O525" s="7"/>
      <c r="P525" s="7"/>
      <c r="Q525" s="7"/>
      <c r="R525" s="7"/>
      <c r="S525" s="7"/>
      <c r="T525" s="7"/>
      <c r="U525" s="7"/>
      <c r="V525" s="7"/>
      <c r="W525" s="7"/>
      <c r="X525" s="7"/>
      <c r="Y525" s="7"/>
      <c r="Z525" s="7"/>
      <c r="AA525" s="7"/>
      <c r="AB525" s="7"/>
      <c r="AC525" s="7"/>
      <c r="AD525" s="7"/>
      <c r="AE525" s="7"/>
      <c r="AF525" s="7"/>
      <c r="AG525" s="7"/>
      <c r="AH525" s="7"/>
      <c r="AI525" s="7"/>
      <c r="AJ525" s="7"/>
      <c r="AK525" s="7"/>
      <c r="AL525" s="7"/>
      <c r="AM525" s="7"/>
      <c r="AN525" s="7"/>
      <c r="AO525" s="7"/>
      <c r="AP525" s="7"/>
      <c r="AQ525" s="7"/>
      <c r="AR525" s="7"/>
      <c r="AS525" s="7"/>
      <c r="AT525" s="2"/>
      <c r="AU525" s="2"/>
    </row>
    <row r="526" spans="1:47" hidden="1" outlineLevel="1">
      <c r="A526" s="357"/>
      <c r="B526" s="367" t="s">
        <v>635</v>
      </c>
      <c r="C526" s="357" t="s">
        <v>180</v>
      </c>
      <c r="D526" s="357"/>
      <c r="E526" s="357"/>
      <c r="F526" s="357"/>
      <c r="G526" s="357"/>
      <c r="H526" s="357"/>
      <c r="I526" s="357"/>
      <c r="J526" s="357"/>
      <c r="K526" s="359"/>
      <c r="L526" s="359"/>
      <c r="M526" s="359"/>
      <c r="N526" s="359"/>
      <c r="O526" s="359"/>
      <c r="P526" s="359"/>
      <c r="Q526" s="359"/>
      <c r="R526" s="359"/>
      <c r="S526" s="359"/>
      <c r="T526" s="359"/>
      <c r="U526" s="359"/>
      <c r="V526" s="359"/>
      <c r="W526" s="525">
        <v>2.5000000000000001E-2</v>
      </c>
      <c r="X526" s="525">
        <v>2.7E-2</v>
      </c>
      <c r="Y526" s="525">
        <v>0.03</v>
      </c>
      <c r="Z526" s="525">
        <v>0.03</v>
      </c>
      <c r="AA526" s="525">
        <v>2.9000000000000001E-2</v>
      </c>
      <c r="AB526" s="525">
        <v>3.2000000000000001E-2</v>
      </c>
      <c r="AC526" s="525">
        <v>3.2000000000000001E-2</v>
      </c>
      <c r="AD526" s="525">
        <v>3.2000000000000001E-2</v>
      </c>
      <c r="AE526" s="525">
        <v>0.03</v>
      </c>
      <c r="AF526" s="359">
        <v>2.8124999999999997E-2</v>
      </c>
      <c r="AG526" s="359">
        <v>2.6367187499999997E-2</v>
      </c>
      <c r="AH526" s="359">
        <v>2.4719238281249997E-2</v>
      </c>
      <c r="AI526" s="359">
        <v>2.3174285888671872E-2</v>
      </c>
      <c r="AJ526" s="359">
        <v>2.1725893020629879E-2</v>
      </c>
      <c r="AK526" s="359">
        <v>2.0368024706840512E-2</v>
      </c>
      <c r="AL526" s="359">
        <v>1.9095023162662979E-2</v>
      </c>
      <c r="AM526" s="359">
        <v>1.7901584214996543E-2</v>
      </c>
      <c r="AN526" s="359">
        <v>1.6782735201559259E-2</v>
      </c>
      <c r="AO526" s="359">
        <v>1.5733814251461805E-2</v>
      </c>
      <c r="AP526" s="359">
        <v>1.4750450860745442E-2</v>
      </c>
      <c r="AQ526" s="359">
        <v>1.4750450860745442E-2</v>
      </c>
      <c r="AR526" s="359">
        <v>1.4750450860745442E-2</v>
      </c>
      <c r="AS526" s="359">
        <v>1.4750450860745442E-2</v>
      </c>
      <c r="AT526" s="360"/>
      <c r="AU526" s="360"/>
    </row>
    <row r="527" spans="1:47" hidden="1" outlineLevel="1">
      <c r="A527" s="308"/>
      <c r="B527" s="347" t="s">
        <v>1099</v>
      </c>
      <c r="C527" s="310" t="s">
        <v>733</v>
      </c>
      <c r="D527" s="310"/>
      <c r="E527" s="310"/>
      <c r="F527" s="310"/>
      <c r="G527" s="310"/>
      <c r="H527" s="310"/>
      <c r="I527" s="310"/>
      <c r="J527" s="310"/>
      <c r="K527" s="311"/>
      <c r="L527" s="311"/>
      <c r="M527" s="311"/>
      <c r="N527" s="311"/>
      <c r="O527" s="311"/>
      <c r="P527" s="311"/>
      <c r="Q527" s="311"/>
      <c r="R527" s="311"/>
      <c r="S527" s="311"/>
      <c r="T527" s="311"/>
      <c r="U527" s="311"/>
      <c r="V527" s="311"/>
      <c r="W527" s="311"/>
      <c r="X527" s="311">
        <v>7.9999999999999849E-2</v>
      </c>
      <c r="Y527" s="311">
        <v>0.11111111111111116</v>
      </c>
      <c r="Z527" s="311">
        <v>0</v>
      </c>
      <c r="AA527" s="311">
        <v>-3.3333333333333215E-2</v>
      </c>
      <c r="AB527" s="311">
        <v>0.10344827586206895</v>
      </c>
      <c r="AC527" s="311">
        <v>0</v>
      </c>
      <c r="AD527" s="311">
        <v>0</v>
      </c>
      <c r="AE527" s="311">
        <v>-6.25E-2</v>
      </c>
      <c r="AF527" s="623">
        <v>-6.25E-2</v>
      </c>
      <c r="AG527" s="623">
        <v>-6.25E-2</v>
      </c>
      <c r="AH527" s="623">
        <v>-6.25E-2</v>
      </c>
      <c r="AI527" s="623">
        <v>-6.25E-2</v>
      </c>
      <c r="AJ527" s="623">
        <v>-6.25E-2</v>
      </c>
      <c r="AK527" s="623">
        <v>-6.25E-2</v>
      </c>
      <c r="AL527" s="623">
        <v>-6.25E-2</v>
      </c>
      <c r="AM527" s="623">
        <v>-6.25E-2</v>
      </c>
      <c r="AN527" s="623">
        <v>-6.25E-2</v>
      </c>
      <c r="AO527" s="623">
        <v>-6.25E-2</v>
      </c>
      <c r="AP527" s="623">
        <v>-6.25E-2</v>
      </c>
      <c r="AQ527" s="623">
        <v>-6.25E-2</v>
      </c>
      <c r="AR527" s="623">
        <v>-6.25E-2</v>
      </c>
      <c r="AS527" s="623">
        <v>-6.25E-2</v>
      </c>
      <c r="AT527" s="312"/>
      <c r="AU527" s="514"/>
    </row>
    <row r="528" spans="1:47" hidden="1" outlineLevel="1">
      <c r="A528" s="357"/>
      <c r="B528" s="370" t="s">
        <v>1205</v>
      </c>
      <c r="C528" s="357" t="s">
        <v>180</v>
      </c>
      <c r="D528" s="357"/>
      <c r="E528" s="357"/>
      <c r="F528" s="357"/>
      <c r="G528" s="357"/>
      <c r="H528" s="357"/>
      <c r="I528" s="357"/>
      <c r="J528" s="357"/>
      <c r="K528" s="359"/>
      <c r="L528" s="359"/>
      <c r="M528" s="359"/>
      <c r="N528" s="359"/>
      <c r="O528" s="359"/>
      <c r="P528" s="359"/>
      <c r="Q528" s="359"/>
      <c r="R528" s="359"/>
      <c r="S528" s="359"/>
      <c r="T528" s="359"/>
      <c r="U528" s="359"/>
      <c r="V528" s="359"/>
      <c r="W528" s="359"/>
      <c r="X528" s="359">
        <v>2.6000000000000002E-2</v>
      </c>
      <c r="Y528" s="359">
        <v>2.8499999999999998E-2</v>
      </c>
      <c r="Z528" s="359">
        <v>0.03</v>
      </c>
      <c r="AA528" s="359">
        <v>2.9499999999999998E-2</v>
      </c>
      <c r="AB528" s="359">
        <v>3.0499999999999999E-2</v>
      </c>
      <c r="AC528" s="359">
        <v>3.2000000000000001E-2</v>
      </c>
      <c r="AD528" s="359">
        <v>3.2000000000000001E-2</v>
      </c>
      <c r="AE528" s="359">
        <v>3.1E-2</v>
      </c>
      <c r="AF528" s="359">
        <v>2.9062499999999998E-2</v>
      </c>
      <c r="AG528" s="359">
        <v>2.7246093749999999E-2</v>
      </c>
      <c r="AH528" s="359">
        <v>2.5543212890624997E-2</v>
      </c>
      <c r="AI528" s="359">
        <v>2.3946762084960934E-2</v>
      </c>
      <c r="AJ528" s="359">
        <v>2.2450089454650875E-2</v>
      </c>
      <c r="AK528" s="359">
        <v>2.1046958863735196E-2</v>
      </c>
      <c r="AL528" s="359">
        <v>1.9731523934751746E-2</v>
      </c>
      <c r="AM528" s="359">
        <v>1.8498303688829761E-2</v>
      </c>
      <c r="AN528" s="359">
        <v>1.7342159708277901E-2</v>
      </c>
      <c r="AO528" s="359">
        <v>1.6258274726510532E-2</v>
      </c>
      <c r="AP528" s="359">
        <v>1.5242132556103623E-2</v>
      </c>
      <c r="AQ528" s="359">
        <v>1.5242132556103623E-2</v>
      </c>
      <c r="AR528" s="359">
        <v>1.5242132556103623E-2</v>
      </c>
      <c r="AS528" s="359">
        <v>1.5242132556103623E-2</v>
      </c>
      <c r="AT528" s="360"/>
      <c r="AU528" s="360"/>
    </row>
    <row r="529" spans="1:47" hidden="1" outlineLevel="1">
      <c r="A529" s="298"/>
      <c r="B529" s="336"/>
      <c r="C529" s="18"/>
      <c r="D529" s="18"/>
      <c r="E529" s="18"/>
      <c r="F529" s="18"/>
      <c r="G529" s="18"/>
      <c r="H529" s="18"/>
      <c r="I529" s="18"/>
      <c r="J529" s="18"/>
      <c r="K529" s="7"/>
      <c r="L529" s="7"/>
      <c r="M529" s="7"/>
      <c r="N529" s="7"/>
      <c r="O529" s="7"/>
      <c r="P529" s="7"/>
      <c r="Q529" s="7"/>
      <c r="R529" s="7"/>
      <c r="S529" s="7"/>
      <c r="T529" s="7"/>
      <c r="U529" s="7"/>
      <c r="V529" s="7"/>
      <c r="W529" s="7"/>
      <c r="X529" s="7"/>
      <c r="Y529" s="7"/>
      <c r="Z529" s="7"/>
      <c r="AA529" s="7"/>
      <c r="AB529" s="7"/>
      <c r="AC529" s="7"/>
      <c r="AD529" s="7"/>
      <c r="AE529" s="7"/>
      <c r="AF529" s="7"/>
      <c r="AG529" s="7"/>
      <c r="AH529" s="7"/>
      <c r="AI529" s="7"/>
      <c r="AJ529" s="7"/>
      <c r="AK529" s="7"/>
      <c r="AL529" s="7"/>
      <c r="AM529" s="7"/>
      <c r="AN529" s="7"/>
      <c r="AO529" s="7"/>
      <c r="AP529" s="7"/>
      <c r="AQ529" s="7"/>
      <c r="AR529" s="7"/>
      <c r="AS529" s="7"/>
      <c r="AT529" s="2"/>
      <c r="AU529" s="2"/>
    </row>
    <row r="530" spans="1:47" hidden="1" outlineLevel="1">
      <c r="A530" s="298"/>
      <c r="B530" s="6" t="s">
        <v>262</v>
      </c>
      <c r="C530" s="18"/>
      <c r="D530" s="18"/>
      <c r="E530" s="18"/>
      <c r="F530" s="18"/>
      <c r="G530" s="18"/>
      <c r="H530" s="18"/>
      <c r="I530" s="18"/>
      <c r="J530" s="18"/>
      <c r="K530" s="7"/>
      <c r="L530" s="7"/>
      <c r="M530" s="7"/>
      <c r="N530" s="7"/>
      <c r="O530" s="7"/>
      <c r="P530" s="7"/>
      <c r="Q530" s="7"/>
      <c r="R530" s="7"/>
      <c r="S530" s="7"/>
      <c r="T530" s="7"/>
      <c r="U530" s="7"/>
      <c r="V530" s="7"/>
      <c r="W530" s="7"/>
      <c r="X530" s="7"/>
      <c r="Y530" s="7"/>
      <c r="Z530" s="7"/>
      <c r="AA530" s="7"/>
      <c r="AB530" s="7"/>
      <c r="AC530" s="7"/>
      <c r="AD530" s="7"/>
      <c r="AE530" s="7"/>
      <c r="AF530" s="7"/>
      <c r="AG530" s="7"/>
      <c r="AH530" s="7"/>
      <c r="AI530" s="7"/>
      <c r="AJ530" s="7"/>
      <c r="AK530" s="7"/>
      <c r="AL530" s="7"/>
      <c r="AM530" s="7"/>
      <c r="AN530" s="7"/>
      <c r="AO530" s="7"/>
      <c r="AP530" s="7"/>
      <c r="AQ530" s="7"/>
      <c r="AR530" s="7"/>
      <c r="AS530" s="7"/>
      <c r="AT530" s="2"/>
      <c r="AU530" s="2"/>
    </row>
    <row r="531" spans="1:47" hidden="1" outlineLevel="1">
      <c r="A531" s="308"/>
      <c r="B531" s="309" t="s">
        <v>485</v>
      </c>
      <c r="C531" s="310" t="s">
        <v>733</v>
      </c>
      <c r="D531" s="310"/>
      <c r="E531" s="310"/>
      <c r="F531" s="310"/>
      <c r="G531" s="310"/>
      <c r="H531" s="310"/>
      <c r="I531" s="310"/>
      <c r="J531" s="310"/>
      <c r="K531" s="311">
        <v>0.81992244304411044</v>
      </c>
      <c r="L531" s="311">
        <v>0.76584234930448225</v>
      </c>
      <c r="M531" s="311">
        <v>0.68360821272298888</v>
      </c>
      <c r="N531" s="311">
        <v>0.651697366418024</v>
      </c>
      <c r="O531" s="311">
        <v>0.59205681220410311</v>
      </c>
      <c r="P531" s="311">
        <v>0.56606296341315177</v>
      </c>
      <c r="Q531" s="311">
        <v>0.57826239887442843</v>
      </c>
      <c r="R531" s="311">
        <v>0.5986756404689535</v>
      </c>
      <c r="S531" s="311">
        <v>0.59582217461167641</v>
      </c>
      <c r="T531" s="311">
        <v>0.56196644097733295</v>
      </c>
      <c r="U531" s="311">
        <v>0.51416390336333484</v>
      </c>
      <c r="V531" s="311">
        <v>0.49595025771087292</v>
      </c>
      <c r="W531" s="311">
        <v>0.47745204487875498</v>
      </c>
      <c r="X531" s="311">
        <v>0.46569798301486204</v>
      </c>
      <c r="Y531" s="311">
        <v>0.4521588429548663</v>
      </c>
      <c r="Z531" s="311">
        <v>0.43825346368380025</v>
      </c>
      <c r="AA531" s="311">
        <v>0.42900249521267331</v>
      </c>
      <c r="AB531" s="311">
        <v>0.43524807183147235</v>
      </c>
      <c r="AC531" s="311">
        <v>0.44400541883043571</v>
      </c>
      <c r="AD531" s="311">
        <v>0.44955829425237209</v>
      </c>
      <c r="AE531" s="311">
        <v>0.45187749667110522</v>
      </c>
      <c r="AF531" s="623">
        <v>0.45187749667110522</v>
      </c>
      <c r="AG531" s="623">
        <v>0.45187749667110522</v>
      </c>
      <c r="AH531" s="623">
        <v>0.45187749667110522</v>
      </c>
      <c r="AI531" s="623">
        <v>0.45187749667110522</v>
      </c>
      <c r="AJ531" s="623">
        <v>0.45187749667110522</v>
      </c>
      <c r="AK531" s="623">
        <v>0.45187749667110522</v>
      </c>
      <c r="AL531" s="623">
        <v>0.45187749667110522</v>
      </c>
      <c r="AM531" s="623">
        <v>0.45187749667110522</v>
      </c>
      <c r="AN531" s="623">
        <v>0.45187749667110522</v>
      </c>
      <c r="AO531" s="623">
        <v>0.45187749667110522</v>
      </c>
      <c r="AP531" s="623">
        <v>0.45187749667110522</v>
      </c>
      <c r="AQ531" s="623">
        <v>0.45187749667110522</v>
      </c>
      <c r="AR531" s="623">
        <v>0.45187749667110522</v>
      </c>
      <c r="AS531" s="623">
        <v>0.45187749667110522</v>
      </c>
      <c r="AT531" s="312"/>
      <c r="AU531" s="514"/>
    </row>
    <row r="532" spans="1:47" hidden="1" outlineLevel="1">
      <c r="A532" s="308"/>
      <c r="B532" s="309" t="s">
        <v>486</v>
      </c>
      <c r="C532" s="310" t="s">
        <v>733</v>
      </c>
      <c r="D532" s="310"/>
      <c r="E532" s="310"/>
      <c r="F532" s="310"/>
      <c r="G532" s="310"/>
      <c r="H532" s="310"/>
      <c r="I532" s="310"/>
      <c r="J532" s="310"/>
      <c r="K532" s="311">
        <v>0.18007755695588948</v>
      </c>
      <c r="L532" s="311">
        <v>0.23415765069551775</v>
      </c>
      <c r="M532" s="311">
        <v>0.31639178727701106</v>
      </c>
      <c r="N532" s="311">
        <v>0.34830263358197594</v>
      </c>
      <c r="O532" s="311">
        <v>0.40794318779589694</v>
      </c>
      <c r="P532" s="311">
        <v>0.43393703658684812</v>
      </c>
      <c r="Q532" s="311">
        <v>0.42173760112557157</v>
      </c>
      <c r="R532" s="311">
        <v>0.4013243595310465</v>
      </c>
      <c r="S532" s="311">
        <v>0.34118907337975352</v>
      </c>
      <c r="T532" s="311">
        <v>0.3353939750760474</v>
      </c>
      <c r="U532" s="311">
        <v>0.29351018474656559</v>
      </c>
      <c r="V532" s="311">
        <v>0.26114701791704165</v>
      </c>
      <c r="W532" s="311">
        <v>0.23648208469055373</v>
      </c>
      <c r="X532" s="311">
        <v>0.23128980891719747</v>
      </c>
      <c r="Y532" s="311">
        <v>0.24166677108165988</v>
      </c>
      <c r="Z532" s="311">
        <v>0.23708990583578227</v>
      </c>
      <c r="AA532" s="311">
        <v>0.22880519932687285</v>
      </c>
      <c r="AB532" s="311">
        <v>0.21261655347070324</v>
      </c>
      <c r="AC532" s="311">
        <v>0.19112666516143609</v>
      </c>
      <c r="AD532" s="311">
        <v>0.18186279856036655</v>
      </c>
      <c r="AE532" s="311">
        <v>0.17677762982689746</v>
      </c>
      <c r="AF532" s="623">
        <v>0.17837549933422103</v>
      </c>
      <c r="AG532" s="623">
        <v>0.17837549933422103</v>
      </c>
      <c r="AH532" s="623">
        <v>0.17837549933422103</v>
      </c>
      <c r="AI532" s="623">
        <v>0.17837549933422103</v>
      </c>
      <c r="AJ532" s="623">
        <v>0.17837549933422103</v>
      </c>
      <c r="AK532" s="623">
        <v>0.17837549933422103</v>
      </c>
      <c r="AL532" s="623">
        <v>0.17837549933422103</v>
      </c>
      <c r="AM532" s="623">
        <v>0.17837549933422103</v>
      </c>
      <c r="AN532" s="623">
        <v>0.17837549933422103</v>
      </c>
      <c r="AO532" s="623">
        <v>0.17837549933422103</v>
      </c>
      <c r="AP532" s="623">
        <v>0.17837549933422103</v>
      </c>
      <c r="AQ532" s="623">
        <v>0.17837549933422103</v>
      </c>
      <c r="AR532" s="623">
        <v>0.17837549933422103</v>
      </c>
      <c r="AS532" s="623">
        <v>0.17837549933422103</v>
      </c>
      <c r="AT532" s="312"/>
      <c r="AU532" s="514"/>
    </row>
    <row r="533" spans="1:47" hidden="1" outlineLevel="1">
      <c r="A533" s="308"/>
      <c r="B533" s="309" t="s">
        <v>263</v>
      </c>
      <c r="C533" s="310" t="s">
        <v>733</v>
      </c>
      <c r="D533" s="310"/>
      <c r="E533" s="310"/>
      <c r="F533" s="310"/>
      <c r="G533" s="310"/>
      <c r="H533" s="310"/>
      <c r="I533" s="310"/>
      <c r="J533" s="310"/>
      <c r="K533" s="311">
        <v>0</v>
      </c>
      <c r="L533" s="311">
        <v>0</v>
      </c>
      <c r="M533" s="311">
        <v>0</v>
      </c>
      <c r="N533" s="311">
        <v>0</v>
      </c>
      <c r="O533" s="311">
        <v>0</v>
      </c>
      <c r="P533" s="311">
        <v>0</v>
      </c>
      <c r="Q533" s="311">
        <v>0</v>
      </c>
      <c r="R533" s="311">
        <v>0</v>
      </c>
      <c r="S533" s="311">
        <v>5.6347080878414564E-2</v>
      </c>
      <c r="T533" s="311">
        <v>0.10263958394661957</v>
      </c>
      <c r="U533" s="311">
        <v>0.141923259118901</v>
      </c>
      <c r="V533" s="311">
        <v>0.18898797349259591</v>
      </c>
      <c r="W533" s="311">
        <v>0.22569670647846543</v>
      </c>
      <c r="X533" s="311">
        <v>0.23686305732484075</v>
      </c>
      <c r="Y533" s="311">
        <v>0.23123330320141133</v>
      </c>
      <c r="Z533" s="311">
        <v>0.23187188868230077</v>
      </c>
      <c r="AA533" s="311">
        <v>0.22973365055416933</v>
      </c>
      <c r="AB533" s="311">
        <v>0.22620006906872339</v>
      </c>
      <c r="AC533" s="311">
        <v>0.21974486340031607</v>
      </c>
      <c r="AD533" s="311">
        <v>0.19778601810448249</v>
      </c>
      <c r="AE533" s="311">
        <v>0.168202396804261</v>
      </c>
      <c r="AF533" s="623">
        <v>0.168202396804261</v>
      </c>
      <c r="AG533" s="623">
        <v>0.168202396804261</v>
      </c>
      <c r="AH533" s="623">
        <v>0.168202396804261</v>
      </c>
      <c r="AI533" s="623">
        <v>0.168202396804261</v>
      </c>
      <c r="AJ533" s="623">
        <v>0.168202396804261</v>
      </c>
      <c r="AK533" s="623">
        <v>0.168202396804261</v>
      </c>
      <c r="AL533" s="623">
        <v>0.168202396804261</v>
      </c>
      <c r="AM533" s="623">
        <v>0.168202396804261</v>
      </c>
      <c r="AN533" s="623">
        <v>0.168202396804261</v>
      </c>
      <c r="AO533" s="623">
        <v>0.168202396804261</v>
      </c>
      <c r="AP533" s="623">
        <v>0.168202396804261</v>
      </c>
      <c r="AQ533" s="623">
        <v>0.168202396804261</v>
      </c>
      <c r="AR533" s="623">
        <v>0.168202396804261</v>
      </c>
      <c r="AS533" s="623">
        <v>0.168202396804261</v>
      </c>
      <c r="AT533" s="312"/>
      <c r="AU533" s="514"/>
    </row>
    <row r="534" spans="1:47" hidden="1" outlineLevel="1">
      <c r="A534" s="308"/>
      <c r="B534" s="309" t="s">
        <v>661</v>
      </c>
      <c r="C534" s="310" t="s">
        <v>733</v>
      </c>
      <c r="D534" s="310"/>
      <c r="E534" s="310"/>
      <c r="F534" s="310"/>
      <c r="G534" s="310"/>
      <c r="H534" s="310"/>
      <c r="I534" s="310"/>
      <c r="J534" s="310"/>
      <c r="K534" s="311"/>
      <c r="L534" s="311"/>
      <c r="M534" s="311"/>
      <c r="N534" s="311"/>
      <c r="O534" s="311"/>
      <c r="P534" s="311"/>
      <c r="Q534" s="311"/>
      <c r="R534" s="311"/>
      <c r="S534" s="311">
        <v>0</v>
      </c>
      <c r="T534" s="311">
        <v>0</v>
      </c>
      <c r="U534" s="311">
        <v>5.1065845570819522E-2</v>
      </c>
      <c r="V534" s="311">
        <v>5.3832937903951564E-2</v>
      </c>
      <c r="W534" s="311">
        <v>5.8559536735432509E-2</v>
      </c>
      <c r="X534" s="311">
        <v>6.4357749469214437E-2</v>
      </c>
      <c r="Y534" s="311">
        <v>7.9256644560201053E-2</v>
      </c>
      <c r="Z534" s="311">
        <v>9.2784741798116716E-2</v>
      </c>
      <c r="AA534" s="311">
        <v>0.11245865490628444</v>
      </c>
      <c r="AB534" s="311">
        <v>0.12593530562910096</v>
      </c>
      <c r="AC534" s="311">
        <v>0.14512305260781214</v>
      </c>
      <c r="AD534" s="311">
        <v>0.17079288908277893</v>
      </c>
      <c r="AE534" s="311">
        <v>0.20154460719041278</v>
      </c>
      <c r="AF534" s="623">
        <v>0.20154460719041278</v>
      </c>
      <c r="AG534" s="623">
        <v>0.20154460719041278</v>
      </c>
      <c r="AH534" s="623">
        <v>0.20154460719041278</v>
      </c>
      <c r="AI534" s="623">
        <v>0.20154460719041278</v>
      </c>
      <c r="AJ534" s="623">
        <v>0.20154460719041278</v>
      </c>
      <c r="AK534" s="623">
        <v>0.20154460719041278</v>
      </c>
      <c r="AL534" s="623">
        <v>0.20154460719041278</v>
      </c>
      <c r="AM534" s="623">
        <v>0.20154460719041278</v>
      </c>
      <c r="AN534" s="623">
        <v>0.20154460719041278</v>
      </c>
      <c r="AO534" s="623">
        <v>0.20154460719041278</v>
      </c>
      <c r="AP534" s="623">
        <v>0.20154460719041278</v>
      </c>
      <c r="AQ534" s="623">
        <v>0.20154460719041278</v>
      </c>
      <c r="AR534" s="623">
        <v>0.20154460719041278</v>
      </c>
      <c r="AS534" s="623">
        <v>0.20154460719041278</v>
      </c>
      <c r="AT534" s="312"/>
      <c r="AU534" s="514"/>
    </row>
    <row r="535" spans="1:47" hidden="1" outlineLevel="1">
      <c r="A535" s="308"/>
      <c r="B535" s="313"/>
      <c r="C535" s="310"/>
      <c r="D535" s="310"/>
      <c r="E535" s="310"/>
      <c r="F535" s="310"/>
      <c r="G535" s="310"/>
      <c r="H535" s="310"/>
      <c r="I535" s="310"/>
      <c r="J535" s="310"/>
      <c r="K535" s="311">
        <v>0.99999999999999989</v>
      </c>
      <c r="L535" s="311">
        <v>1</v>
      </c>
      <c r="M535" s="311">
        <v>1</v>
      </c>
      <c r="N535" s="311">
        <v>1</v>
      </c>
      <c r="O535" s="311">
        <v>1</v>
      </c>
      <c r="P535" s="311">
        <v>0.99999999999999989</v>
      </c>
      <c r="Q535" s="311">
        <v>1</v>
      </c>
      <c r="R535" s="311">
        <v>1</v>
      </c>
      <c r="S535" s="311">
        <v>0.99335832886984443</v>
      </c>
      <c r="T535" s="311">
        <v>0.99999999999999989</v>
      </c>
      <c r="U535" s="311">
        <v>1.000663192799621</v>
      </c>
      <c r="V535" s="311">
        <v>0.99991818702446211</v>
      </c>
      <c r="W535" s="311">
        <v>0.99819037278320655</v>
      </c>
      <c r="X535" s="311">
        <v>0.99820859872611467</v>
      </c>
      <c r="Y535" s="311">
        <v>1.0043155617981385</v>
      </c>
      <c r="Z535" s="311">
        <v>1</v>
      </c>
      <c r="AA535" s="311">
        <v>1</v>
      </c>
      <c r="AB535" s="311">
        <v>0.99999999999999989</v>
      </c>
      <c r="AC535" s="311">
        <v>1</v>
      </c>
      <c r="AD535" s="311">
        <v>1</v>
      </c>
      <c r="AE535" s="311">
        <v>0.99840213049267645</v>
      </c>
      <c r="AF535" s="311">
        <v>1</v>
      </c>
      <c r="AG535" s="311">
        <v>1</v>
      </c>
      <c r="AH535" s="311">
        <v>1</v>
      </c>
      <c r="AI535" s="311">
        <v>1</v>
      </c>
      <c r="AJ535" s="311">
        <v>1</v>
      </c>
      <c r="AK535" s="311">
        <v>1</v>
      </c>
      <c r="AL535" s="311">
        <v>1</v>
      </c>
      <c r="AM535" s="311">
        <v>1</v>
      </c>
      <c r="AN535" s="311">
        <v>1</v>
      </c>
      <c r="AO535" s="311">
        <v>1</v>
      </c>
      <c r="AP535" s="311">
        <v>1</v>
      </c>
      <c r="AQ535" s="311">
        <v>1</v>
      </c>
      <c r="AR535" s="311">
        <v>1</v>
      </c>
      <c r="AS535" s="311">
        <v>1</v>
      </c>
      <c r="AT535" s="312"/>
      <c r="AU535" s="514"/>
    </row>
    <row r="536" spans="1:47" ht="14.4" hidden="1" outlineLevel="1">
      <c r="A536" s="298"/>
      <c r="B536" s="348" t="s">
        <v>1233</v>
      </c>
      <c r="C536" s="349"/>
      <c r="D536" s="349"/>
      <c r="E536" s="349"/>
      <c r="F536" s="349"/>
      <c r="G536" s="349"/>
      <c r="H536" s="349"/>
      <c r="I536" s="349"/>
      <c r="J536" s="349"/>
      <c r="K536" s="350"/>
      <c r="L536" s="350"/>
      <c r="M536" s="350"/>
      <c r="N536" s="350"/>
      <c r="O536" s="350"/>
      <c r="P536" s="350"/>
      <c r="Q536" s="350"/>
      <c r="R536" s="350"/>
      <c r="S536" s="350"/>
      <c r="T536" s="350"/>
      <c r="U536" s="350"/>
      <c r="V536" s="350"/>
      <c r="W536" s="351"/>
      <c r="X536" s="352"/>
      <c r="Y536" s="352"/>
      <c r="Z536" s="351"/>
      <c r="AA536" s="350"/>
      <c r="AB536" s="353"/>
      <c r="AC536" s="353"/>
      <c r="AD536" s="353"/>
      <c r="AE536" s="353"/>
      <c r="AF536" s="353"/>
      <c r="AG536" s="353"/>
      <c r="AH536" s="353"/>
      <c r="AI536" s="353"/>
      <c r="AJ536" s="353"/>
      <c r="AK536" s="353"/>
      <c r="AL536" s="353"/>
      <c r="AM536" s="353"/>
      <c r="AN536" s="353"/>
      <c r="AO536" s="353"/>
      <c r="AP536" s="353"/>
      <c r="AQ536" s="353"/>
      <c r="AR536" s="353"/>
      <c r="AS536" s="353"/>
      <c r="AT536" s="2"/>
      <c r="AU536" s="254"/>
    </row>
    <row r="537" spans="1:47" hidden="1" outlineLevel="1">
      <c r="A537" s="298"/>
      <c r="B537" s="6"/>
      <c r="C537" s="18"/>
      <c r="D537" s="18"/>
      <c r="E537" s="18"/>
      <c r="F537" s="18"/>
      <c r="G537" s="18"/>
      <c r="H537" s="18"/>
      <c r="I537" s="18"/>
      <c r="J537" s="18"/>
      <c r="K537" s="31"/>
      <c r="L537" s="31"/>
      <c r="M537" s="31"/>
      <c r="N537" s="31"/>
      <c r="O537" s="31"/>
      <c r="P537" s="31"/>
      <c r="Q537" s="31"/>
      <c r="R537" s="31"/>
      <c r="S537" s="31"/>
      <c r="T537" s="7"/>
      <c r="U537" s="7"/>
      <c r="V537" s="7"/>
      <c r="W537" s="7"/>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row>
    <row r="538" spans="1:47" hidden="1" outlineLevel="1">
      <c r="A538" s="354"/>
      <c r="B538" s="405" t="s">
        <v>1233</v>
      </c>
      <c r="C538" s="356" t="s">
        <v>732</v>
      </c>
      <c r="D538" s="356"/>
      <c r="E538" s="356"/>
      <c r="F538" s="356"/>
      <c r="G538" s="356"/>
      <c r="H538" s="356"/>
      <c r="I538" s="356"/>
      <c r="J538" s="356"/>
      <c r="K538" s="278">
        <v>2666.6451999999999</v>
      </c>
      <c r="L538" s="278">
        <v>2940.4239999999995</v>
      </c>
      <c r="M538" s="278">
        <v>3242.3998000000001</v>
      </c>
      <c r="N538" s="278">
        <v>3227.1893599999999</v>
      </c>
      <c r="O538" s="278">
        <v>4010.5991799999997</v>
      </c>
      <c r="P538" s="278">
        <v>3735.57492</v>
      </c>
      <c r="Q538" s="278">
        <v>3867.4064400000002</v>
      </c>
      <c r="R538" s="278">
        <v>4294.7675999999992</v>
      </c>
      <c r="S538" s="278">
        <v>4872.4806800000006</v>
      </c>
      <c r="T538" s="278">
        <v>5379</v>
      </c>
      <c r="U538" s="278">
        <v>5711</v>
      </c>
      <c r="V538" s="278">
        <v>6034</v>
      </c>
      <c r="W538" s="278">
        <v>6424</v>
      </c>
      <c r="X538" s="278">
        <v>6830</v>
      </c>
      <c r="Y538" s="278">
        <v>7287</v>
      </c>
      <c r="Z538" s="278">
        <v>7802</v>
      </c>
      <c r="AA538" s="278">
        <v>7703</v>
      </c>
      <c r="AB538" s="278">
        <v>7613</v>
      </c>
      <c r="AC538" s="278">
        <v>7074</v>
      </c>
      <c r="AD538" s="278">
        <v>6908</v>
      </c>
      <c r="AE538" s="278">
        <v>6569</v>
      </c>
      <c r="AF538" s="278">
        <v>6497</v>
      </c>
      <c r="AG538" s="278">
        <v>6892</v>
      </c>
      <c r="AH538" s="278">
        <v>7201.2914380263001</v>
      </c>
      <c r="AI538" s="278">
        <v>7499.1669950689293</v>
      </c>
      <c r="AJ538" s="278">
        <v>7857.1471991563312</v>
      </c>
      <c r="AK538" s="278">
        <v>8244.424320639564</v>
      </c>
      <c r="AL538" s="278">
        <v>8640.2027206655457</v>
      </c>
      <c r="AM538" s="278">
        <v>9048.4580850789753</v>
      </c>
      <c r="AN538" s="278">
        <v>9477.6570016901314</v>
      </c>
      <c r="AO538" s="278">
        <v>9928.9714535402927</v>
      </c>
      <c r="AP538" s="278">
        <v>10403.645111667101</v>
      </c>
      <c r="AQ538" s="278">
        <v>10403.645111667101</v>
      </c>
      <c r="AR538" s="278">
        <v>10403.645111667101</v>
      </c>
      <c r="AS538" s="278">
        <v>10403.645111667101</v>
      </c>
      <c r="AT538" s="254"/>
      <c r="AU538" s="254"/>
    </row>
    <row r="539" spans="1:47" hidden="1" outlineLevel="1">
      <c r="A539" s="308"/>
      <c r="B539" s="322" t="s">
        <v>1099</v>
      </c>
      <c r="C539" s="310" t="s">
        <v>733</v>
      </c>
      <c r="D539" s="310"/>
      <c r="E539" s="310"/>
      <c r="F539" s="310"/>
      <c r="G539" s="310"/>
      <c r="H539" s="310"/>
      <c r="I539" s="310"/>
      <c r="J539" s="310"/>
      <c r="K539" s="324"/>
      <c r="L539" s="311">
        <v>0.10266787647640552</v>
      </c>
      <c r="M539" s="311">
        <v>0.10269804626815748</v>
      </c>
      <c r="N539" s="311">
        <v>-4.6911056434189025E-3</v>
      </c>
      <c r="O539" s="311">
        <v>0.24275297561095077</v>
      </c>
      <c r="P539" s="311">
        <v>-6.8574357011662257E-2</v>
      </c>
      <c r="Q539" s="311">
        <v>3.5290824792238551E-2</v>
      </c>
      <c r="R539" s="311">
        <v>0.11050329636416456</v>
      </c>
      <c r="S539" s="311">
        <v>0.13451556261158371</v>
      </c>
      <c r="T539" s="311">
        <v>0.10395512127510353</v>
      </c>
      <c r="U539" s="311">
        <v>6.172150957427025E-2</v>
      </c>
      <c r="V539" s="311">
        <v>5.6557520574330278E-2</v>
      </c>
      <c r="W539" s="311">
        <v>6.4633742127941707E-2</v>
      </c>
      <c r="X539" s="311">
        <v>6.3200498132004901E-2</v>
      </c>
      <c r="Y539" s="311">
        <v>6.691068814055634E-2</v>
      </c>
      <c r="Z539" s="311">
        <v>7.0673802662275298E-2</v>
      </c>
      <c r="AA539" s="311">
        <v>-1.2689054088695251E-2</v>
      </c>
      <c r="AB539" s="311">
        <v>-1.1683759574191876E-2</v>
      </c>
      <c r="AC539" s="311">
        <v>-7.0799947458294987E-2</v>
      </c>
      <c r="AD539" s="311">
        <v>-2.3466214305909006E-2</v>
      </c>
      <c r="AE539" s="311">
        <v>-4.9073537927041166E-2</v>
      </c>
      <c r="AF539" s="311">
        <v>-1.0960572385446787E-2</v>
      </c>
      <c r="AG539" s="311">
        <v>6.0797291057411051E-2</v>
      </c>
      <c r="AH539" s="311">
        <v>4.4876877252800318E-2</v>
      </c>
      <c r="AI539" s="311">
        <v>4.1364185800022213E-2</v>
      </c>
      <c r="AJ539" s="311">
        <v>4.7735995787637764E-2</v>
      </c>
      <c r="AK539" s="311">
        <v>4.9289788222984576E-2</v>
      </c>
      <c r="AL539" s="311">
        <v>4.8005583486910863E-2</v>
      </c>
      <c r="AM539" s="311">
        <v>4.7250669644239851E-2</v>
      </c>
      <c r="AN539" s="311">
        <v>4.7433376225603618E-2</v>
      </c>
      <c r="AO539" s="311">
        <v>4.7618778751929769E-2</v>
      </c>
      <c r="AP539" s="311">
        <v>4.7806931498182381E-2</v>
      </c>
      <c r="AQ539" s="311">
        <v>4.7806931498182381E-2</v>
      </c>
      <c r="AR539" s="311">
        <v>4.7806931498182381E-2</v>
      </c>
      <c r="AS539" s="311">
        <v>4.7806931498182381E-2</v>
      </c>
      <c r="AT539" s="312"/>
      <c r="AU539" s="514"/>
    </row>
    <row r="540" spans="1:47" hidden="1" outlineLevel="1">
      <c r="A540" s="298"/>
      <c r="B540" s="55"/>
      <c r="C540" s="18"/>
      <c r="D540" s="18"/>
      <c r="E540" s="18"/>
      <c r="F540" s="18"/>
      <c r="G540" s="18"/>
      <c r="H540" s="18"/>
      <c r="I540" s="18"/>
      <c r="J540" s="18"/>
      <c r="K540" s="34"/>
      <c r="L540" s="7"/>
      <c r="M540" s="7"/>
      <c r="N540" s="7"/>
      <c r="O540" s="7"/>
      <c r="P540" s="7"/>
      <c r="Q540" s="7"/>
      <c r="R540" s="7"/>
      <c r="S540" s="7"/>
      <c r="T540" s="7"/>
      <c r="U540" s="7"/>
      <c r="V540" s="7"/>
      <c r="W540" s="7"/>
      <c r="X540" s="7"/>
      <c r="Y540" s="7"/>
      <c r="Z540" s="7"/>
      <c r="AA540" s="7"/>
      <c r="AB540" s="7"/>
      <c r="AC540" s="7"/>
      <c r="AD540" s="7"/>
      <c r="AE540" s="7"/>
      <c r="AF540" s="7"/>
      <c r="AG540" s="7"/>
      <c r="AH540" s="7"/>
      <c r="AI540" s="7"/>
      <c r="AJ540" s="7"/>
      <c r="AK540" s="7"/>
      <c r="AL540" s="7"/>
      <c r="AM540" s="7"/>
      <c r="AN540" s="7"/>
      <c r="AO540" s="7"/>
      <c r="AP540" s="7"/>
      <c r="AQ540" s="7"/>
      <c r="AR540" s="7"/>
      <c r="AS540" s="7"/>
      <c r="AT540" s="2"/>
      <c r="AU540" s="2"/>
    </row>
    <row r="541" spans="1:47" hidden="1" outlineLevel="1">
      <c r="A541" s="298"/>
      <c r="B541" s="2" t="s">
        <v>813</v>
      </c>
      <c r="C541" s="18" t="s">
        <v>733</v>
      </c>
      <c r="D541" s="18"/>
      <c r="E541" s="18"/>
      <c r="F541" s="18"/>
      <c r="G541" s="18"/>
      <c r="H541" s="18"/>
      <c r="I541" s="18"/>
      <c r="J541" s="18"/>
      <c r="K541" s="34"/>
      <c r="L541" s="7"/>
      <c r="M541" s="7"/>
      <c r="N541" s="7"/>
      <c r="O541" s="7"/>
      <c r="P541" s="7"/>
      <c r="Q541" s="7">
        <v>0.93030627050778358</v>
      </c>
      <c r="R541" s="7">
        <v>0.98987851361190016</v>
      </c>
      <c r="S541" s="7">
        <v>1.0349490034621505</v>
      </c>
      <c r="T541" s="7">
        <v>1.1599999999999999</v>
      </c>
      <c r="U541" s="7">
        <v>1.21</v>
      </c>
      <c r="V541" s="7">
        <v>1.28</v>
      </c>
      <c r="W541" s="7">
        <v>1.3</v>
      </c>
      <c r="X541" s="7">
        <v>1.33</v>
      </c>
      <c r="Y541" s="7">
        <v>1.35</v>
      </c>
      <c r="Z541" s="7">
        <v>1.415</v>
      </c>
      <c r="AA541" s="7">
        <v>1.415</v>
      </c>
      <c r="AB541" s="7"/>
      <c r="AC541" s="7"/>
      <c r="AD541" s="7"/>
      <c r="AE541" s="7"/>
      <c r="AF541" s="7"/>
      <c r="AG541" s="7"/>
      <c r="AH541" s="7"/>
      <c r="AI541" s="7"/>
      <c r="AJ541" s="7"/>
      <c r="AK541" s="7"/>
      <c r="AL541" s="7"/>
      <c r="AM541" s="7"/>
      <c r="AN541" s="7"/>
      <c r="AO541" s="7"/>
      <c r="AP541" s="7"/>
      <c r="AQ541" s="7"/>
      <c r="AR541" s="7"/>
      <c r="AS541" s="7"/>
      <c r="AT541" s="2"/>
      <c r="AU541" s="2"/>
    </row>
    <row r="542" spans="1:47" hidden="1" outlineLevel="1">
      <c r="A542" s="298"/>
      <c r="B542" s="2" t="s">
        <v>814</v>
      </c>
      <c r="C542" s="18" t="s">
        <v>772</v>
      </c>
      <c r="D542" s="18"/>
      <c r="E542" s="18"/>
      <c r="F542" s="18"/>
      <c r="G542" s="18"/>
      <c r="H542" s="18"/>
      <c r="I542" s="18"/>
      <c r="J542" s="18"/>
      <c r="K542" s="34"/>
      <c r="L542" s="7"/>
      <c r="M542" s="7"/>
      <c r="N542" s="7"/>
      <c r="O542" s="7"/>
      <c r="P542" s="7"/>
      <c r="Q542" s="42"/>
      <c r="R542" s="42"/>
      <c r="S542" s="42"/>
      <c r="T542" s="42"/>
      <c r="U542" s="42"/>
      <c r="V542" s="42"/>
      <c r="W542" s="42"/>
      <c r="X542" s="42"/>
      <c r="Y542" s="42"/>
      <c r="Z542" s="42"/>
      <c r="AA542" s="42"/>
      <c r="AB542" s="42"/>
      <c r="AC542" s="42"/>
      <c r="AD542" s="42"/>
      <c r="AE542" s="42"/>
      <c r="AF542" s="42"/>
      <c r="AG542" s="42"/>
      <c r="AH542" s="42"/>
      <c r="AI542" s="42"/>
      <c r="AJ542" s="42"/>
      <c r="AK542" s="42"/>
      <c r="AL542" s="42"/>
      <c r="AM542" s="42"/>
      <c r="AN542" s="42"/>
      <c r="AO542" s="42"/>
      <c r="AP542" s="42"/>
      <c r="AQ542" s="42"/>
      <c r="AR542" s="42"/>
      <c r="AS542" s="42"/>
      <c r="AT542" s="2"/>
      <c r="AU542" s="2"/>
    </row>
    <row r="543" spans="1:47" hidden="1" outlineLevel="1">
      <c r="A543" s="298"/>
      <c r="B543" s="2"/>
      <c r="C543" s="21"/>
      <c r="D543" s="21"/>
      <c r="E543" s="21"/>
      <c r="F543" s="21"/>
      <c r="G543" s="21"/>
      <c r="H543" s="21"/>
      <c r="I543" s="21"/>
      <c r="J543" s="21"/>
      <c r="K543" s="34"/>
      <c r="L543" s="34"/>
      <c r="M543" s="34"/>
      <c r="N543" s="34"/>
      <c r="O543" s="34"/>
      <c r="P543" s="34"/>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2"/>
      <c r="AU543" s="2"/>
    </row>
    <row r="544" spans="1:47" hidden="1" outlineLevel="1">
      <c r="A544" s="298"/>
      <c r="B544" s="2" t="s">
        <v>832</v>
      </c>
      <c r="C544" s="18" t="s">
        <v>180</v>
      </c>
      <c r="D544" s="18"/>
      <c r="E544" s="18"/>
      <c r="F544" s="18"/>
      <c r="G544" s="18"/>
      <c r="H544" s="18"/>
      <c r="I544" s="18"/>
      <c r="J544" s="18"/>
      <c r="K544" s="31"/>
      <c r="L544" s="31"/>
      <c r="M544" s="31"/>
      <c r="N544" s="536">
        <v>1413</v>
      </c>
      <c r="O544" s="536">
        <v>1903</v>
      </c>
      <c r="P544" s="536">
        <v>2289</v>
      </c>
      <c r="Q544" s="536">
        <v>3019</v>
      </c>
      <c r="R544" s="536">
        <v>4902</v>
      </c>
      <c r="S544" s="536">
        <v>6973</v>
      </c>
      <c r="T544" s="536">
        <v>8943</v>
      </c>
      <c r="U544" s="536">
        <v>9394</v>
      </c>
      <c r="V544" s="536">
        <v>9905</v>
      </c>
      <c r="W544" s="536">
        <v>12047</v>
      </c>
      <c r="X544" s="536">
        <v>13763</v>
      </c>
      <c r="Y544" s="536">
        <v>15321</v>
      </c>
      <c r="Z544" s="536">
        <v>17653</v>
      </c>
      <c r="AA544" s="119"/>
      <c r="AB544" s="119"/>
      <c r="AC544" s="119"/>
      <c r="AD544" s="119"/>
      <c r="AE544" s="119"/>
      <c r="AF544" s="119"/>
      <c r="AG544" s="119"/>
      <c r="AH544" s="119"/>
      <c r="AI544" s="119"/>
      <c r="AJ544" s="119"/>
      <c r="AK544" s="119"/>
      <c r="AL544" s="119"/>
      <c r="AM544" s="119"/>
      <c r="AN544" s="119"/>
      <c r="AO544" s="119"/>
      <c r="AP544" s="119"/>
      <c r="AQ544" s="119"/>
      <c r="AR544" s="119"/>
      <c r="AS544" s="119"/>
      <c r="AT544" s="2"/>
      <c r="AU544" s="2"/>
    </row>
    <row r="545" spans="1:47" hidden="1" outlineLevel="1">
      <c r="A545" s="298"/>
      <c r="B545" s="241" t="s">
        <v>1099</v>
      </c>
      <c r="C545" s="18" t="s">
        <v>733</v>
      </c>
      <c r="D545" s="18"/>
      <c r="E545" s="18"/>
      <c r="F545" s="18"/>
      <c r="G545" s="18"/>
      <c r="H545" s="18"/>
      <c r="I545" s="18"/>
      <c r="J545" s="18"/>
      <c r="K545" s="31"/>
      <c r="L545" s="31"/>
      <c r="M545" s="31"/>
      <c r="N545" s="31"/>
      <c r="O545" s="7">
        <v>0.34677990092002831</v>
      </c>
      <c r="P545" s="7">
        <v>0.20283762480294265</v>
      </c>
      <c r="Q545" s="7">
        <v>0.31891655744866765</v>
      </c>
      <c r="R545" s="7">
        <v>0.62371646240476974</v>
      </c>
      <c r="S545" s="7">
        <v>0.42248062015503884</v>
      </c>
      <c r="T545" s="7">
        <v>0.28251828481284957</v>
      </c>
      <c r="U545" s="7">
        <v>5.0430504305043033E-2</v>
      </c>
      <c r="V545" s="7">
        <v>5.4396423248882275E-2</v>
      </c>
      <c r="W545" s="7">
        <v>0.21625441696113068</v>
      </c>
      <c r="X545" s="7">
        <v>0.14244210176807504</v>
      </c>
      <c r="Y545" s="7">
        <v>0.11320206350359663</v>
      </c>
      <c r="Z545" s="7">
        <v>0.15220938581032573</v>
      </c>
      <c r="AA545" s="119"/>
      <c r="AB545" s="119"/>
      <c r="AC545" s="119"/>
      <c r="AD545" s="119"/>
      <c r="AE545" s="119"/>
      <c r="AF545" s="119"/>
      <c r="AG545" s="119"/>
      <c r="AH545" s="119"/>
      <c r="AI545" s="119"/>
      <c r="AJ545" s="119"/>
      <c r="AK545" s="119"/>
      <c r="AL545" s="119"/>
      <c r="AM545" s="119"/>
      <c r="AN545" s="119"/>
      <c r="AO545" s="119"/>
      <c r="AP545" s="119"/>
      <c r="AQ545" s="119"/>
      <c r="AR545" s="119"/>
      <c r="AS545" s="119"/>
      <c r="AT545" s="2"/>
      <c r="AU545" s="2"/>
    </row>
    <row r="546" spans="1:47" hidden="1" outlineLevel="1">
      <c r="A546" s="298"/>
      <c r="B546" s="2" t="s">
        <v>833</v>
      </c>
      <c r="C546" s="18" t="s">
        <v>180</v>
      </c>
      <c r="D546" s="18"/>
      <c r="E546" s="18"/>
      <c r="F546" s="18"/>
      <c r="G546" s="18"/>
      <c r="H546" s="18"/>
      <c r="I546" s="18"/>
      <c r="J546" s="18"/>
      <c r="K546" s="31"/>
      <c r="L546" s="31"/>
      <c r="M546" s="31"/>
      <c r="N546" s="536">
        <v>5255</v>
      </c>
      <c r="O546" s="536">
        <v>6145</v>
      </c>
      <c r="P546" s="536">
        <v>6746</v>
      </c>
      <c r="Q546" s="536">
        <v>7311</v>
      </c>
      <c r="R546" s="536">
        <v>8591</v>
      </c>
      <c r="S546" s="536">
        <v>10096</v>
      </c>
      <c r="T546" s="536">
        <v>11005</v>
      </c>
      <c r="U546" s="536">
        <v>11524</v>
      </c>
      <c r="V546" s="536">
        <v>13512</v>
      </c>
      <c r="W546" s="536">
        <v>16926</v>
      </c>
      <c r="X546" s="536">
        <v>20410</v>
      </c>
      <c r="Y546" s="536">
        <v>23827</v>
      </c>
      <c r="Z546" s="536">
        <v>26635</v>
      </c>
      <c r="AA546" s="119"/>
      <c r="AB546" s="119"/>
      <c r="AC546" s="119"/>
      <c r="AD546" s="119"/>
      <c r="AE546" s="119"/>
      <c r="AF546" s="119"/>
      <c r="AG546" s="119"/>
      <c r="AH546" s="119"/>
      <c r="AI546" s="119"/>
      <c r="AJ546" s="119"/>
      <c r="AK546" s="119"/>
      <c r="AL546" s="119"/>
      <c r="AM546" s="119"/>
      <c r="AN546" s="119"/>
      <c r="AO546" s="119"/>
      <c r="AP546" s="119"/>
      <c r="AQ546" s="119"/>
      <c r="AR546" s="119"/>
      <c r="AS546" s="119"/>
      <c r="AT546" s="2"/>
      <c r="AU546" s="2"/>
    </row>
    <row r="547" spans="1:47" hidden="1" outlineLevel="1">
      <c r="A547" s="298"/>
      <c r="B547" s="241" t="s">
        <v>1099</v>
      </c>
      <c r="C547" s="18" t="s">
        <v>733</v>
      </c>
      <c r="D547" s="18"/>
      <c r="E547" s="18"/>
      <c r="F547" s="18"/>
      <c r="G547" s="18"/>
      <c r="H547" s="18"/>
      <c r="I547" s="18"/>
      <c r="J547" s="18"/>
      <c r="K547" s="31"/>
      <c r="L547" s="31"/>
      <c r="M547" s="31"/>
      <c r="N547" s="31"/>
      <c r="O547" s="7">
        <v>0.16936251189343476</v>
      </c>
      <c r="P547" s="7">
        <v>9.7803091944670406E-2</v>
      </c>
      <c r="Q547" s="7">
        <v>8.3753335309813215E-2</v>
      </c>
      <c r="R547" s="7">
        <v>0.1750786486116811</v>
      </c>
      <c r="S547" s="7">
        <v>0.17518333139331865</v>
      </c>
      <c r="T547" s="7">
        <v>9.0035657686212467E-2</v>
      </c>
      <c r="U547" s="7">
        <v>4.7160381644707039E-2</v>
      </c>
      <c r="V547" s="7">
        <v>0.17250954529677198</v>
      </c>
      <c r="W547" s="7">
        <v>0.25266429840142091</v>
      </c>
      <c r="X547" s="7">
        <v>0.20583717357910913</v>
      </c>
      <c r="Y547" s="7">
        <v>0.16741793238608516</v>
      </c>
      <c r="Z547" s="7">
        <v>0.11784949846812443</v>
      </c>
      <c r="AA547" s="119"/>
      <c r="AB547" s="119"/>
      <c r="AC547" s="119"/>
      <c r="AD547" s="119"/>
      <c r="AE547" s="119"/>
      <c r="AF547" s="119"/>
      <c r="AG547" s="119"/>
      <c r="AH547" s="119"/>
      <c r="AI547" s="119"/>
      <c r="AJ547" s="119"/>
      <c r="AK547" s="119"/>
      <c r="AL547" s="119"/>
      <c r="AM547" s="119"/>
      <c r="AN547" s="119"/>
      <c r="AO547" s="119"/>
      <c r="AP547" s="119"/>
      <c r="AQ547" s="119"/>
      <c r="AR547" s="119"/>
      <c r="AS547" s="119"/>
      <c r="AT547" s="2"/>
      <c r="AU547" s="2"/>
    </row>
    <row r="548" spans="1:47" hidden="1" outlineLevel="1">
      <c r="A548" s="298"/>
      <c r="B548" s="80" t="s">
        <v>834</v>
      </c>
      <c r="C548" s="120" t="s">
        <v>733</v>
      </c>
      <c r="D548" s="120"/>
      <c r="E548" s="120"/>
      <c r="F548" s="120"/>
      <c r="G548" s="120"/>
      <c r="H548" s="120"/>
      <c r="I548" s="120"/>
      <c r="J548" s="120"/>
      <c r="K548" s="111"/>
      <c r="L548" s="111"/>
      <c r="M548" s="111"/>
      <c r="N548" s="547">
        <v>0.184</v>
      </c>
      <c r="O548" s="547">
        <v>0.17100000000000001</v>
      </c>
      <c r="P548" s="547">
        <v>0.192</v>
      </c>
      <c r="Q548" s="547">
        <v>0.23400000000000001</v>
      </c>
      <c r="R548" s="547">
        <v>0.20399999999999999</v>
      </c>
      <c r="S548" s="547">
        <v>0.28999999999999998</v>
      </c>
      <c r="T548" s="547">
        <v>0.23</v>
      </c>
      <c r="U548" s="547">
        <v>0.25900000000000001</v>
      </c>
      <c r="V548" s="547">
        <v>8.7999999999999995E-2</v>
      </c>
      <c r="W548" s="547">
        <v>0.122</v>
      </c>
      <c r="X548" s="547">
        <v>0.108</v>
      </c>
      <c r="Y548" s="547">
        <v>0.10299999999999999</v>
      </c>
      <c r="Z548" s="547">
        <v>0.105</v>
      </c>
      <c r="AA548" s="121"/>
      <c r="AB548" s="121"/>
      <c r="AC548" s="121"/>
      <c r="AD548" s="121"/>
      <c r="AE548" s="121"/>
      <c r="AF548" s="121"/>
      <c r="AG548" s="121"/>
      <c r="AH548" s="121"/>
      <c r="AI548" s="121"/>
      <c r="AJ548" s="121"/>
      <c r="AK548" s="121"/>
      <c r="AL548" s="121"/>
      <c r="AM548" s="121"/>
      <c r="AN548" s="121"/>
      <c r="AO548" s="121"/>
      <c r="AP548" s="121"/>
      <c r="AQ548" s="121"/>
      <c r="AR548" s="121"/>
      <c r="AS548" s="121"/>
      <c r="AT548" s="80"/>
      <c r="AU548" s="80"/>
    </row>
    <row r="549" spans="1:47" hidden="1" outlineLevel="1">
      <c r="A549" s="298"/>
      <c r="B549" s="241" t="s">
        <v>1099</v>
      </c>
      <c r="C549" s="18" t="s">
        <v>733</v>
      </c>
      <c r="D549" s="18"/>
      <c r="E549" s="18"/>
      <c r="F549" s="18"/>
      <c r="G549" s="18"/>
      <c r="H549" s="18"/>
      <c r="I549" s="18"/>
      <c r="J549" s="18"/>
      <c r="K549" s="31"/>
      <c r="L549" s="31"/>
      <c r="M549" s="31"/>
      <c r="N549" s="31"/>
      <c r="O549" s="31"/>
      <c r="P549" s="31"/>
      <c r="Q549" s="31"/>
      <c r="R549" s="31"/>
      <c r="S549" s="31"/>
      <c r="T549" s="31"/>
      <c r="U549" s="31"/>
      <c r="V549" s="31"/>
      <c r="W549" s="119"/>
      <c r="X549" s="119"/>
      <c r="Y549" s="119"/>
      <c r="Z549" s="119"/>
      <c r="AA549" s="119"/>
      <c r="AB549" s="119"/>
      <c r="AC549" s="119"/>
      <c r="AD549" s="119"/>
      <c r="AE549" s="119"/>
      <c r="AF549" s="119"/>
      <c r="AG549" s="119"/>
      <c r="AH549" s="119"/>
      <c r="AI549" s="119"/>
      <c r="AJ549" s="119"/>
      <c r="AK549" s="119"/>
      <c r="AL549" s="119"/>
      <c r="AM549" s="119"/>
      <c r="AN549" s="119"/>
      <c r="AO549" s="119"/>
      <c r="AP549" s="119"/>
      <c r="AQ549" s="119"/>
      <c r="AR549" s="119"/>
      <c r="AS549" s="119"/>
      <c r="AT549" s="2"/>
      <c r="AU549" s="2"/>
    </row>
    <row r="550" spans="1:47" hidden="1" outlineLevel="1">
      <c r="A550" s="298"/>
      <c r="B550" s="2"/>
      <c r="C550" s="21"/>
      <c r="D550" s="21"/>
      <c r="E550" s="21"/>
      <c r="F550" s="21"/>
      <c r="G550" s="21"/>
      <c r="H550" s="21"/>
      <c r="I550" s="21"/>
      <c r="J550" s="21"/>
      <c r="K550" s="34"/>
      <c r="L550" s="34"/>
      <c r="M550" s="34"/>
      <c r="N550" s="34"/>
      <c r="O550" s="34"/>
      <c r="P550" s="34"/>
      <c r="Q550" s="119"/>
      <c r="R550" s="119"/>
      <c r="S550" s="119"/>
      <c r="T550" s="119"/>
      <c r="U550" s="119"/>
      <c r="V550" s="119"/>
      <c r="W550" s="119"/>
      <c r="X550" s="119"/>
      <c r="Y550" s="119"/>
      <c r="Z550" s="119"/>
      <c r="AA550" s="119"/>
      <c r="AB550" s="119"/>
      <c r="AC550" s="119"/>
      <c r="AD550" s="119"/>
      <c r="AE550" s="119"/>
      <c r="AF550" s="119"/>
      <c r="AG550" s="119"/>
      <c r="AH550" s="119"/>
      <c r="AI550" s="119"/>
      <c r="AJ550" s="119"/>
      <c r="AK550" s="119"/>
      <c r="AL550" s="119"/>
      <c r="AM550" s="119"/>
      <c r="AN550" s="119"/>
      <c r="AO550" s="119"/>
      <c r="AP550" s="119"/>
      <c r="AQ550" s="119"/>
      <c r="AR550" s="119"/>
      <c r="AS550" s="119"/>
      <c r="AT550" s="2"/>
      <c r="AU550" s="2"/>
    </row>
    <row r="551" spans="1:47" hidden="1" outlineLevel="1">
      <c r="A551" s="298"/>
      <c r="B551" s="122" t="s">
        <v>835</v>
      </c>
      <c r="C551" s="123" t="s">
        <v>162</v>
      </c>
      <c r="D551" s="123"/>
      <c r="E551" s="123"/>
      <c r="F551" s="123"/>
      <c r="G551" s="123"/>
      <c r="H551" s="123"/>
      <c r="I551" s="123"/>
      <c r="J551" s="123"/>
      <c r="K551" s="124"/>
      <c r="L551" s="124"/>
      <c r="M551" s="124"/>
      <c r="N551" s="125">
        <v>215.1012330643934</v>
      </c>
      <c r="O551" s="125">
        <v>250.26301946344032</v>
      </c>
      <c r="P551" s="125">
        <v>278.23021757627322</v>
      </c>
      <c r="Q551" s="125">
        <v>353.96881228748975</v>
      </c>
      <c r="R551" s="125">
        <v>532.13200173686494</v>
      </c>
      <c r="S551" s="125">
        <v>797.18760717960447</v>
      </c>
      <c r="T551" s="125">
        <v>977.9114270092947</v>
      </c>
      <c r="U551" s="125">
        <v>1101.935483870968</v>
      </c>
      <c r="V551" s="125">
        <v>1070.3479576399393</v>
      </c>
      <c r="W551" s="125">
        <v>1221.4336408800568</v>
      </c>
      <c r="X551" s="125">
        <v>1310.1380295097572</v>
      </c>
      <c r="Y551" s="125">
        <v>1387.8974544795724</v>
      </c>
      <c r="Z551" s="126">
        <v>1567.7619893428066</v>
      </c>
      <c r="AA551" s="119"/>
      <c r="AB551" s="119"/>
      <c r="AC551" s="119"/>
      <c r="AD551" s="119"/>
      <c r="AE551" s="119"/>
      <c r="AF551" s="119"/>
      <c r="AG551" s="119"/>
      <c r="AH551" s="119"/>
      <c r="AI551" s="119"/>
      <c r="AJ551" s="119"/>
      <c r="AK551" s="119"/>
      <c r="AL551" s="119"/>
      <c r="AM551" s="119"/>
      <c r="AN551" s="119"/>
      <c r="AO551" s="119"/>
      <c r="AP551" s="119"/>
      <c r="AQ551" s="119"/>
      <c r="AR551" s="119"/>
      <c r="AS551" s="119"/>
      <c r="AT551" s="2"/>
      <c r="AU551" s="2"/>
    </row>
    <row r="552" spans="1:47" hidden="1" outlineLevel="1">
      <c r="A552" s="298"/>
      <c r="B552" s="429" t="s">
        <v>1099</v>
      </c>
      <c r="C552" s="18" t="s">
        <v>733</v>
      </c>
      <c r="D552" s="18"/>
      <c r="E552" s="18"/>
      <c r="F552" s="18"/>
      <c r="G552" s="18"/>
      <c r="H552" s="18"/>
      <c r="I552" s="18"/>
      <c r="J552" s="18"/>
      <c r="K552" s="34"/>
      <c r="L552" s="34"/>
      <c r="M552" s="34"/>
      <c r="N552" s="34"/>
      <c r="O552" s="118">
        <v>0.16346622424298607</v>
      </c>
      <c r="P552" s="118">
        <v>0.11175122146609628</v>
      </c>
      <c r="Q552" s="118">
        <v>0.27221556080785425</v>
      </c>
      <c r="R552" s="118">
        <v>0.5033301897362441</v>
      </c>
      <c r="S552" s="118">
        <v>0.49810123160720465</v>
      </c>
      <c r="T552" s="118">
        <v>0.22670174272914112</v>
      </c>
      <c r="U552" s="118">
        <v>0.12682545007268287</v>
      </c>
      <c r="V552" s="118">
        <v>-2.8665495115980377E-2</v>
      </c>
      <c r="W552" s="118">
        <v>0.14115567013670338</v>
      </c>
      <c r="X552" s="118">
        <v>7.2623174653833722E-2</v>
      </c>
      <c r="Y552" s="118">
        <v>5.9352085977469216E-2</v>
      </c>
      <c r="Z552" s="127">
        <v>0.12959497424157962</v>
      </c>
      <c r="AA552" s="119"/>
      <c r="AB552" s="119"/>
      <c r="AC552" s="119"/>
      <c r="AD552" s="119"/>
      <c r="AE552" s="119"/>
      <c r="AF552" s="119"/>
      <c r="AG552" s="119"/>
      <c r="AH552" s="119"/>
      <c r="AI552" s="119"/>
      <c r="AJ552" s="119"/>
      <c r="AK552" s="119"/>
      <c r="AL552" s="119"/>
      <c r="AM552" s="119"/>
      <c r="AN552" s="119"/>
      <c r="AO552" s="119"/>
      <c r="AP552" s="119"/>
      <c r="AQ552" s="119"/>
      <c r="AR552" s="119"/>
      <c r="AS552" s="119"/>
      <c r="AT552" s="2"/>
      <c r="AU552" s="2"/>
    </row>
    <row r="553" spans="1:47" hidden="1" outlineLevel="1">
      <c r="A553" s="298"/>
      <c r="B553" s="128" t="s">
        <v>836</v>
      </c>
      <c r="C553" s="18" t="s">
        <v>162</v>
      </c>
      <c r="D553" s="18"/>
      <c r="E553" s="18"/>
      <c r="F553" s="18"/>
      <c r="G553" s="18"/>
      <c r="H553" s="18"/>
      <c r="I553" s="18"/>
      <c r="J553" s="18"/>
      <c r="K553" s="34"/>
      <c r="L553" s="34"/>
      <c r="M553" s="34"/>
      <c r="N553" s="31">
        <v>799.96955396559611</v>
      </c>
      <c r="O553" s="31">
        <v>808.12730142030523</v>
      </c>
      <c r="P553" s="31">
        <v>819.98298286131023</v>
      </c>
      <c r="Q553" s="31">
        <v>857.19310587407665</v>
      </c>
      <c r="R553" s="31">
        <v>932.58792878853671</v>
      </c>
      <c r="S553" s="31">
        <v>1154.2243054761632</v>
      </c>
      <c r="T553" s="31">
        <v>1203.3898305084747</v>
      </c>
      <c r="U553" s="31">
        <v>1351.7888563049855</v>
      </c>
      <c r="V553" s="31">
        <v>1460.1253511994812</v>
      </c>
      <c r="W553" s="31">
        <v>1716.1107168204401</v>
      </c>
      <c r="X553" s="31">
        <v>1942.8843407900997</v>
      </c>
      <c r="Y553" s="31">
        <v>2158.4382643355375</v>
      </c>
      <c r="Z553" s="129">
        <v>2365.4529307282419</v>
      </c>
      <c r="AA553" s="119"/>
      <c r="AB553" s="119"/>
      <c r="AC553" s="119"/>
      <c r="AD553" s="119"/>
      <c r="AE553" s="119"/>
      <c r="AF553" s="119"/>
      <c r="AG553" s="119"/>
      <c r="AH553" s="119"/>
      <c r="AI553" s="119"/>
      <c r="AJ553" s="119"/>
      <c r="AK553" s="119"/>
      <c r="AL553" s="119"/>
      <c r="AM553" s="119"/>
      <c r="AN553" s="119"/>
      <c r="AO553" s="119"/>
      <c r="AP553" s="119"/>
      <c r="AQ553" s="119"/>
      <c r="AR553" s="119"/>
      <c r="AS553" s="119"/>
      <c r="AT553" s="2"/>
      <c r="AU553" s="2"/>
    </row>
    <row r="554" spans="1:47" hidden="1" outlineLevel="1">
      <c r="A554" s="298"/>
      <c r="B554" s="430" t="s">
        <v>1099</v>
      </c>
      <c r="C554" s="22" t="s">
        <v>733</v>
      </c>
      <c r="D554" s="22"/>
      <c r="E554" s="22"/>
      <c r="F554" s="22"/>
      <c r="G554" s="22"/>
      <c r="H554" s="22"/>
      <c r="I554" s="22"/>
      <c r="J554" s="22"/>
      <c r="K554" s="41"/>
      <c r="L554" s="41"/>
      <c r="M554" s="41"/>
      <c r="N554" s="41"/>
      <c r="O554" s="130">
        <v>1.0197572412937062E-2</v>
      </c>
      <c r="P554" s="130">
        <v>1.4670561705028895E-2</v>
      </c>
      <c r="Q554" s="130">
        <v>4.5379140531578654E-2</v>
      </c>
      <c r="R554" s="130">
        <v>8.7955470474275765E-2</v>
      </c>
      <c r="S554" s="130">
        <v>0.23765735095407003</v>
      </c>
      <c r="T554" s="130">
        <v>4.2596161594456117E-2</v>
      </c>
      <c r="U554" s="130">
        <v>0.12331750030977662</v>
      </c>
      <c r="V554" s="130">
        <v>8.01430596125976E-2</v>
      </c>
      <c r="W554" s="130">
        <v>0.17531738998344837</v>
      </c>
      <c r="X554" s="130">
        <v>0.13214393555552117</v>
      </c>
      <c r="Y554" s="130">
        <v>0.11094531929665963</v>
      </c>
      <c r="Z554" s="131">
        <v>9.5909468347213922E-2</v>
      </c>
      <c r="AA554" s="119"/>
      <c r="AB554" s="119"/>
      <c r="AC554" s="119"/>
      <c r="AD554" s="119"/>
      <c r="AE554" s="119"/>
      <c r="AF554" s="119"/>
      <c r="AG554" s="119"/>
      <c r="AH554" s="119"/>
      <c r="AI554" s="119"/>
      <c r="AJ554" s="119"/>
      <c r="AK554" s="119"/>
      <c r="AL554" s="119"/>
      <c r="AM554" s="119"/>
      <c r="AN554" s="119"/>
      <c r="AO554" s="119"/>
      <c r="AP554" s="119"/>
      <c r="AQ554" s="119"/>
      <c r="AR554" s="119"/>
      <c r="AS554" s="119"/>
      <c r="AT554" s="2"/>
      <c r="AU554" s="2"/>
    </row>
    <row r="555" spans="1:47" hidden="1" outlineLevel="1">
      <c r="A555" s="308"/>
      <c r="B555" s="309"/>
      <c r="C555" s="310"/>
      <c r="D555" s="310"/>
      <c r="E555" s="310"/>
      <c r="F555" s="310"/>
      <c r="G555" s="310"/>
      <c r="H555" s="310"/>
      <c r="I555" s="310"/>
      <c r="J555" s="310"/>
      <c r="K555" s="311"/>
      <c r="L555" s="311"/>
      <c r="M555" s="311"/>
      <c r="N555" s="311"/>
      <c r="O555" s="311"/>
      <c r="P555" s="311"/>
      <c r="Q555" s="311"/>
      <c r="R555" s="311"/>
      <c r="S555" s="311"/>
      <c r="T555" s="311"/>
      <c r="U555" s="311"/>
      <c r="V555" s="311"/>
      <c r="W555" s="311"/>
      <c r="X555" s="311"/>
      <c r="Y555" s="311"/>
      <c r="Z555" s="311"/>
      <c r="AA555" s="311"/>
      <c r="AB555" s="311"/>
      <c r="AC555" s="311"/>
      <c r="AD555" s="311"/>
      <c r="AE555" s="311"/>
      <c r="AF555" s="311"/>
      <c r="AG555" s="311"/>
      <c r="AH555" s="311"/>
      <c r="AI555" s="311"/>
      <c r="AJ555" s="311"/>
      <c r="AK555" s="311"/>
      <c r="AL555" s="311"/>
      <c r="AM555" s="311"/>
      <c r="AN555" s="311"/>
      <c r="AO555" s="311"/>
      <c r="AP555" s="311"/>
      <c r="AQ555" s="311"/>
      <c r="AR555" s="311"/>
      <c r="AS555" s="311"/>
      <c r="AT555" s="312"/>
      <c r="AU555" s="514"/>
    </row>
    <row r="556" spans="1:47" hidden="1" outlineLevel="1">
      <c r="A556" s="354"/>
      <c r="B556" s="355" t="s">
        <v>1198</v>
      </c>
      <c r="C556" s="354" t="s">
        <v>732</v>
      </c>
      <c r="D556" s="354"/>
      <c r="E556" s="354"/>
      <c r="F556" s="354"/>
      <c r="G556" s="354"/>
      <c r="H556" s="354"/>
      <c r="I556" s="354"/>
      <c r="J556" s="354"/>
      <c r="K556" s="247"/>
      <c r="L556" s="247"/>
      <c r="M556" s="247"/>
      <c r="N556" s="247"/>
      <c r="O556" s="247"/>
      <c r="P556" s="247"/>
      <c r="Q556" s="247"/>
      <c r="R556" s="247"/>
      <c r="S556" s="247"/>
      <c r="T556" s="247"/>
      <c r="U556" s="548">
        <v>11</v>
      </c>
      <c r="V556" s="548">
        <v>12</v>
      </c>
      <c r="W556" s="548">
        <v>12</v>
      </c>
      <c r="X556" s="548">
        <v>13</v>
      </c>
      <c r="Y556" s="548">
        <v>14</v>
      </c>
      <c r="Z556" s="548">
        <v>16</v>
      </c>
      <c r="AA556" s="548">
        <v>15</v>
      </c>
      <c r="AB556" s="548">
        <v>14</v>
      </c>
      <c r="AC556" s="548">
        <v>12</v>
      </c>
      <c r="AD556" s="548">
        <v>15</v>
      </c>
      <c r="AE556" s="548">
        <v>-8</v>
      </c>
      <c r="AF556" s="247">
        <v>-7.7499999999999991</v>
      </c>
      <c r="AG556" s="247">
        <v>-7.265625</v>
      </c>
      <c r="AH556" s="247">
        <v>-6.8115234374999982</v>
      </c>
      <c r="AI556" s="247">
        <v>-6.3858032226562482</v>
      </c>
      <c r="AJ556" s="247">
        <v>-5.9866905212402326</v>
      </c>
      <c r="AK556" s="247">
        <v>-5.612522363662718</v>
      </c>
      <c r="AL556" s="247">
        <v>-5.261739715933798</v>
      </c>
      <c r="AM556" s="247">
        <v>-4.9328809836879355</v>
      </c>
      <c r="AN556" s="247">
        <v>-4.6245759222074394</v>
      </c>
      <c r="AO556" s="247">
        <v>-4.3355399270694743</v>
      </c>
      <c r="AP556" s="247">
        <v>-4.0645686816276321</v>
      </c>
      <c r="AQ556" s="247">
        <v>-4.0645686816276321</v>
      </c>
      <c r="AR556" s="247">
        <v>-4.0645686816276321</v>
      </c>
      <c r="AS556" s="247">
        <v>-4.0645686816276321</v>
      </c>
      <c r="AT556" s="254"/>
      <c r="AU556" s="254"/>
    </row>
    <row r="557" spans="1:47" hidden="1" outlineLevel="1">
      <c r="A557" s="308"/>
      <c r="B557" s="322" t="s">
        <v>1099</v>
      </c>
      <c r="C557" s="310" t="s">
        <v>733</v>
      </c>
      <c r="D557" s="310"/>
      <c r="E557" s="310"/>
      <c r="F557" s="310"/>
      <c r="G557" s="310"/>
      <c r="H557" s="310"/>
      <c r="I557" s="310"/>
      <c r="J557" s="310"/>
      <c r="K557" s="311"/>
      <c r="L557" s="311"/>
      <c r="M557" s="311"/>
      <c r="N557" s="311"/>
      <c r="O557" s="311"/>
      <c r="P557" s="311"/>
      <c r="Q557" s="311"/>
      <c r="R557" s="311"/>
      <c r="S557" s="311"/>
      <c r="T557" s="311"/>
      <c r="U557" s="311"/>
      <c r="V557" s="311"/>
      <c r="W557" s="311">
        <v>0</v>
      </c>
      <c r="X557" s="311">
        <v>8.3333333333333259E-2</v>
      </c>
      <c r="Y557" s="311">
        <v>7.6923076923076872E-2</v>
      </c>
      <c r="Z557" s="311">
        <v>0.14285714285714279</v>
      </c>
      <c r="AA557" s="311">
        <v>-6.25E-2</v>
      </c>
      <c r="AB557" s="311">
        <v>-6.6666666666666652E-2</v>
      </c>
      <c r="AC557" s="311">
        <v>-0.1428571428571429</v>
      </c>
      <c r="AD557" s="311">
        <v>0.25</v>
      </c>
      <c r="AE557" s="311">
        <v>-1.5333333333333332</v>
      </c>
      <c r="AF557" s="311">
        <v>-3.1250000000000111E-2</v>
      </c>
      <c r="AG557" s="311">
        <v>-6.2499999999999889E-2</v>
      </c>
      <c r="AH557" s="311">
        <v>-6.2500000000000222E-2</v>
      </c>
      <c r="AI557" s="311">
        <v>-6.25E-2</v>
      </c>
      <c r="AJ557" s="311">
        <v>-6.25E-2</v>
      </c>
      <c r="AK557" s="311">
        <v>-6.25E-2</v>
      </c>
      <c r="AL557" s="311">
        <v>-6.25E-2</v>
      </c>
      <c r="AM557" s="311">
        <v>-6.25E-2</v>
      </c>
      <c r="AN557" s="311">
        <v>-6.25E-2</v>
      </c>
      <c r="AO557" s="311">
        <v>-6.25E-2</v>
      </c>
      <c r="AP557" s="311">
        <v>-6.25E-2</v>
      </c>
      <c r="AQ557" s="311">
        <v>-6.25E-2</v>
      </c>
      <c r="AR557" s="311">
        <v>-6.25E-2</v>
      </c>
      <c r="AS557" s="311">
        <v>-6.25E-2</v>
      </c>
      <c r="AT557" s="312"/>
      <c r="AU557" s="514"/>
    </row>
    <row r="558" spans="1:47" hidden="1" outlineLevel="1">
      <c r="A558" s="357"/>
      <c r="B558" s="358" t="s">
        <v>1194</v>
      </c>
      <c r="C558" s="357" t="s">
        <v>772</v>
      </c>
      <c r="D558" s="357"/>
      <c r="E558" s="357"/>
      <c r="F558" s="357"/>
      <c r="G558" s="357"/>
      <c r="H558" s="357"/>
      <c r="I558" s="357"/>
      <c r="J558" s="357"/>
      <c r="K558" s="359"/>
      <c r="L558" s="359"/>
      <c r="M558" s="359"/>
      <c r="N558" s="359"/>
      <c r="O558" s="359"/>
      <c r="P558" s="359"/>
      <c r="Q558" s="359"/>
      <c r="R558" s="359"/>
      <c r="S558" s="359"/>
      <c r="T558" s="359"/>
      <c r="U558" s="359"/>
      <c r="V558" s="359"/>
      <c r="W558" s="359">
        <v>39.999999999999993</v>
      </c>
      <c r="X558" s="359">
        <v>40.123456790123456</v>
      </c>
      <c r="Y558" s="359">
        <v>38.888888888888893</v>
      </c>
      <c r="Z558" s="359">
        <v>44.444444444444443</v>
      </c>
      <c r="AA558" s="359">
        <v>43.103448275862064</v>
      </c>
      <c r="AB558" s="359">
        <v>36.458333333333336</v>
      </c>
      <c r="AC558" s="359">
        <v>31.25</v>
      </c>
      <c r="AD558" s="359">
        <v>39.0625</v>
      </c>
      <c r="AE558" s="359">
        <v>-22.222222222222221</v>
      </c>
      <c r="AF558" s="359">
        <v>-22.222222222222221</v>
      </c>
      <c r="AG558" s="359">
        <v>-22.222222222222221</v>
      </c>
      <c r="AH558" s="359">
        <v>-22.222222222222221</v>
      </c>
      <c r="AI558" s="359">
        <v>-22.222222222222221</v>
      </c>
      <c r="AJ558" s="359">
        <v>-22.222222222222221</v>
      </c>
      <c r="AK558" s="359">
        <v>-22.222222222222221</v>
      </c>
      <c r="AL558" s="359">
        <v>-22.222222222222221</v>
      </c>
      <c r="AM558" s="359">
        <v>-22.222222222222221</v>
      </c>
      <c r="AN558" s="359">
        <v>-22.222222222222221</v>
      </c>
      <c r="AO558" s="359">
        <v>-22.222222222222221</v>
      </c>
      <c r="AP558" s="359">
        <v>-22.222222222222221</v>
      </c>
      <c r="AQ558" s="359">
        <v>-22.222222222222221</v>
      </c>
      <c r="AR558" s="359">
        <v>-22.222222222222221</v>
      </c>
      <c r="AS558" s="359">
        <v>-22.222222222222221</v>
      </c>
      <c r="AT558" s="360"/>
      <c r="AU558" s="360"/>
    </row>
    <row r="559" spans="1:47" hidden="1" outlineLevel="1">
      <c r="A559" s="308"/>
      <c r="B559" s="347" t="s">
        <v>1099</v>
      </c>
      <c r="C559" s="310" t="s">
        <v>733</v>
      </c>
      <c r="D559" s="310"/>
      <c r="E559" s="310"/>
      <c r="F559" s="310"/>
      <c r="G559" s="310"/>
      <c r="H559" s="310"/>
      <c r="I559" s="310"/>
      <c r="J559" s="310"/>
      <c r="K559" s="311"/>
      <c r="L559" s="311"/>
      <c r="M559" s="311"/>
      <c r="N559" s="311"/>
      <c r="O559" s="311"/>
      <c r="P559" s="311"/>
      <c r="Q559" s="311"/>
      <c r="R559" s="311"/>
      <c r="S559" s="311"/>
      <c r="T559" s="311"/>
      <c r="U559" s="311"/>
      <c r="V559" s="311"/>
      <c r="W559" s="311"/>
      <c r="X559" s="311">
        <v>3.0864197530866555E-3</v>
      </c>
      <c r="Y559" s="311">
        <v>-3.076923076923066E-2</v>
      </c>
      <c r="Z559" s="311">
        <v>0.14285714285714279</v>
      </c>
      <c r="AA559" s="311">
        <v>-3.0172413793103536E-2</v>
      </c>
      <c r="AB559" s="311">
        <v>-0.15416666666666656</v>
      </c>
      <c r="AC559" s="311">
        <v>-0.1428571428571429</v>
      </c>
      <c r="AD559" s="311">
        <v>0.25</v>
      </c>
      <c r="AE559" s="311">
        <v>-1.568888888888889</v>
      </c>
      <c r="AF559" s="623">
        <v>0</v>
      </c>
      <c r="AG559" s="623">
        <v>0</v>
      </c>
      <c r="AH559" s="623">
        <v>0</v>
      </c>
      <c r="AI559" s="623">
        <v>0</v>
      </c>
      <c r="AJ559" s="623">
        <v>0</v>
      </c>
      <c r="AK559" s="623">
        <v>0</v>
      </c>
      <c r="AL559" s="623">
        <v>0</v>
      </c>
      <c r="AM559" s="623">
        <v>0</v>
      </c>
      <c r="AN559" s="623">
        <v>0</v>
      </c>
      <c r="AO559" s="623">
        <v>0</v>
      </c>
      <c r="AP559" s="623">
        <v>0</v>
      </c>
      <c r="AQ559" s="623">
        <v>0</v>
      </c>
      <c r="AR559" s="623">
        <v>0</v>
      </c>
      <c r="AS559" s="623">
        <v>0</v>
      </c>
      <c r="AT559" s="312"/>
      <c r="AU559" s="514"/>
    </row>
    <row r="560" spans="1:47" hidden="1" outlineLevel="1">
      <c r="A560" s="298"/>
      <c r="B560" s="2"/>
      <c r="C560" s="18"/>
      <c r="D560" s="18"/>
      <c r="E560" s="18"/>
      <c r="F560" s="18"/>
      <c r="G560" s="18"/>
      <c r="H560" s="18"/>
      <c r="I560" s="18"/>
      <c r="J560" s="18"/>
      <c r="K560" s="7"/>
      <c r="L560" s="7"/>
      <c r="M560" s="7"/>
      <c r="N560" s="7"/>
      <c r="O560" s="7"/>
      <c r="P560" s="7"/>
      <c r="Q560" s="7"/>
      <c r="R560" s="7"/>
      <c r="S560" s="7"/>
      <c r="T560" s="7"/>
      <c r="U560" s="7"/>
      <c r="V560" s="7"/>
      <c r="W560" s="7"/>
      <c r="X560" s="7"/>
      <c r="Y560" s="7"/>
      <c r="Z560" s="7"/>
      <c r="AA560" s="7"/>
      <c r="AB560" s="7"/>
      <c r="AC560" s="7"/>
      <c r="AD560" s="7"/>
      <c r="AE560" s="7"/>
      <c r="AF560" s="7"/>
      <c r="AG560" s="7"/>
      <c r="AH560" s="7"/>
      <c r="AI560" s="7"/>
      <c r="AJ560" s="7"/>
      <c r="AK560" s="7"/>
      <c r="AL560" s="7"/>
      <c r="AM560" s="7"/>
      <c r="AN560" s="7"/>
      <c r="AO560" s="7"/>
      <c r="AP560" s="7"/>
      <c r="AQ560" s="7"/>
      <c r="AR560" s="7"/>
      <c r="AS560" s="7"/>
      <c r="AT560" s="2"/>
      <c r="AU560" s="2"/>
    </row>
    <row r="561" spans="1:47" ht="15.6" hidden="1" outlineLevel="1">
      <c r="A561" s="298"/>
      <c r="B561" s="737" t="s">
        <v>178</v>
      </c>
      <c r="C561" s="283"/>
      <c r="D561" s="284"/>
      <c r="E561" s="284"/>
      <c r="F561" s="284"/>
      <c r="G561" s="285"/>
      <c r="H561" s="285"/>
      <c r="I561" s="285"/>
      <c r="J561" s="285"/>
      <c r="K561" s="285"/>
      <c r="L561" s="285"/>
      <c r="M561" s="285"/>
      <c r="N561" s="284"/>
      <c r="O561" s="286"/>
      <c r="P561" s="286"/>
      <c r="Q561" s="286"/>
      <c r="R561" s="286"/>
      <c r="S561" s="286"/>
      <c r="T561" s="286"/>
      <c r="U561" s="286"/>
      <c r="V561" s="285"/>
      <c r="W561" s="285"/>
      <c r="X561" s="285"/>
      <c r="Y561" s="285"/>
      <c r="Z561" s="285"/>
      <c r="AA561" s="285"/>
      <c r="AB561" s="285"/>
      <c r="AC561" s="285"/>
      <c r="AD561" s="285"/>
      <c r="AE561" s="285"/>
      <c r="AF561" s="285"/>
      <c r="AG561" s="285"/>
      <c r="AH561" s="285"/>
      <c r="AI561" s="285"/>
      <c r="AJ561" s="285"/>
      <c r="AK561" s="285"/>
      <c r="AL561" s="285"/>
      <c r="AM561" s="285"/>
      <c r="AN561" s="285"/>
      <c r="AO561" s="285"/>
      <c r="AP561" s="285"/>
      <c r="AQ561" s="285"/>
      <c r="AR561" s="285"/>
      <c r="AS561" s="285"/>
      <c r="AT561" s="2"/>
      <c r="AU561" s="2"/>
    </row>
    <row r="562" spans="1:47" hidden="1" outlineLevel="1">
      <c r="A562" s="298"/>
      <c r="B562" s="54" t="s">
        <v>611</v>
      </c>
      <c r="C562" s="21"/>
      <c r="D562" s="21"/>
      <c r="E562" s="21"/>
      <c r="F562" s="21"/>
      <c r="G562" s="21"/>
      <c r="H562" s="21"/>
      <c r="I562" s="21"/>
      <c r="J562" s="21"/>
      <c r="K562" s="34"/>
      <c r="L562" s="34"/>
      <c r="M562" s="34"/>
      <c r="N562" s="34"/>
      <c r="O562" s="34"/>
      <c r="P562" s="34"/>
      <c r="Q562" s="34"/>
      <c r="R562" s="34"/>
      <c r="S562" s="34"/>
      <c r="T562" s="34"/>
      <c r="U562" s="34"/>
      <c r="V562" s="34"/>
      <c r="W562" s="34"/>
      <c r="X562" s="34"/>
      <c r="Y562" s="34"/>
      <c r="Z562" s="34"/>
      <c r="AA562" s="34"/>
      <c r="AB562" s="34"/>
      <c r="AC562" s="34"/>
      <c r="AD562" s="34"/>
      <c r="AE562" s="34"/>
      <c r="AF562" s="34"/>
      <c r="AG562" s="34"/>
      <c r="AH562" s="34"/>
      <c r="AI562" s="34"/>
      <c r="AJ562" s="34"/>
      <c r="AK562" s="34"/>
      <c r="AL562" s="34"/>
      <c r="AM562" s="34"/>
      <c r="AN562" s="34"/>
      <c r="AO562" s="34"/>
      <c r="AP562" s="34"/>
      <c r="AQ562" s="34"/>
      <c r="AR562" s="34"/>
      <c r="AS562" s="34"/>
      <c r="AT562" s="2"/>
      <c r="AU562" s="2"/>
    </row>
    <row r="563" spans="1:47" hidden="1" outlineLevel="1">
      <c r="A563" s="298"/>
      <c r="B563" s="55" t="s">
        <v>612</v>
      </c>
      <c r="C563" s="18" t="s">
        <v>732</v>
      </c>
      <c r="D563" s="18"/>
      <c r="E563" s="18"/>
      <c r="F563" s="18"/>
      <c r="G563" s="18"/>
      <c r="H563" s="18"/>
      <c r="I563" s="18"/>
      <c r="J563" s="18"/>
      <c r="K563" s="56">
        <v>2005</v>
      </c>
      <c r="L563" s="56">
        <v>2360</v>
      </c>
      <c r="M563" s="56">
        <v>2880</v>
      </c>
      <c r="N563" s="56">
        <v>3083</v>
      </c>
      <c r="O563" s="56">
        <v>3237</v>
      </c>
      <c r="P563" s="56">
        <v>3362</v>
      </c>
      <c r="Q563" s="56">
        <v>3317</v>
      </c>
      <c r="R563" s="56">
        <v>3333</v>
      </c>
      <c r="S563" s="56">
        <v>3278</v>
      </c>
      <c r="T563" s="56">
        <v>3157</v>
      </c>
      <c r="U563" s="56">
        <v>2978</v>
      </c>
      <c r="V563" s="56">
        <v>2843</v>
      </c>
      <c r="W563" s="56">
        <v>2686.1513324072362</v>
      </c>
      <c r="X563" s="549">
        <v>2588</v>
      </c>
      <c r="Y563" s="56"/>
      <c r="Z563" s="56"/>
      <c r="AA563" s="56"/>
      <c r="AB563" s="56"/>
      <c r="AC563" s="56"/>
      <c r="AD563" s="56"/>
      <c r="AE563" s="56"/>
      <c r="AF563" s="56"/>
      <c r="AG563" s="56"/>
      <c r="AH563" s="56"/>
      <c r="AI563" s="56"/>
      <c r="AJ563" s="56"/>
      <c r="AK563" s="56"/>
      <c r="AL563" s="56"/>
      <c r="AM563" s="56"/>
      <c r="AN563" s="56"/>
      <c r="AO563" s="56"/>
      <c r="AP563" s="56"/>
      <c r="AQ563" s="56"/>
      <c r="AR563" s="56"/>
      <c r="AS563" s="56"/>
      <c r="AT563" s="2"/>
      <c r="AU563" s="2"/>
    </row>
    <row r="564" spans="1:47" hidden="1" outlineLevel="1">
      <c r="A564" s="298"/>
      <c r="B564" s="57" t="s">
        <v>613</v>
      </c>
      <c r="C564" s="22" t="s">
        <v>732</v>
      </c>
      <c r="D564" s="22"/>
      <c r="E564" s="22"/>
      <c r="F564" s="22"/>
      <c r="G564" s="22"/>
      <c r="H564" s="22"/>
      <c r="I564" s="22"/>
      <c r="J564" s="22"/>
      <c r="K564" s="58">
        <v>6244</v>
      </c>
      <c r="L564" s="58">
        <v>5483</v>
      </c>
      <c r="M564" s="58">
        <v>4876</v>
      </c>
      <c r="N564" s="58">
        <v>5183</v>
      </c>
      <c r="O564" s="58">
        <v>5093</v>
      </c>
      <c r="P564" s="58">
        <v>4378</v>
      </c>
      <c r="Q564" s="58">
        <v>3884</v>
      </c>
      <c r="R564" s="58">
        <v>3554</v>
      </c>
      <c r="S564" s="58">
        <v>3388</v>
      </c>
      <c r="T564" s="58">
        <v>3179</v>
      </c>
      <c r="U564" s="58">
        <v>2854</v>
      </c>
      <c r="V564" s="58">
        <v>2513</v>
      </c>
      <c r="W564" s="58">
        <v>2297.5679228817703</v>
      </c>
      <c r="X564" s="58">
        <v>1771</v>
      </c>
      <c r="Y564" s="39"/>
      <c r="Z564" s="39"/>
      <c r="AA564" s="58"/>
      <c r="AB564" s="58"/>
      <c r="AC564" s="58"/>
      <c r="AD564" s="58"/>
      <c r="AE564" s="58"/>
      <c r="AF564" s="58"/>
      <c r="AG564" s="58"/>
      <c r="AH564" s="58"/>
      <c r="AI564" s="58"/>
      <c r="AJ564" s="58"/>
      <c r="AK564" s="58"/>
      <c r="AL564" s="58"/>
      <c r="AM564" s="58"/>
      <c r="AN564" s="58"/>
      <c r="AO564" s="58"/>
      <c r="AP564" s="58"/>
      <c r="AQ564" s="58"/>
      <c r="AR564" s="58"/>
      <c r="AS564" s="58"/>
      <c r="AT564" s="2"/>
      <c r="AU564" s="2"/>
    </row>
    <row r="565" spans="1:47" hidden="1" outlineLevel="1">
      <c r="A565" s="298"/>
      <c r="B565" s="59" t="s">
        <v>141</v>
      </c>
      <c r="C565" s="21" t="s">
        <v>732</v>
      </c>
      <c r="D565" s="21"/>
      <c r="E565" s="21"/>
      <c r="F565" s="21"/>
      <c r="G565" s="21"/>
      <c r="H565" s="21"/>
      <c r="I565" s="21"/>
      <c r="J565" s="21"/>
      <c r="K565" s="60">
        <v>8249</v>
      </c>
      <c r="L565" s="60">
        <v>7843</v>
      </c>
      <c r="M565" s="60">
        <v>7756</v>
      </c>
      <c r="N565" s="60">
        <v>8266</v>
      </c>
      <c r="O565" s="60">
        <v>8330</v>
      </c>
      <c r="P565" s="60">
        <v>7740</v>
      </c>
      <c r="Q565" s="60">
        <v>7201</v>
      </c>
      <c r="R565" s="60">
        <v>6887</v>
      </c>
      <c r="S565" s="60">
        <v>6666</v>
      </c>
      <c r="T565" s="60">
        <v>6336</v>
      </c>
      <c r="U565" s="60">
        <v>5832</v>
      </c>
      <c r="V565" s="60">
        <v>5356</v>
      </c>
      <c r="W565" s="60">
        <v>4817.7105600000004</v>
      </c>
      <c r="X565" s="60">
        <v>4359.1102600000004</v>
      </c>
      <c r="Y565" s="60">
        <v>4034</v>
      </c>
      <c r="Z565" s="60">
        <v>3746</v>
      </c>
      <c r="AA565" s="60">
        <v>3437</v>
      </c>
      <c r="AB565" s="60">
        <v>3124</v>
      </c>
      <c r="AC565" s="60">
        <v>2642</v>
      </c>
      <c r="AD565" s="60">
        <v>2236.4238078000003</v>
      </c>
      <c r="AE565" s="60">
        <v>2018.3724865394995</v>
      </c>
      <c r="AF565" s="60">
        <v>1821.5811691018982</v>
      </c>
      <c r="AG565" s="60">
        <v>1643.9770051144628</v>
      </c>
      <c r="AH565" s="60">
        <v>1483.6892471158026</v>
      </c>
      <c r="AI565" s="60">
        <v>1339.0295455220116</v>
      </c>
      <c r="AJ565" s="60">
        <v>1208.4741648336153</v>
      </c>
      <c r="AK565" s="60">
        <v>1090.6479337623375</v>
      </c>
      <c r="AL565" s="60">
        <v>984.30976022050947</v>
      </c>
      <c r="AM565" s="60">
        <v>888.33955859900971</v>
      </c>
      <c r="AN565" s="60">
        <v>801.72645163560617</v>
      </c>
      <c r="AO565" s="60">
        <v>723.55812260113453</v>
      </c>
      <c r="AP565" s="60">
        <v>653.01120564752375</v>
      </c>
      <c r="AQ565" s="60">
        <v>653.01120564752375</v>
      </c>
      <c r="AR565" s="60">
        <v>653.01120564752375</v>
      </c>
      <c r="AS565" s="60">
        <v>653.01120564752375</v>
      </c>
      <c r="AT565" s="2"/>
      <c r="AU565" s="2"/>
    </row>
    <row r="566" spans="1:47" hidden="1" outlineLevel="1">
      <c r="A566" s="298"/>
      <c r="B566" s="113" t="s">
        <v>519</v>
      </c>
      <c r="C566" s="18"/>
      <c r="D566" s="18"/>
      <c r="E566" s="18"/>
      <c r="F566" s="18"/>
      <c r="G566" s="18"/>
      <c r="H566" s="18"/>
      <c r="I566" s="18"/>
      <c r="J566" s="18"/>
      <c r="K566" s="60"/>
      <c r="L566" s="60"/>
      <c r="M566" s="60"/>
      <c r="N566" s="60"/>
      <c r="O566" s="60"/>
      <c r="P566" s="60"/>
      <c r="Q566" s="60"/>
      <c r="R566" s="60"/>
      <c r="S566" s="60"/>
      <c r="T566" s="60"/>
      <c r="U566" s="60"/>
      <c r="V566" s="60"/>
      <c r="W566" s="56"/>
      <c r="X566" s="452">
        <v>88.666666666666671</v>
      </c>
      <c r="Y566" s="452">
        <v>316.46857142857141</v>
      </c>
      <c r="Z566" s="56"/>
      <c r="AA566" s="56"/>
      <c r="AB566" s="61"/>
      <c r="AC566" s="56"/>
      <c r="AD566" s="56"/>
      <c r="AE566" s="56"/>
      <c r="AF566" s="56"/>
      <c r="AG566" s="56"/>
      <c r="AH566" s="56"/>
      <c r="AI566" s="56"/>
      <c r="AJ566" s="56"/>
      <c r="AK566" s="56"/>
      <c r="AL566" s="56"/>
      <c r="AM566" s="56"/>
      <c r="AN566" s="56"/>
      <c r="AO566" s="56"/>
      <c r="AP566" s="56"/>
      <c r="AQ566" s="56"/>
      <c r="AR566" s="56"/>
      <c r="AS566" s="56"/>
      <c r="AT566" s="2"/>
      <c r="AU566" s="2"/>
    </row>
    <row r="567" spans="1:47" hidden="1" outlineLevel="1">
      <c r="A567" s="298"/>
      <c r="B567" s="59" t="s">
        <v>141</v>
      </c>
      <c r="C567" s="21" t="s">
        <v>732</v>
      </c>
      <c r="D567" s="21"/>
      <c r="E567" s="21"/>
      <c r="F567" s="21"/>
      <c r="G567" s="21"/>
      <c r="H567" s="21"/>
      <c r="I567" s="21"/>
      <c r="J567" s="21"/>
      <c r="K567" s="60"/>
      <c r="L567" s="60"/>
      <c r="M567" s="60"/>
      <c r="N567" s="60"/>
      <c r="O567" s="60"/>
      <c r="P567" s="60">
        <v>7740</v>
      </c>
      <c r="Q567" s="60">
        <v>7201</v>
      </c>
      <c r="R567" s="60">
        <v>6887</v>
      </c>
      <c r="S567" s="60">
        <v>6666</v>
      </c>
      <c r="T567" s="60">
        <v>6336</v>
      </c>
      <c r="U567" s="60">
        <v>5832</v>
      </c>
      <c r="V567" s="60">
        <v>5356</v>
      </c>
      <c r="W567" s="60">
        <v>4817.7105600000004</v>
      </c>
      <c r="X567" s="60">
        <v>4447.7769266666674</v>
      </c>
      <c r="Y567" s="60">
        <v>4350.4685714285715</v>
      </c>
      <c r="Z567" s="60">
        <v>3746</v>
      </c>
      <c r="AA567" s="60">
        <v>3437</v>
      </c>
      <c r="AB567" s="62">
        <v>3124</v>
      </c>
      <c r="AC567" s="60">
        <v>2642</v>
      </c>
      <c r="AD567" s="60">
        <v>2236.4238078000003</v>
      </c>
      <c r="AE567" s="60">
        <v>2018.3724865394995</v>
      </c>
      <c r="AF567" s="60">
        <v>1821.5811691018982</v>
      </c>
      <c r="AG567" s="60">
        <v>1643.9770051144628</v>
      </c>
      <c r="AH567" s="60">
        <v>1483.6892471158026</v>
      </c>
      <c r="AI567" s="60">
        <v>1339.0295455220116</v>
      </c>
      <c r="AJ567" s="60">
        <v>1208.4741648336153</v>
      </c>
      <c r="AK567" s="60">
        <v>1090.6479337623375</v>
      </c>
      <c r="AL567" s="60">
        <v>984.30976022050947</v>
      </c>
      <c r="AM567" s="60">
        <v>888.33955859900971</v>
      </c>
      <c r="AN567" s="60">
        <v>801.72645163560617</v>
      </c>
      <c r="AO567" s="60">
        <v>723.55812260113453</v>
      </c>
      <c r="AP567" s="60">
        <v>653.01120564752375</v>
      </c>
      <c r="AQ567" s="60">
        <v>653.01120564752375</v>
      </c>
      <c r="AR567" s="60">
        <v>653.01120564752375</v>
      </c>
      <c r="AS567" s="60">
        <v>653.01120564752375</v>
      </c>
      <c r="AT567" s="2"/>
      <c r="AU567" s="2"/>
    </row>
    <row r="568" spans="1:47" hidden="1" outlineLevel="1">
      <c r="A568" s="300"/>
      <c r="B568" s="54" t="s">
        <v>365</v>
      </c>
      <c r="C568" s="63"/>
      <c r="D568" s="63"/>
      <c r="E568" s="63"/>
      <c r="F568" s="63"/>
      <c r="G568" s="63"/>
      <c r="H568" s="63"/>
      <c r="I568" s="63"/>
      <c r="J568" s="63"/>
      <c r="K568" s="64"/>
      <c r="L568" s="64"/>
      <c r="M568" s="64"/>
      <c r="N568" s="64"/>
      <c r="O568" s="64"/>
      <c r="P568" s="64"/>
      <c r="Q568" s="64"/>
      <c r="R568" s="64"/>
      <c r="S568" s="65">
        <v>-3.2089443879773527E-2</v>
      </c>
      <c r="T568" s="65">
        <v>-4.9504950495049549E-2</v>
      </c>
      <c r="U568" s="65">
        <v>-7.9545454545454586E-2</v>
      </c>
      <c r="V568" s="65">
        <v>-8.1618655692729747E-2</v>
      </c>
      <c r="W568" s="65">
        <v>-0.10050213592233004</v>
      </c>
      <c r="X568" s="65">
        <v>-7.6786188943101075E-2</v>
      </c>
      <c r="Y568" s="65">
        <v>-2.1877975636476532E-2</v>
      </c>
      <c r="Z568" s="65">
        <v>-0.13894332564505374</v>
      </c>
      <c r="AA568" s="65">
        <v>-8.2487987186332101E-2</v>
      </c>
      <c r="AB568" s="65">
        <v>-9.1067791678789645E-2</v>
      </c>
      <c r="AC568" s="65">
        <v>-0.1542893725992317</v>
      </c>
      <c r="AD568" s="65">
        <v>-0.15351104928084769</v>
      </c>
      <c r="AE568" s="65">
        <v>-9.7500000000000364E-2</v>
      </c>
      <c r="AF568" s="65">
        <v>-9.7500000000000031E-2</v>
      </c>
      <c r="AG568" s="65">
        <v>-9.7500000000000142E-2</v>
      </c>
      <c r="AH568" s="65">
        <v>-9.7500000000000031E-2</v>
      </c>
      <c r="AI568" s="65">
        <v>-9.7500000000000142E-2</v>
      </c>
      <c r="AJ568" s="65">
        <v>-9.7500000000000142E-2</v>
      </c>
      <c r="AK568" s="65">
        <v>-9.7500000000000253E-2</v>
      </c>
      <c r="AL568" s="65">
        <v>-9.7500000000000142E-2</v>
      </c>
      <c r="AM568" s="65">
        <v>-9.7500000000000142E-2</v>
      </c>
      <c r="AN568" s="65">
        <v>-9.7500000000000142E-2</v>
      </c>
      <c r="AO568" s="65">
        <v>-9.7500000000000031E-2</v>
      </c>
      <c r="AP568" s="65">
        <v>-9.7500000000000253E-2</v>
      </c>
      <c r="AQ568" s="65">
        <v>-9.7500000000000253E-2</v>
      </c>
      <c r="AR568" s="65">
        <v>-9.7500000000000253E-2</v>
      </c>
      <c r="AS568" s="65">
        <v>-9.7500000000000253E-2</v>
      </c>
      <c r="AT568" s="66"/>
      <c r="AU568" s="66"/>
    </row>
    <row r="569" spans="1:47" hidden="1" outlineLevel="1">
      <c r="A569" s="298"/>
      <c r="B569" s="55" t="s">
        <v>366</v>
      </c>
      <c r="C569" s="18" t="s">
        <v>732</v>
      </c>
      <c r="D569" s="18"/>
      <c r="E569" s="18"/>
      <c r="F569" s="18"/>
      <c r="G569" s="18"/>
      <c r="H569" s="18"/>
      <c r="I569" s="18"/>
      <c r="J569" s="18"/>
      <c r="K569" s="56">
        <v>0</v>
      </c>
      <c r="L569" s="56">
        <v>52</v>
      </c>
      <c r="M569" s="56">
        <v>115</v>
      </c>
      <c r="N569" s="56">
        <v>212</v>
      </c>
      <c r="O569" s="56">
        <v>270</v>
      </c>
      <c r="P569" s="56">
        <v>551</v>
      </c>
      <c r="Q569" s="56">
        <v>770</v>
      </c>
      <c r="R569" s="56">
        <v>1051</v>
      </c>
      <c r="S569" s="56">
        <v>1218</v>
      </c>
      <c r="T569" s="56">
        <v>1447</v>
      </c>
      <c r="U569" s="56">
        <v>1478</v>
      </c>
      <c r="V569" s="56">
        <v>1481</v>
      </c>
      <c r="W569" s="56">
        <v>1608</v>
      </c>
      <c r="X569" s="56">
        <v>1757</v>
      </c>
      <c r="Y569" s="56">
        <v>1889.2227599999999</v>
      </c>
      <c r="Z569" s="56">
        <v>2021.4179999999999</v>
      </c>
      <c r="AA569" s="56">
        <v>2170.5348000000004</v>
      </c>
      <c r="AB569" s="61">
        <v>2154.2274000000002</v>
      </c>
      <c r="AC569" s="56">
        <v>2197.8432000000003</v>
      </c>
      <c r="AD569" s="56">
        <v>2158.036990825552</v>
      </c>
      <c r="AE569" s="56">
        <v>2137.1504360807744</v>
      </c>
      <c r="AF569" s="56">
        <v>2174.3755972003141</v>
      </c>
      <c r="AG569" s="56">
        <v>2202.6424799639176</v>
      </c>
      <c r="AH569" s="56">
        <v>2208.9640638814139</v>
      </c>
      <c r="AI569" s="56">
        <v>2215.3037907447538</v>
      </c>
      <c r="AJ569" s="56">
        <v>2221.6617126241913</v>
      </c>
      <c r="AK569" s="56">
        <v>2228.0378817394226</v>
      </c>
      <c r="AL569" s="56">
        <v>2234.4323504600143</v>
      </c>
      <c r="AM569" s="56">
        <v>2240.8451713058344</v>
      </c>
      <c r="AN569" s="56">
        <v>2247.2763969474822</v>
      </c>
      <c r="AO569" s="56">
        <v>2253.7260802067212</v>
      </c>
      <c r="AP569" s="56">
        <v>2260.1942740569143</v>
      </c>
      <c r="AQ569" s="56">
        <v>2260.1942740569143</v>
      </c>
      <c r="AR569" s="56">
        <v>2260.1942740569143</v>
      </c>
      <c r="AS569" s="56">
        <v>2260.1942740569143</v>
      </c>
      <c r="AT569" s="2"/>
      <c r="AU569" s="2"/>
    </row>
    <row r="570" spans="1:47" hidden="1" outlineLevel="1">
      <c r="A570" s="298"/>
      <c r="B570" s="55" t="s">
        <v>568</v>
      </c>
      <c r="C570" s="18" t="s">
        <v>732</v>
      </c>
      <c r="D570" s="18"/>
      <c r="E570" s="18"/>
      <c r="F570" s="18"/>
      <c r="G570" s="18"/>
      <c r="H570" s="18"/>
      <c r="I570" s="18"/>
      <c r="J570" s="18"/>
      <c r="K570" s="60"/>
      <c r="L570" s="56">
        <v>6</v>
      </c>
      <c r="M570" s="56">
        <v>28</v>
      </c>
      <c r="N570" s="56">
        <v>49</v>
      </c>
      <c r="O570" s="56">
        <v>150</v>
      </c>
      <c r="P570" s="56">
        <v>267</v>
      </c>
      <c r="Q570" s="549">
        <v>466</v>
      </c>
      <c r="R570" s="56">
        <v>542</v>
      </c>
      <c r="S570" s="56">
        <v>531</v>
      </c>
      <c r="T570" s="56">
        <v>469</v>
      </c>
      <c r="U570" s="56">
        <v>449</v>
      </c>
      <c r="V570" s="56">
        <v>405</v>
      </c>
      <c r="W570" s="56">
        <v>352</v>
      </c>
      <c r="X570" s="56">
        <v>302</v>
      </c>
      <c r="Y570" s="56">
        <v>302</v>
      </c>
      <c r="Z570" s="56">
        <v>330.53299101412074</v>
      </c>
      <c r="AA570" s="56">
        <v>315</v>
      </c>
      <c r="AB570" s="61">
        <v>292.98935157644263</v>
      </c>
      <c r="AC570" s="56">
        <v>222.25886555621656</v>
      </c>
      <c r="AD570" s="56">
        <v>127.58866937756054</v>
      </c>
      <c r="AE570" s="56">
        <v>80.973520607662962</v>
      </c>
      <c r="AF570" s="56">
        <v>84.048249576067917</v>
      </c>
      <c r="AG570" s="56">
        <v>85.992285588762343</v>
      </c>
      <c r="AH570" s="56">
        <v>87.981287154430404</v>
      </c>
      <c r="AI570" s="56">
        <v>90.016294326312376</v>
      </c>
      <c r="AJ570" s="56">
        <v>92.098371214079961</v>
      </c>
      <c r="AK570" s="56">
        <v>94.228606540261652</v>
      </c>
      <c r="AL570" s="56">
        <v>96.408114209537885</v>
      </c>
      <c r="AM570" s="56">
        <v>98.638033891204515</v>
      </c>
      <c r="AN570" s="56">
        <v>100.91953161510804</v>
      </c>
      <c r="AO570" s="56">
        <v>103.25380038136551</v>
      </c>
      <c r="AP570" s="56">
        <v>105.6420607841865</v>
      </c>
      <c r="AQ570" s="56">
        <v>105.6420607841865</v>
      </c>
      <c r="AR570" s="56">
        <v>105.6420607841865</v>
      </c>
      <c r="AS570" s="56">
        <v>105.6420607841865</v>
      </c>
      <c r="AT570" s="2"/>
      <c r="AU570" s="2"/>
    </row>
    <row r="571" spans="1:47" hidden="1" outlineLevel="1">
      <c r="A571" s="298"/>
      <c r="B571" s="55" t="s">
        <v>820</v>
      </c>
      <c r="C571" s="18" t="s">
        <v>732</v>
      </c>
      <c r="D571" s="18"/>
      <c r="E571" s="18"/>
      <c r="F571" s="18"/>
      <c r="G571" s="18"/>
      <c r="H571" s="18"/>
      <c r="I571" s="18"/>
      <c r="J571" s="18"/>
      <c r="K571" s="60"/>
      <c r="L571" s="60"/>
      <c r="M571" s="56">
        <v>0</v>
      </c>
      <c r="N571" s="56">
        <v>0</v>
      </c>
      <c r="O571" s="56">
        <v>0</v>
      </c>
      <c r="P571" s="56">
        <v>0</v>
      </c>
      <c r="Q571" s="56">
        <v>2.2799999999999998</v>
      </c>
      <c r="R571" s="56">
        <v>22.982400000000002</v>
      </c>
      <c r="S571" s="56">
        <v>22.999199999999998</v>
      </c>
      <c r="T571" s="56">
        <v>29</v>
      </c>
      <c r="U571" s="56">
        <v>40</v>
      </c>
      <c r="V571" s="56">
        <v>31</v>
      </c>
      <c r="W571" s="56">
        <v>26</v>
      </c>
      <c r="X571" s="56">
        <v>0</v>
      </c>
      <c r="Y571" s="56">
        <v>0</v>
      </c>
      <c r="Z571" s="56">
        <v>0</v>
      </c>
      <c r="AA571" s="56">
        <v>0</v>
      </c>
      <c r="AB571" s="61">
        <v>0</v>
      </c>
      <c r="AC571" s="56">
        <v>0</v>
      </c>
      <c r="AD571" s="56">
        <v>0</v>
      </c>
      <c r="AE571" s="56">
        <v>0</v>
      </c>
      <c r="AF571" s="56">
        <v>0</v>
      </c>
      <c r="AG571" s="56">
        <v>0</v>
      </c>
      <c r="AH571" s="56">
        <v>0</v>
      </c>
      <c r="AI571" s="56">
        <v>0</v>
      </c>
      <c r="AJ571" s="56">
        <v>0</v>
      </c>
      <c r="AK571" s="56">
        <v>0</v>
      </c>
      <c r="AL571" s="56">
        <v>0</v>
      </c>
      <c r="AM571" s="56">
        <v>0</v>
      </c>
      <c r="AN571" s="56">
        <v>0</v>
      </c>
      <c r="AO571" s="56">
        <v>0</v>
      </c>
      <c r="AP571" s="56">
        <v>0</v>
      </c>
      <c r="AQ571" s="56">
        <v>0</v>
      </c>
      <c r="AR571" s="56">
        <v>0</v>
      </c>
      <c r="AS571" s="56">
        <v>0</v>
      </c>
      <c r="AT571" s="2"/>
      <c r="AU571" s="2"/>
    </row>
    <row r="572" spans="1:47" hidden="1" outlineLevel="1">
      <c r="A572" s="298"/>
      <c r="B572" s="57" t="s">
        <v>821</v>
      </c>
      <c r="C572" s="22" t="s">
        <v>732</v>
      </c>
      <c r="D572" s="22"/>
      <c r="E572" s="22"/>
      <c r="F572" s="22"/>
      <c r="G572" s="22"/>
      <c r="H572" s="22"/>
      <c r="I572" s="22"/>
      <c r="J572" s="22"/>
      <c r="K572" s="58">
        <v>0</v>
      </c>
      <c r="L572" s="58">
        <v>11</v>
      </c>
      <c r="M572" s="58">
        <v>103</v>
      </c>
      <c r="N572" s="58">
        <v>2</v>
      </c>
      <c r="O572" s="58">
        <v>2</v>
      </c>
      <c r="P572" s="58">
        <v>5</v>
      </c>
      <c r="Q572" s="58">
        <v>5</v>
      </c>
      <c r="R572" s="58">
        <v>7</v>
      </c>
      <c r="S572" s="58">
        <v>20</v>
      </c>
      <c r="T572" s="58">
        <v>35</v>
      </c>
      <c r="U572" s="58">
        <v>49</v>
      </c>
      <c r="V572" s="58">
        <v>40</v>
      </c>
      <c r="W572" s="58">
        <v>27</v>
      </c>
      <c r="X572" s="58">
        <v>28</v>
      </c>
      <c r="Y572" s="58">
        <v>27</v>
      </c>
      <c r="Z572" s="58">
        <v>27.54</v>
      </c>
      <c r="AA572" s="58">
        <v>27.54</v>
      </c>
      <c r="AB572" s="58">
        <v>101.78</v>
      </c>
      <c r="AC572" s="58">
        <v>123.9</v>
      </c>
      <c r="AD572" s="58">
        <v>130.095</v>
      </c>
      <c r="AE572" s="58">
        <v>136.59975</v>
      </c>
      <c r="AF572" s="58">
        <v>143.42973750000002</v>
      </c>
      <c r="AG572" s="58">
        <v>150.60122437500002</v>
      </c>
      <c r="AH572" s="58">
        <v>158.13128559375002</v>
      </c>
      <c r="AI572" s="58">
        <v>166.03784987343752</v>
      </c>
      <c r="AJ572" s="58">
        <v>174.33974236710941</v>
      </c>
      <c r="AK572" s="58">
        <v>183.0567294854649</v>
      </c>
      <c r="AL572" s="58">
        <v>192.20956595973814</v>
      </c>
      <c r="AM572" s="58">
        <v>201.82004425772507</v>
      </c>
      <c r="AN572" s="58">
        <v>211.91104647061132</v>
      </c>
      <c r="AO572" s="58">
        <v>222.50659879414189</v>
      </c>
      <c r="AP572" s="58">
        <v>233.63192873384901</v>
      </c>
      <c r="AQ572" s="58">
        <v>233.63192873384901</v>
      </c>
      <c r="AR572" s="58">
        <v>233.63192873384901</v>
      </c>
      <c r="AS572" s="58">
        <v>233.63192873384901</v>
      </c>
      <c r="AT572" s="2"/>
      <c r="AU572" s="2"/>
    </row>
    <row r="573" spans="1:47" hidden="1" outlineLevel="1">
      <c r="A573" s="298"/>
      <c r="B573" s="59" t="s">
        <v>141</v>
      </c>
      <c r="C573" s="21" t="s">
        <v>732</v>
      </c>
      <c r="D573" s="21"/>
      <c r="E573" s="21"/>
      <c r="F573" s="21"/>
      <c r="G573" s="21"/>
      <c r="H573" s="21"/>
      <c r="I573" s="21"/>
      <c r="J573" s="21"/>
      <c r="K573" s="550">
        <v>249</v>
      </c>
      <c r="L573" s="60">
        <v>69</v>
      </c>
      <c r="M573" s="60">
        <v>246</v>
      </c>
      <c r="N573" s="60">
        <v>519</v>
      </c>
      <c r="O573" s="60">
        <v>422</v>
      </c>
      <c r="P573" s="60">
        <v>823</v>
      </c>
      <c r="Q573" s="60">
        <v>1243.28</v>
      </c>
      <c r="R573" s="60">
        <v>1622.9824000000001</v>
      </c>
      <c r="S573" s="60">
        <v>1791.9992</v>
      </c>
      <c r="T573" s="60">
        <v>1980</v>
      </c>
      <c r="U573" s="60">
        <v>2016</v>
      </c>
      <c r="V573" s="60">
        <v>1957</v>
      </c>
      <c r="W573" s="60">
        <v>2013</v>
      </c>
      <c r="X573" s="60">
        <v>2087</v>
      </c>
      <c r="Y573" s="60">
        <v>2218.2227599999997</v>
      </c>
      <c r="Z573" s="60">
        <v>2379.4909910141205</v>
      </c>
      <c r="AA573" s="60">
        <v>2513.0748000000003</v>
      </c>
      <c r="AB573" s="62">
        <v>2548.9967515764429</v>
      </c>
      <c r="AC573" s="60">
        <v>2544.0020655562171</v>
      </c>
      <c r="AD573" s="60">
        <v>2415.7206602031124</v>
      </c>
      <c r="AE573" s="60">
        <v>2354.7237066884372</v>
      </c>
      <c r="AF573" s="60">
        <v>2401.8535842763822</v>
      </c>
      <c r="AG573" s="60">
        <v>2439.2359899276798</v>
      </c>
      <c r="AH573" s="60">
        <v>2455.0766366295943</v>
      </c>
      <c r="AI573" s="60">
        <v>2471.3579349445035</v>
      </c>
      <c r="AJ573" s="60">
        <v>2488.0998262053809</v>
      </c>
      <c r="AK573" s="60">
        <v>2505.3232177651494</v>
      </c>
      <c r="AL573" s="60">
        <v>2523.0500306292902</v>
      </c>
      <c r="AM573" s="60">
        <v>2541.3032494547638</v>
      </c>
      <c r="AN573" s="60">
        <v>2560.1069750332017</v>
      </c>
      <c r="AO573" s="60">
        <v>2579.4864793822289</v>
      </c>
      <c r="AP573" s="60">
        <v>2599.4682635749496</v>
      </c>
      <c r="AQ573" s="60">
        <v>2599.4682635749496</v>
      </c>
      <c r="AR573" s="60">
        <v>2599.4682635749496</v>
      </c>
      <c r="AS573" s="60">
        <v>2599.4682635749496</v>
      </c>
      <c r="AT573" s="2"/>
      <c r="AU573" s="2"/>
    </row>
    <row r="574" spans="1:47" hidden="1" outlineLevel="1">
      <c r="A574" s="298"/>
      <c r="B574" s="54" t="s">
        <v>556</v>
      </c>
      <c r="C574" s="21"/>
      <c r="D574" s="21"/>
      <c r="E574" s="21"/>
      <c r="F574" s="21"/>
      <c r="G574" s="21"/>
      <c r="H574" s="21"/>
      <c r="I574" s="21"/>
      <c r="J574" s="21"/>
      <c r="K574" s="60"/>
      <c r="L574" s="60"/>
      <c r="M574" s="60"/>
      <c r="N574" s="60"/>
      <c r="O574" s="60"/>
      <c r="P574" s="60"/>
      <c r="Q574" s="60"/>
      <c r="R574" s="60"/>
      <c r="S574" s="60"/>
      <c r="T574" s="60"/>
      <c r="U574" s="60"/>
      <c r="V574" s="60"/>
      <c r="W574" s="60"/>
      <c r="X574" s="60"/>
      <c r="Y574" s="60"/>
      <c r="Z574" s="60"/>
      <c r="AA574" s="60"/>
      <c r="AB574" s="62"/>
      <c r="AC574" s="60"/>
      <c r="AD574" s="60"/>
      <c r="AE574" s="60"/>
      <c r="AF574" s="60"/>
      <c r="AG574" s="60"/>
      <c r="AH574" s="60"/>
      <c r="AI574" s="60"/>
      <c r="AJ574" s="60"/>
      <c r="AK574" s="60"/>
      <c r="AL574" s="60"/>
      <c r="AM574" s="60"/>
      <c r="AN574" s="60"/>
      <c r="AO574" s="60"/>
      <c r="AP574" s="60"/>
      <c r="AQ574" s="60"/>
      <c r="AR574" s="60"/>
      <c r="AS574" s="60"/>
      <c r="AT574" s="2"/>
      <c r="AU574" s="2"/>
    </row>
    <row r="575" spans="1:47" hidden="1" outlineLevel="1">
      <c r="A575" s="298"/>
      <c r="B575" s="55" t="s">
        <v>891</v>
      </c>
      <c r="C575" s="18" t="s">
        <v>732</v>
      </c>
      <c r="D575" s="18"/>
      <c r="E575" s="18"/>
      <c r="F575" s="18"/>
      <c r="G575" s="18"/>
      <c r="H575" s="18"/>
      <c r="I575" s="18"/>
      <c r="J575" s="18"/>
      <c r="K575" s="56">
        <v>433</v>
      </c>
      <c r="L575" s="56">
        <v>434</v>
      </c>
      <c r="M575" s="56">
        <v>562</v>
      </c>
      <c r="N575" s="56">
        <v>494</v>
      </c>
      <c r="O575" s="56">
        <v>439</v>
      </c>
      <c r="P575" s="56">
        <v>439</v>
      </c>
      <c r="Q575" s="56">
        <v>443</v>
      </c>
      <c r="R575" s="56">
        <v>452</v>
      </c>
      <c r="S575" s="56">
        <v>18</v>
      </c>
      <c r="T575" s="56">
        <v>14</v>
      </c>
      <c r="U575" s="56">
        <v>6</v>
      </c>
      <c r="V575" s="56">
        <v>6</v>
      </c>
      <c r="W575" s="56">
        <v>6</v>
      </c>
      <c r="X575" s="56">
        <v>0</v>
      </c>
      <c r="Y575" s="56">
        <v>0</v>
      </c>
      <c r="Z575" s="56">
        <v>0</v>
      </c>
      <c r="AA575" s="56">
        <v>0</v>
      </c>
      <c r="AB575" s="61">
        <v>0</v>
      </c>
      <c r="AC575" s="56">
        <v>0</v>
      </c>
      <c r="AD575" s="56">
        <v>0</v>
      </c>
      <c r="AE575" s="56">
        <v>0</v>
      </c>
      <c r="AF575" s="56">
        <v>0</v>
      </c>
      <c r="AG575" s="56">
        <v>0</v>
      </c>
      <c r="AH575" s="56">
        <v>0</v>
      </c>
      <c r="AI575" s="56">
        <v>0</v>
      </c>
      <c r="AJ575" s="56">
        <v>0</v>
      </c>
      <c r="AK575" s="56">
        <v>0</v>
      </c>
      <c r="AL575" s="56">
        <v>0</v>
      </c>
      <c r="AM575" s="56">
        <v>0</v>
      </c>
      <c r="AN575" s="56">
        <v>0</v>
      </c>
      <c r="AO575" s="56">
        <v>0</v>
      </c>
      <c r="AP575" s="56">
        <v>0</v>
      </c>
      <c r="AQ575" s="56">
        <v>0</v>
      </c>
      <c r="AR575" s="56">
        <v>0</v>
      </c>
      <c r="AS575" s="56">
        <v>0</v>
      </c>
      <c r="AT575" s="2"/>
      <c r="AU575" s="2"/>
    </row>
    <row r="576" spans="1:47" hidden="1" outlineLevel="1">
      <c r="A576" s="298"/>
      <c r="B576" s="55" t="s">
        <v>557</v>
      </c>
      <c r="C576" s="18" t="s">
        <v>732</v>
      </c>
      <c r="D576" s="18"/>
      <c r="E576" s="18"/>
      <c r="F576" s="18"/>
      <c r="G576" s="18"/>
      <c r="H576" s="18"/>
      <c r="I576" s="18"/>
      <c r="J576" s="18"/>
      <c r="K576" s="56">
        <v>190</v>
      </c>
      <c r="L576" s="56">
        <v>166</v>
      </c>
      <c r="M576" s="56">
        <v>154</v>
      </c>
      <c r="N576" s="56">
        <v>148</v>
      </c>
      <c r="O576" s="56">
        <v>141</v>
      </c>
      <c r="P576" s="56">
        <v>112</v>
      </c>
      <c r="Q576" s="56">
        <v>96</v>
      </c>
      <c r="R576" s="56">
        <v>85</v>
      </c>
      <c r="S576" s="56">
        <v>70</v>
      </c>
      <c r="T576" s="56">
        <v>59</v>
      </c>
      <c r="U576" s="56">
        <v>49</v>
      </c>
      <c r="V576" s="56">
        <v>40</v>
      </c>
      <c r="W576" s="56">
        <v>29</v>
      </c>
      <c r="X576" s="56">
        <v>0</v>
      </c>
      <c r="Y576" s="56">
        <v>0</v>
      </c>
      <c r="Z576" s="56">
        <v>0</v>
      </c>
      <c r="AA576" s="56">
        <v>0</v>
      </c>
      <c r="AB576" s="61">
        <v>0</v>
      </c>
      <c r="AC576" s="56">
        <v>0</v>
      </c>
      <c r="AD576" s="56">
        <v>0</v>
      </c>
      <c r="AE576" s="56">
        <v>0</v>
      </c>
      <c r="AF576" s="56">
        <v>0</v>
      </c>
      <c r="AG576" s="56">
        <v>0</v>
      </c>
      <c r="AH576" s="56">
        <v>0</v>
      </c>
      <c r="AI576" s="56">
        <v>0</v>
      </c>
      <c r="AJ576" s="56">
        <v>0</v>
      </c>
      <c r="AK576" s="56">
        <v>0</v>
      </c>
      <c r="AL576" s="56">
        <v>0</v>
      </c>
      <c r="AM576" s="56">
        <v>0</v>
      </c>
      <c r="AN576" s="56">
        <v>0</v>
      </c>
      <c r="AO576" s="56">
        <v>0</v>
      </c>
      <c r="AP576" s="56">
        <v>0</v>
      </c>
      <c r="AQ576" s="56">
        <v>0</v>
      </c>
      <c r="AR576" s="56">
        <v>0</v>
      </c>
      <c r="AS576" s="56">
        <v>0</v>
      </c>
      <c r="AT576" s="2"/>
      <c r="AU576" s="2"/>
    </row>
    <row r="577" spans="1:47" hidden="1" outlineLevel="1">
      <c r="A577" s="298"/>
      <c r="B577" s="55" t="s">
        <v>558</v>
      </c>
      <c r="C577" s="18" t="s">
        <v>732</v>
      </c>
      <c r="D577" s="18"/>
      <c r="E577" s="18"/>
      <c r="F577" s="18"/>
      <c r="G577" s="18"/>
      <c r="H577" s="18"/>
      <c r="I577" s="18"/>
      <c r="J577" s="18"/>
      <c r="K577" s="56">
        <v>336</v>
      </c>
      <c r="L577" s="56">
        <v>280</v>
      </c>
      <c r="M577" s="56">
        <v>220</v>
      </c>
      <c r="N577" s="56">
        <v>194</v>
      </c>
      <c r="O577" s="56">
        <v>187</v>
      </c>
      <c r="P577" s="56">
        <v>240</v>
      </c>
      <c r="Q577" s="56">
        <v>189</v>
      </c>
      <c r="R577" s="56">
        <v>159</v>
      </c>
      <c r="S577" s="56">
        <v>138</v>
      </c>
      <c r="T577" s="56">
        <v>132</v>
      </c>
      <c r="U577" s="56">
        <v>110</v>
      </c>
      <c r="V577" s="56">
        <v>130</v>
      </c>
      <c r="W577" s="56">
        <v>108</v>
      </c>
      <c r="X577" s="56">
        <v>100.98</v>
      </c>
      <c r="Y577" s="56">
        <v>0</v>
      </c>
      <c r="Z577" s="56">
        <v>0</v>
      </c>
      <c r="AA577" s="56">
        <v>0</v>
      </c>
      <c r="AB577" s="61">
        <v>0</v>
      </c>
      <c r="AC577" s="56">
        <v>0</v>
      </c>
      <c r="AD577" s="56">
        <v>0</v>
      </c>
      <c r="AE577" s="56">
        <v>0</v>
      </c>
      <c r="AF577" s="56">
        <v>0</v>
      </c>
      <c r="AG577" s="56">
        <v>0</v>
      </c>
      <c r="AH577" s="56">
        <v>0</v>
      </c>
      <c r="AI577" s="56">
        <v>0</v>
      </c>
      <c r="AJ577" s="56">
        <v>0</v>
      </c>
      <c r="AK577" s="56">
        <v>0</v>
      </c>
      <c r="AL577" s="56">
        <v>0</v>
      </c>
      <c r="AM577" s="56">
        <v>0</v>
      </c>
      <c r="AN577" s="56">
        <v>0</v>
      </c>
      <c r="AO577" s="56">
        <v>0</v>
      </c>
      <c r="AP577" s="56">
        <v>0</v>
      </c>
      <c r="AQ577" s="56">
        <v>0</v>
      </c>
      <c r="AR577" s="56">
        <v>0</v>
      </c>
      <c r="AS577" s="56">
        <v>0</v>
      </c>
      <c r="AT577" s="2"/>
      <c r="AU577" s="2"/>
    </row>
    <row r="578" spans="1:47" hidden="1" outlineLevel="1">
      <c r="A578" s="298"/>
      <c r="B578" s="55" t="s">
        <v>559</v>
      </c>
      <c r="C578" s="18" t="s">
        <v>732</v>
      </c>
      <c r="D578" s="18"/>
      <c r="E578" s="18"/>
      <c r="F578" s="18"/>
      <c r="G578" s="18"/>
      <c r="H578" s="18"/>
      <c r="I578" s="18"/>
      <c r="J578" s="18"/>
      <c r="K578" s="67">
        <v>828</v>
      </c>
      <c r="L578" s="67">
        <v>1133</v>
      </c>
      <c r="M578" s="67">
        <v>1124</v>
      </c>
      <c r="N578" s="67">
        <v>100</v>
      </c>
      <c r="O578" s="67">
        <v>93</v>
      </c>
      <c r="P578" s="67">
        <v>134</v>
      </c>
      <c r="Q578" s="67">
        <v>174</v>
      </c>
      <c r="R578" s="67">
        <v>185</v>
      </c>
      <c r="S578" s="67">
        <v>261</v>
      </c>
      <c r="T578" s="67">
        <v>353</v>
      </c>
      <c r="U578" s="67">
        <v>399</v>
      </c>
      <c r="V578" s="67">
        <v>448</v>
      </c>
      <c r="W578" s="67">
        <v>490</v>
      </c>
      <c r="X578" s="67">
        <v>667</v>
      </c>
      <c r="Y578" s="67">
        <v>677</v>
      </c>
      <c r="Z578" s="67">
        <v>620</v>
      </c>
      <c r="AA578" s="67">
        <v>578</v>
      </c>
      <c r="AB578" s="67">
        <v>552</v>
      </c>
      <c r="AC578" s="68">
        <v>500.10119238055864</v>
      </c>
      <c r="AD578" s="67">
        <v>466.2964735953625</v>
      </c>
      <c r="AE578" s="67">
        <v>440.47420971672938</v>
      </c>
      <c r="AF578" s="67">
        <v>409.17770365915112</v>
      </c>
      <c r="AG578" s="67">
        <v>373.81325264076855</v>
      </c>
      <c r="AH578" s="67">
        <v>340.76627277979628</v>
      </c>
      <c r="AI578" s="67">
        <v>309.90139896597958</v>
      </c>
      <c r="AJ578" s="67">
        <v>281.09068690774779</v>
      </c>
      <c r="AK578" s="67">
        <v>254.21322237275331</v>
      </c>
      <c r="AL578" s="67">
        <v>229.1547504395069</v>
      </c>
      <c r="AM578" s="67">
        <v>205.8073237560406</v>
      </c>
      <c r="AN578" s="67">
        <v>184.06896885112752</v>
      </c>
      <c r="AO578" s="67">
        <v>163.84336959076708</v>
      </c>
      <c r="AP578" s="67">
        <v>145.03956691751958</v>
      </c>
      <c r="AQ578" s="67">
        <v>145.03956691751958</v>
      </c>
      <c r="AR578" s="67">
        <v>145.03956691751958</v>
      </c>
      <c r="AS578" s="67">
        <v>145.03956691751958</v>
      </c>
      <c r="AT578" s="2"/>
      <c r="AU578" s="2"/>
    </row>
    <row r="579" spans="1:47" hidden="1" outlineLevel="1">
      <c r="A579" s="298"/>
      <c r="B579" s="55" t="s">
        <v>560</v>
      </c>
      <c r="C579" s="18" t="s">
        <v>732</v>
      </c>
      <c r="D579" s="18"/>
      <c r="E579" s="18"/>
      <c r="F579" s="18"/>
      <c r="G579" s="18"/>
      <c r="H579" s="18"/>
      <c r="I579" s="18"/>
      <c r="J579" s="18"/>
      <c r="K579" s="67">
        <v>0</v>
      </c>
      <c r="L579" s="67">
        <v>0</v>
      </c>
      <c r="M579" s="67">
        <v>0</v>
      </c>
      <c r="N579" s="67">
        <v>370</v>
      </c>
      <c r="O579" s="67">
        <v>346</v>
      </c>
      <c r="P579" s="67">
        <v>247</v>
      </c>
      <c r="Q579" s="67">
        <v>210</v>
      </c>
      <c r="R579" s="67">
        <v>196</v>
      </c>
      <c r="S579" s="67">
        <v>129</v>
      </c>
      <c r="T579" s="67">
        <v>86</v>
      </c>
      <c r="U579" s="67">
        <v>53</v>
      </c>
      <c r="V579" s="67">
        <v>35</v>
      </c>
      <c r="W579" s="67">
        <v>24</v>
      </c>
      <c r="X579" s="67">
        <v>0</v>
      </c>
      <c r="Y579" s="67">
        <v>0</v>
      </c>
      <c r="Z579" s="67">
        <v>199</v>
      </c>
      <c r="AA579" s="67"/>
      <c r="AB579" s="67"/>
      <c r="AC579" s="68"/>
      <c r="AD579" s="67"/>
      <c r="AE579" s="67"/>
      <c r="AF579" s="67"/>
      <c r="AG579" s="67"/>
      <c r="AH579" s="67"/>
      <c r="AI579" s="67"/>
      <c r="AJ579" s="67"/>
      <c r="AK579" s="67"/>
      <c r="AL579" s="67"/>
      <c r="AM579" s="67"/>
      <c r="AN579" s="67"/>
      <c r="AO579" s="67"/>
      <c r="AP579" s="67"/>
      <c r="AQ579" s="67"/>
      <c r="AR579" s="67"/>
      <c r="AS579" s="67"/>
      <c r="AT579" s="2"/>
      <c r="AU579" s="2"/>
    </row>
    <row r="580" spans="1:47" hidden="1" outlineLevel="1">
      <c r="A580" s="298"/>
      <c r="B580" s="55" t="s">
        <v>1008</v>
      </c>
      <c r="C580" s="18"/>
      <c r="D580" s="18"/>
      <c r="E580" s="18"/>
      <c r="F580" s="18"/>
      <c r="G580" s="18"/>
      <c r="H580" s="18"/>
      <c r="I580" s="18"/>
      <c r="J580" s="18"/>
      <c r="K580" s="67"/>
      <c r="L580" s="67"/>
      <c r="M580" s="67"/>
      <c r="N580" s="67"/>
      <c r="O580" s="67"/>
      <c r="P580" s="67"/>
      <c r="Q580" s="67"/>
      <c r="R580" s="67"/>
      <c r="S580" s="67"/>
      <c r="T580" s="67"/>
      <c r="U580" s="67"/>
      <c r="V580" s="67"/>
      <c r="W580" s="67"/>
      <c r="X580" s="67"/>
      <c r="Y580" s="67"/>
      <c r="Z580" s="67"/>
      <c r="AA580" s="67">
        <v>193</v>
      </c>
      <c r="AB580" s="67">
        <v>177</v>
      </c>
      <c r="AC580" s="67">
        <v>125.9</v>
      </c>
      <c r="AD580" s="67">
        <v>88.293598870056513</v>
      </c>
      <c r="AE580" s="67">
        <v>61.037315015480878</v>
      </c>
      <c r="AF580" s="67">
        <v>41.584688235688361</v>
      </c>
      <c r="AG580" s="67">
        <v>27.915777718443454</v>
      </c>
      <c r="AH580" s="67">
        <v>18.460688033580826</v>
      </c>
      <c r="AI580" s="67">
        <v>12.023435686503943</v>
      </c>
      <c r="AJ580" s="67">
        <v>7.7106225128534609</v>
      </c>
      <c r="AK580" s="67">
        <v>4.8677116360804842</v>
      </c>
      <c r="AL580" s="67">
        <v>3.0243064893772362</v>
      </c>
      <c r="AM580" s="67">
        <v>1.8487568483085703</v>
      </c>
      <c r="AN580" s="67">
        <v>1.1116564483925488</v>
      </c>
      <c r="AO580" s="67">
        <v>0.65732182988002352</v>
      </c>
      <c r="AP580" s="67">
        <v>0.38210080834099219</v>
      </c>
      <c r="AQ580" s="67">
        <v>0.38210080834099219</v>
      </c>
      <c r="AR580" s="67">
        <v>0.38210080834099219</v>
      </c>
      <c r="AS580" s="67">
        <v>0.38210080834099219</v>
      </c>
      <c r="AT580" s="2"/>
      <c r="AU580" s="2"/>
    </row>
    <row r="581" spans="1:47" hidden="1" outlineLevel="1">
      <c r="A581" s="298"/>
      <c r="B581" s="207" t="s">
        <v>967</v>
      </c>
      <c r="C581" s="22" t="s">
        <v>732</v>
      </c>
      <c r="D581" s="22"/>
      <c r="E581" s="22"/>
      <c r="F581" s="22"/>
      <c r="G581" s="22"/>
      <c r="H581" s="22"/>
      <c r="I581" s="22"/>
      <c r="J581" s="22"/>
      <c r="K581" s="69"/>
      <c r="L581" s="69"/>
      <c r="M581" s="69"/>
      <c r="N581" s="69"/>
      <c r="O581" s="69"/>
      <c r="P581" s="69"/>
      <c r="Q581" s="69"/>
      <c r="R581" s="69"/>
      <c r="S581" s="69"/>
      <c r="T581" s="69"/>
      <c r="U581" s="69"/>
      <c r="V581" s="69"/>
      <c r="W581" s="69">
        <v>0</v>
      </c>
      <c r="X581" s="69">
        <v>88.666666666666671</v>
      </c>
      <c r="Y581" s="69">
        <v>316.46857142857141</v>
      </c>
      <c r="Z581" s="69"/>
      <c r="AA581" s="453">
        <v>601</v>
      </c>
      <c r="AB581" s="453">
        <v>908</v>
      </c>
      <c r="AC581" s="454">
        <v>1013</v>
      </c>
      <c r="AD581" s="453">
        <v>1171</v>
      </c>
      <c r="AE581" s="453">
        <v>1084</v>
      </c>
      <c r="AF581" s="453">
        <v>935.99999999999989</v>
      </c>
      <c r="AG581" s="453">
        <v>908</v>
      </c>
      <c r="AH581" s="453">
        <v>963.2972000000002</v>
      </c>
      <c r="AI581" s="453">
        <v>992.19611600000007</v>
      </c>
      <c r="AJ581" s="453">
        <v>0</v>
      </c>
      <c r="AK581" s="453">
        <v>0</v>
      </c>
      <c r="AL581" s="453">
        <v>0</v>
      </c>
      <c r="AM581" s="453">
        <v>0</v>
      </c>
      <c r="AN581" s="453">
        <v>0</v>
      </c>
      <c r="AO581" s="453">
        <v>0</v>
      </c>
      <c r="AP581" s="453">
        <v>0</v>
      </c>
      <c r="AQ581" s="453">
        <v>0</v>
      </c>
      <c r="AR581" s="453">
        <v>0</v>
      </c>
      <c r="AS581" s="453">
        <v>0</v>
      </c>
      <c r="AT581" s="2"/>
      <c r="AU581" s="2"/>
    </row>
    <row r="582" spans="1:47" hidden="1" outlineLevel="1">
      <c r="A582" s="298"/>
      <c r="B582" s="59" t="s">
        <v>141</v>
      </c>
      <c r="C582" s="21" t="s">
        <v>732</v>
      </c>
      <c r="D582" s="21"/>
      <c r="E582" s="21"/>
      <c r="F582" s="21"/>
      <c r="G582" s="21"/>
      <c r="H582" s="21"/>
      <c r="I582" s="21"/>
      <c r="J582" s="21"/>
      <c r="K582" s="70">
        <v>1787</v>
      </c>
      <c r="L582" s="70">
        <v>2013</v>
      </c>
      <c r="M582" s="70">
        <v>2060</v>
      </c>
      <c r="N582" s="70">
        <v>1306</v>
      </c>
      <c r="O582" s="70">
        <v>1206</v>
      </c>
      <c r="P582" s="70">
        <v>1172</v>
      </c>
      <c r="Q582" s="70">
        <v>1112</v>
      </c>
      <c r="R582" s="70">
        <v>1077</v>
      </c>
      <c r="S582" s="70">
        <v>616</v>
      </c>
      <c r="T582" s="70">
        <v>644</v>
      </c>
      <c r="U582" s="70">
        <v>617</v>
      </c>
      <c r="V582" s="70">
        <v>659</v>
      </c>
      <c r="W582" s="70">
        <v>657</v>
      </c>
      <c r="X582" s="70">
        <v>856.64666666666665</v>
      </c>
      <c r="Y582" s="70">
        <v>993.46857142857141</v>
      </c>
      <c r="Z582" s="70">
        <v>819</v>
      </c>
      <c r="AA582" s="70">
        <v>771</v>
      </c>
      <c r="AB582" s="70">
        <v>729</v>
      </c>
      <c r="AC582" s="70">
        <v>626.00119238055868</v>
      </c>
      <c r="AD582" s="70">
        <v>554.59007246541898</v>
      </c>
      <c r="AE582" s="70">
        <v>501.51152473221026</v>
      </c>
      <c r="AF582" s="70">
        <v>450.76239189483948</v>
      </c>
      <c r="AG582" s="70">
        <v>401.729030359212</v>
      </c>
      <c r="AH582" s="70">
        <v>359.2269608133771</v>
      </c>
      <c r="AI582" s="70">
        <v>321.92483465248353</v>
      </c>
      <c r="AJ582" s="70">
        <v>288.80130942060123</v>
      </c>
      <c r="AK582" s="70">
        <v>259.08093400883376</v>
      </c>
      <c r="AL582" s="70">
        <v>232.17905692888414</v>
      </c>
      <c r="AM582" s="70">
        <v>207.65608060434917</v>
      </c>
      <c r="AN582" s="70">
        <v>185.18062529952007</v>
      </c>
      <c r="AO582" s="70">
        <v>164.50069142064712</v>
      </c>
      <c r="AP582" s="70">
        <v>145.42166772586057</v>
      </c>
      <c r="AQ582" s="70">
        <v>145.42166772586057</v>
      </c>
      <c r="AR582" s="70">
        <v>145.42166772586057</v>
      </c>
      <c r="AS582" s="70">
        <v>145.42166772586057</v>
      </c>
      <c r="AT582" s="2"/>
      <c r="AU582" s="2"/>
    </row>
    <row r="583" spans="1:47" hidden="1" outlineLevel="1">
      <c r="A583" s="298"/>
      <c r="B583" s="55" t="s">
        <v>1081</v>
      </c>
      <c r="C583" s="18" t="s">
        <v>732</v>
      </c>
      <c r="D583" s="21"/>
      <c r="E583" s="21"/>
      <c r="F583" s="21"/>
      <c r="G583" s="21"/>
      <c r="H583" s="21"/>
      <c r="I583" s="21"/>
      <c r="J583" s="21"/>
      <c r="K583" s="70"/>
      <c r="L583" s="70"/>
      <c r="M583" s="70"/>
      <c r="N583" s="70"/>
      <c r="O583" s="70"/>
      <c r="P583" s="70"/>
      <c r="Q583" s="70"/>
      <c r="R583" s="70"/>
      <c r="S583" s="70"/>
      <c r="T583" s="254"/>
      <c r="U583" s="254"/>
      <c r="V583" s="254"/>
      <c r="W583" s="254"/>
      <c r="X583" s="254"/>
      <c r="Y583" s="254"/>
      <c r="Z583" s="254"/>
      <c r="AA583" s="254"/>
      <c r="AB583" s="254"/>
      <c r="AC583" s="254">
        <v>3300</v>
      </c>
      <c r="AD583" s="254">
        <v>3290</v>
      </c>
      <c r="AE583" s="254">
        <v>3226</v>
      </c>
      <c r="AF583" s="254">
        <v>3184.5150885454118</v>
      </c>
      <c r="AG583" s="254">
        <v>3110.3511488309891</v>
      </c>
      <c r="AH583" s="254">
        <v>3037.9144077012893</v>
      </c>
      <c r="AI583" s="254">
        <v>2967.164640554402</v>
      </c>
      <c r="AJ583" s="254">
        <v>2898.0625595762403</v>
      </c>
      <c r="AK583" s="254">
        <v>2830.5697919237518</v>
      </c>
      <c r="AL583" s="254">
        <v>2764.6488584162303</v>
      </c>
      <c r="AM583" s="254">
        <v>2700.2631527228768</v>
      </c>
      <c r="AN583" s="254">
        <v>2637.3769210350597</v>
      </c>
      <c r="AO583" s="254">
        <v>2575.9552422119905</v>
      </c>
      <c r="AP583" s="254">
        <v>2515.9640083887825</v>
      </c>
      <c r="AQ583" s="254">
        <v>2515.9640083887825</v>
      </c>
      <c r="AR583" s="254">
        <v>2515.9640083887825</v>
      </c>
      <c r="AS583" s="254">
        <v>2515.9640083887825</v>
      </c>
      <c r="AT583" s="2"/>
      <c r="AU583" s="2"/>
    </row>
    <row r="584" spans="1:47" hidden="1" outlineLevel="1">
      <c r="A584" s="298"/>
      <c r="B584" s="55" t="s">
        <v>1084</v>
      </c>
      <c r="C584" s="18" t="s">
        <v>732</v>
      </c>
      <c r="D584" s="21"/>
      <c r="E584" s="21"/>
      <c r="F584" s="21"/>
      <c r="G584" s="21"/>
      <c r="H584" s="21"/>
      <c r="I584" s="21"/>
      <c r="J584" s="21"/>
      <c r="K584" s="70"/>
      <c r="L584" s="70"/>
      <c r="M584" s="70"/>
      <c r="N584" s="70"/>
      <c r="O584" s="70"/>
      <c r="P584" s="70"/>
      <c r="Q584" s="70"/>
      <c r="R584" s="70"/>
      <c r="S584" s="70"/>
      <c r="T584" s="254"/>
      <c r="U584" s="254"/>
      <c r="V584" s="254"/>
      <c r="W584" s="254"/>
      <c r="X584" s="254"/>
      <c r="Y584" s="254"/>
      <c r="Z584" s="254"/>
      <c r="AA584" s="254"/>
      <c r="AB584" s="254"/>
      <c r="AC584" s="254">
        <v>1186</v>
      </c>
      <c r="AD584" s="254">
        <v>881</v>
      </c>
      <c r="AE584" s="254">
        <v>607</v>
      </c>
      <c r="AF584" s="254">
        <v>326.60586630879232</v>
      </c>
      <c r="AG584" s="254">
        <v>217.10645044288444</v>
      </c>
      <c r="AH584" s="254">
        <v>144.31832274361003</v>
      </c>
      <c r="AI584" s="254">
        <v>95.933484413021063</v>
      </c>
      <c r="AJ584" s="254">
        <v>63.770374105396449</v>
      </c>
      <c r="AK584" s="254">
        <v>42.390419137014575</v>
      </c>
      <c r="AL584" s="254">
        <v>28.178408231412714</v>
      </c>
      <c r="AM584" s="254">
        <v>18.731182814911616</v>
      </c>
      <c r="AN584" s="254">
        <v>12.451278537959139</v>
      </c>
      <c r="AO584" s="254">
        <v>8.2768044475238014</v>
      </c>
      <c r="AP584" s="254">
        <v>5.5018841361313227</v>
      </c>
      <c r="AQ584" s="254">
        <v>5.5018841361313227</v>
      </c>
      <c r="AR584" s="254">
        <v>5.5018841361313227</v>
      </c>
      <c r="AS584" s="254">
        <v>5.5018841361313227</v>
      </c>
      <c r="AT584" s="2"/>
      <c r="AU584" s="2"/>
    </row>
    <row r="585" spans="1:47" hidden="1" outlineLevel="1">
      <c r="A585" s="298"/>
      <c r="B585" s="55" t="s">
        <v>1085</v>
      </c>
      <c r="C585" s="18" t="s">
        <v>732</v>
      </c>
      <c r="D585" s="21"/>
      <c r="E585" s="21"/>
      <c r="F585" s="21"/>
      <c r="G585" s="21"/>
      <c r="H585" s="21"/>
      <c r="I585" s="21"/>
      <c r="J585" s="21"/>
      <c r="K585" s="70"/>
      <c r="L585" s="70"/>
      <c r="M585" s="70"/>
      <c r="N585" s="70"/>
      <c r="O585" s="70"/>
      <c r="P585" s="70"/>
      <c r="Q585" s="70"/>
      <c r="R585" s="70"/>
      <c r="S585" s="70"/>
      <c r="T585" s="254"/>
      <c r="U585" s="254"/>
      <c r="V585" s="254"/>
      <c r="W585" s="254"/>
      <c r="X585" s="254"/>
      <c r="Y585" s="254"/>
      <c r="Z585" s="254"/>
      <c r="AA585" s="254"/>
      <c r="AB585" s="254"/>
      <c r="AC585" s="254">
        <v>269</v>
      </c>
      <c r="AD585" s="254">
        <v>247</v>
      </c>
      <c r="AE585" s="254">
        <v>201</v>
      </c>
      <c r="AF585" s="254">
        <v>190.95</v>
      </c>
      <c r="AG585" s="254">
        <v>181.40249999999997</v>
      </c>
      <c r="AH585" s="254">
        <v>172.33237499999996</v>
      </c>
      <c r="AI585" s="254">
        <v>163.71575624999994</v>
      </c>
      <c r="AJ585" s="254">
        <v>155.52996843749995</v>
      </c>
      <c r="AK585" s="254">
        <v>147.75347001562494</v>
      </c>
      <c r="AL585" s="254">
        <v>140.36579651484368</v>
      </c>
      <c r="AM585" s="254">
        <v>133.34750668910149</v>
      </c>
      <c r="AN585" s="254">
        <v>126.68013135464641</v>
      </c>
      <c r="AO585" s="254">
        <v>120.34612478691407</v>
      </c>
      <c r="AP585" s="254">
        <v>114.32881854756836</v>
      </c>
      <c r="AQ585" s="254">
        <v>114.32881854756836</v>
      </c>
      <c r="AR585" s="254">
        <v>114.32881854756836</v>
      </c>
      <c r="AS585" s="254">
        <v>114.32881854756836</v>
      </c>
      <c r="AT585" s="2"/>
      <c r="AU585" s="2"/>
    </row>
    <row r="586" spans="1:47" hidden="1" outlineLevel="1">
      <c r="A586" s="298"/>
      <c r="B586" s="336" t="s">
        <v>1178</v>
      </c>
      <c r="C586" s="18" t="s">
        <v>732</v>
      </c>
      <c r="D586" s="21"/>
      <c r="E586" s="21"/>
      <c r="F586" s="21"/>
      <c r="G586" s="21"/>
      <c r="H586" s="21"/>
      <c r="I586" s="21"/>
      <c r="J586" s="21"/>
      <c r="K586" s="70"/>
      <c r="L586" s="70"/>
      <c r="M586" s="70"/>
      <c r="N586" s="70"/>
      <c r="O586" s="70"/>
      <c r="P586" s="70"/>
      <c r="Q586" s="70"/>
      <c r="R586" s="70"/>
      <c r="S586" s="70"/>
      <c r="T586" s="254"/>
      <c r="U586" s="254"/>
      <c r="V586" s="254"/>
      <c r="W586" s="254"/>
      <c r="X586" s="254"/>
      <c r="Y586" s="254"/>
      <c r="Z586" s="254"/>
      <c r="AA586" s="254"/>
      <c r="AB586" s="254"/>
      <c r="AC586" s="254"/>
      <c r="AD586" s="254"/>
      <c r="AE586" s="254">
        <v>-25</v>
      </c>
      <c r="AF586" s="254">
        <v>-25</v>
      </c>
      <c r="AG586" s="254">
        <v>-25</v>
      </c>
      <c r="AH586" s="254">
        <v>-25</v>
      </c>
      <c r="AI586" s="254">
        <v>-25</v>
      </c>
      <c r="AJ586" s="254">
        <v>-25</v>
      </c>
      <c r="AK586" s="254">
        <v>-25</v>
      </c>
      <c r="AL586" s="254">
        <v>-25</v>
      </c>
      <c r="AM586" s="254">
        <v>-25</v>
      </c>
      <c r="AN586" s="254">
        <v>-25</v>
      </c>
      <c r="AO586" s="254">
        <v>-25</v>
      </c>
      <c r="AP586" s="254">
        <v>-25</v>
      </c>
      <c r="AQ586" s="254">
        <v>-25</v>
      </c>
      <c r="AR586" s="254">
        <v>-25</v>
      </c>
      <c r="AS586" s="254">
        <v>-25</v>
      </c>
      <c r="AT586" s="2"/>
      <c r="AU586" s="2"/>
    </row>
    <row r="587" spans="1:47" hidden="1" outlineLevel="1">
      <c r="A587" s="298"/>
      <c r="B587" s="55"/>
      <c r="C587" s="18" t="s">
        <v>732</v>
      </c>
      <c r="D587" s="21"/>
      <c r="E587" s="21"/>
      <c r="F587" s="21"/>
      <c r="G587" s="21"/>
      <c r="H587" s="21"/>
      <c r="I587" s="21"/>
      <c r="J587" s="21"/>
      <c r="K587" s="70"/>
      <c r="L587" s="70"/>
      <c r="M587" s="70"/>
      <c r="N587" s="70"/>
      <c r="O587" s="70"/>
      <c r="P587" s="70"/>
      <c r="Q587" s="70"/>
      <c r="R587" s="70"/>
      <c r="S587" s="70"/>
      <c r="T587" s="254"/>
      <c r="U587" s="254"/>
      <c r="V587" s="254"/>
      <c r="W587" s="254"/>
      <c r="X587" s="254"/>
      <c r="Y587" s="254"/>
      <c r="Z587" s="254"/>
      <c r="AA587" s="254"/>
      <c r="AB587" s="254"/>
      <c r="AC587" s="254"/>
      <c r="AD587" s="254"/>
      <c r="AE587" s="254"/>
      <c r="AF587" s="254"/>
      <c r="AG587" s="254"/>
      <c r="AH587" s="254"/>
      <c r="AI587" s="254"/>
      <c r="AJ587" s="254"/>
      <c r="AK587" s="254"/>
      <c r="AL587" s="254"/>
      <c r="AM587" s="254"/>
      <c r="AN587" s="254"/>
      <c r="AO587" s="254"/>
      <c r="AP587" s="254"/>
      <c r="AQ587" s="254"/>
      <c r="AR587" s="254"/>
      <c r="AS587" s="254"/>
      <c r="AT587" s="2"/>
      <c r="AU587" s="2"/>
    </row>
    <row r="588" spans="1:47" hidden="1" outlineLevel="1">
      <c r="A588" s="298"/>
      <c r="B588" s="208" t="s">
        <v>1109</v>
      </c>
      <c r="C588" s="209" t="s">
        <v>732</v>
      </c>
      <c r="D588" s="209"/>
      <c r="E588" s="209"/>
      <c r="F588" s="209"/>
      <c r="G588" s="209"/>
      <c r="H588" s="209"/>
      <c r="I588" s="209"/>
      <c r="J588" s="209"/>
      <c r="K588" s="262">
        <v>10285</v>
      </c>
      <c r="L588" s="262">
        <v>9925</v>
      </c>
      <c r="M588" s="262">
        <v>10062</v>
      </c>
      <c r="N588" s="262">
        <v>10091</v>
      </c>
      <c r="O588" s="262">
        <v>9958</v>
      </c>
      <c r="P588" s="262">
        <v>9735</v>
      </c>
      <c r="Q588" s="262">
        <v>9556.2800000000007</v>
      </c>
      <c r="R588" s="262">
        <v>9586.9824000000008</v>
      </c>
      <c r="S588" s="262">
        <v>9073.9992000000002</v>
      </c>
      <c r="T588" s="262">
        <v>8960</v>
      </c>
      <c r="U588" s="262">
        <v>8465</v>
      </c>
      <c r="V588" s="262">
        <v>7972</v>
      </c>
      <c r="W588" s="262">
        <v>7487.7105600000004</v>
      </c>
      <c r="X588" s="262">
        <v>7302.7569266666669</v>
      </c>
      <c r="Y588" s="262">
        <v>7245.6913314285712</v>
      </c>
      <c r="Z588" s="262">
        <v>6944.4909910141205</v>
      </c>
      <c r="AA588" s="262">
        <v>6721.0748000000003</v>
      </c>
      <c r="AB588" s="262">
        <v>6401.9967515764429</v>
      </c>
      <c r="AC588" s="262">
        <v>4755</v>
      </c>
      <c r="AD588" s="262">
        <v>4418</v>
      </c>
      <c r="AE588" s="262">
        <v>4009</v>
      </c>
      <c r="AF588" s="262">
        <v>3677.070954854204</v>
      </c>
      <c r="AG588" s="262">
        <v>3483.8600992738739</v>
      </c>
      <c r="AH588" s="262">
        <v>3329.5651054448995</v>
      </c>
      <c r="AI588" s="262">
        <v>3201.8138812174234</v>
      </c>
      <c r="AJ588" s="262">
        <v>3092.3629021191368</v>
      </c>
      <c r="AK588" s="262">
        <v>2995.7136810763914</v>
      </c>
      <c r="AL588" s="262">
        <v>2908.1930631624864</v>
      </c>
      <c r="AM588" s="262">
        <v>2827.3418422268901</v>
      </c>
      <c r="AN588" s="262">
        <v>2751.5083309276656</v>
      </c>
      <c r="AO588" s="262">
        <v>2679.5781714464283</v>
      </c>
      <c r="AP588" s="262">
        <v>2610.7947110724822</v>
      </c>
      <c r="AQ588" s="262">
        <v>2610.7947110724822</v>
      </c>
      <c r="AR588" s="262">
        <v>2610.7947110724822</v>
      </c>
      <c r="AS588" s="262">
        <v>2610.7947110724822</v>
      </c>
      <c r="AT588" s="2"/>
      <c r="AU588" s="2"/>
    </row>
    <row r="589" spans="1:47" hidden="1" outlineLevel="1">
      <c r="A589" s="310"/>
      <c r="B589" s="322" t="s">
        <v>1099</v>
      </c>
      <c r="C589" s="310" t="s">
        <v>733</v>
      </c>
      <c r="D589" s="310"/>
      <c r="E589" s="310"/>
      <c r="F589" s="310"/>
      <c r="G589" s="310"/>
      <c r="H589" s="310"/>
      <c r="I589" s="310"/>
      <c r="J589" s="310"/>
      <c r="K589" s="313"/>
      <c r="L589" s="313"/>
      <c r="M589" s="313"/>
      <c r="N589" s="313"/>
      <c r="O589" s="313"/>
      <c r="P589" s="313"/>
      <c r="Q589" s="313">
        <v>-1.8358500256805299E-2</v>
      </c>
      <c r="R589" s="313">
        <v>3.2127982855254533E-3</v>
      </c>
      <c r="S589" s="313">
        <v>-5.3508307264650945E-2</v>
      </c>
      <c r="T589" s="313">
        <v>-1.2563280807871391E-2</v>
      </c>
      <c r="U589" s="313">
        <v>-5.5245535714285698E-2</v>
      </c>
      <c r="V589" s="313">
        <v>-5.823981098641462E-2</v>
      </c>
      <c r="W589" s="313">
        <v>-6.0748800802809755E-2</v>
      </c>
      <c r="X589" s="313">
        <v>-2.4700959238645237E-2</v>
      </c>
      <c r="Y589" s="313">
        <v>-7.8142536868118784E-3</v>
      </c>
      <c r="Z589" s="313">
        <v>-4.1569579304044924E-2</v>
      </c>
      <c r="AA589" s="313">
        <v>-3.2171715868479223E-2</v>
      </c>
      <c r="AB589" s="313">
        <v>-4.7474259388328388E-2</v>
      </c>
      <c r="AC589" s="313">
        <v>-0.25726297833107814</v>
      </c>
      <c r="AD589" s="313">
        <v>-7.0872765509989444E-2</v>
      </c>
      <c r="AE589" s="313">
        <v>-9.2575826165685826E-2</v>
      </c>
      <c r="AF589" s="313">
        <v>-8.2795970353154336E-2</v>
      </c>
      <c r="AG589" s="313">
        <v>-5.2544772171248755E-2</v>
      </c>
      <c r="AH589" s="313">
        <v>-4.4288516023112789E-2</v>
      </c>
      <c r="AI589" s="313">
        <v>-3.836874191724382E-2</v>
      </c>
      <c r="AJ589" s="313">
        <v>-3.4184054151414345E-2</v>
      </c>
      <c r="AK589" s="313">
        <v>-3.1254165213440377E-2</v>
      </c>
      <c r="AL589" s="313">
        <v>-2.9215281309012742E-2</v>
      </c>
      <c r="AM589" s="313">
        <v>-2.7801187603300082E-2</v>
      </c>
      <c r="AN589" s="313">
        <v>-2.6821486587379151E-2</v>
      </c>
      <c r="AO589" s="313">
        <v>-2.6142083115912707E-2</v>
      </c>
      <c r="AP589" s="313">
        <v>-2.5669510636749604E-2</v>
      </c>
      <c r="AQ589" s="313">
        <v>-2.5669510636749604E-2</v>
      </c>
      <c r="AR589" s="313">
        <v>-2.5669510636749604E-2</v>
      </c>
      <c r="AS589" s="313">
        <v>-2.5669510636749604E-2</v>
      </c>
      <c r="AT589" s="313"/>
      <c r="AU589" s="513"/>
    </row>
    <row r="590" spans="1:47" hidden="1" outlineLevel="1">
      <c r="A590" s="298"/>
      <c r="B590" s="59"/>
      <c r="C590" s="18"/>
      <c r="D590" s="18"/>
      <c r="E590" s="18"/>
      <c r="F590" s="18"/>
      <c r="G590" s="18"/>
      <c r="H590" s="18"/>
      <c r="I590" s="18"/>
      <c r="J590" s="18"/>
      <c r="K590" s="2"/>
      <c r="L590" s="2"/>
      <c r="M590" s="2"/>
      <c r="N590" s="2"/>
      <c r="O590" s="2"/>
      <c r="P590" s="2"/>
      <c r="Q590" s="2"/>
      <c r="R590" s="2"/>
      <c r="S590" s="2"/>
      <c r="T590" s="263"/>
      <c r="U590" s="263"/>
      <c r="V590" s="263"/>
      <c r="W590" s="263"/>
      <c r="X590" s="263"/>
      <c r="Y590" s="263"/>
      <c r="Z590" s="263"/>
      <c r="AA590" s="263"/>
      <c r="AB590" s="263"/>
      <c r="AC590" s="263"/>
      <c r="AD590" s="263"/>
      <c r="AE590" s="263"/>
      <c r="AF590" s="263"/>
      <c r="AG590" s="263"/>
      <c r="AH590" s="263"/>
      <c r="AI590" s="263"/>
      <c r="AJ590" s="263"/>
      <c r="AK590" s="263"/>
      <c r="AL590" s="263"/>
      <c r="AM590" s="263"/>
      <c r="AN590" s="263"/>
      <c r="AO590" s="263"/>
      <c r="AP590" s="263"/>
      <c r="AQ590" s="263"/>
      <c r="AR590" s="263"/>
      <c r="AS590" s="263"/>
      <c r="AT590" s="2"/>
      <c r="AU590" s="2"/>
    </row>
    <row r="591" spans="1:47" ht="15.6" hidden="1" outlineLevel="1">
      <c r="A591" s="298"/>
      <c r="B591" s="737" t="s">
        <v>1266</v>
      </c>
      <c r="C591" s="283"/>
      <c r="D591" s="284"/>
      <c r="E591" s="284"/>
      <c r="F591" s="284"/>
      <c r="G591" s="285"/>
      <c r="H591" s="285"/>
      <c r="I591" s="285"/>
      <c r="J591" s="285"/>
      <c r="K591" s="285"/>
      <c r="L591" s="285"/>
      <c r="M591" s="285"/>
      <c r="N591" s="284"/>
      <c r="O591" s="286"/>
      <c r="P591" s="286"/>
      <c r="Q591" s="286"/>
      <c r="R591" s="286"/>
      <c r="S591" s="286"/>
      <c r="T591" s="286"/>
      <c r="U591" s="286"/>
      <c r="V591" s="285"/>
      <c r="W591" s="285"/>
      <c r="X591" s="285"/>
      <c r="Y591" s="285"/>
      <c r="Z591" s="285"/>
      <c r="AA591" s="285"/>
      <c r="AB591" s="285"/>
      <c r="AC591" s="285"/>
      <c r="AD591" s="285"/>
      <c r="AE591" s="285"/>
      <c r="AF591" s="285"/>
      <c r="AG591" s="285"/>
      <c r="AH591" s="285"/>
      <c r="AI591" s="285"/>
      <c r="AJ591" s="285"/>
      <c r="AK591" s="285"/>
      <c r="AL591" s="285"/>
      <c r="AM591" s="285"/>
      <c r="AN591" s="285"/>
      <c r="AO591" s="285"/>
      <c r="AP591" s="285"/>
      <c r="AQ591" s="285"/>
      <c r="AR591" s="285"/>
      <c r="AS591" s="285"/>
      <c r="AT591" s="2"/>
      <c r="AU591" s="2"/>
    </row>
    <row r="592" spans="1:47" hidden="1" outlineLevel="1">
      <c r="A592" s="298"/>
      <c r="B592" s="336" t="s">
        <v>1180</v>
      </c>
      <c r="C592" s="18" t="s">
        <v>732</v>
      </c>
      <c r="D592" s="18"/>
      <c r="E592" s="18"/>
      <c r="F592" s="18"/>
      <c r="G592" s="18"/>
      <c r="H592" s="18"/>
      <c r="I592" s="18"/>
      <c r="J592" s="18"/>
      <c r="K592" s="247"/>
      <c r="L592" s="247"/>
      <c r="M592" s="247"/>
      <c r="N592" s="247"/>
      <c r="O592" s="247"/>
      <c r="P592" s="247"/>
      <c r="Q592" s="247"/>
      <c r="R592" s="247"/>
      <c r="S592" s="247"/>
      <c r="T592" s="247"/>
      <c r="U592" s="247"/>
      <c r="V592" s="247"/>
      <c r="W592" s="247"/>
      <c r="X592" s="247"/>
      <c r="Y592" s="247"/>
      <c r="Z592" s="254"/>
      <c r="AA592" s="254"/>
      <c r="AB592" s="254"/>
      <c r="AC592" s="247">
        <v>1284</v>
      </c>
      <c r="AD592" s="247">
        <v>1218</v>
      </c>
      <c r="AE592" s="247">
        <v>1151</v>
      </c>
      <c r="AF592" s="247">
        <v>1087.6855500821018</v>
      </c>
      <c r="AG592" s="247">
        <v>1027.8539147327581</v>
      </c>
      <c r="AH592" s="247">
        <v>971.31351055616142</v>
      </c>
      <c r="AI592" s="247">
        <v>990.73978076728463</v>
      </c>
      <c r="AJ592" s="247">
        <v>1010.5545763826303</v>
      </c>
      <c r="AK592" s="247">
        <v>1030.7656679102829</v>
      </c>
      <c r="AL592" s="247">
        <v>1051.3809812684885</v>
      </c>
      <c r="AM592" s="247">
        <v>1072.4086008938584</v>
      </c>
      <c r="AN592" s="247">
        <v>1093.8567729117356</v>
      </c>
      <c r="AO592" s="247">
        <v>1115.7339083699703</v>
      </c>
      <c r="AP592" s="247">
        <v>1138.0485865373698</v>
      </c>
      <c r="AQ592" s="247">
        <v>1138.0485865373698</v>
      </c>
      <c r="AR592" s="247">
        <v>1138.0485865373698</v>
      </c>
      <c r="AS592" s="247">
        <v>1138.0485865373698</v>
      </c>
      <c r="AT592" s="2"/>
      <c r="AU592" s="2"/>
    </row>
    <row r="593" spans="1:47" hidden="1" outlineLevel="1">
      <c r="A593" s="298"/>
      <c r="B593" s="336" t="s">
        <v>1181</v>
      </c>
      <c r="C593" s="18" t="s">
        <v>732</v>
      </c>
      <c r="D593" s="18"/>
      <c r="E593" s="18"/>
      <c r="F593" s="18"/>
      <c r="G593" s="18"/>
      <c r="H593" s="18"/>
      <c r="I593" s="18"/>
      <c r="J593" s="18"/>
      <c r="K593" s="247"/>
      <c r="L593" s="247"/>
      <c r="M593" s="247"/>
      <c r="N593" s="247"/>
      <c r="O593" s="247"/>
      <c r="P593" s="247"/>
      <c r="Q593" s="247"/>
      <c r="R593" s="247"/>
      <c r="S593" s="247"/>
      <c r="T593" s="247"/>
      <c r="U593" s="247"/>
      <c r="V593" s="247"/>
      <c r="W593" s="247"/>
      <c r="X593" s="247"/>
      <c r="Y593" s="247"/>
      <c r="Z593" s="254"/>
      <c r="AA593" s="254"/>
      <c r="AB593" s="254"/>
      <c r="AC593" s="247">
        <v>733</v>
      </c>
      <c r="AD593" s="247">
        <v>618</v>
      </c>
      <c r="AE593" s="247">
        <v>431</v>
      </c>
      <c r="AF593" s="247">
        <v>366.34999999999997</v>
      </c>
      <c r="AG593" s="247">
        <v>311.39749999999998</v>
      </c>
      <c r="AH593" s="247">
        <v>264.68787499999996</v>
      </c>
      <c r="AI593" s="247">
        <v>224.98469374999996</v>
      </c>
      <c r="AJ593" s="247">
        <v>191.23698968749997</v>
      </c>
      <c r="AK593" s="247">
        <v>162.55144123437498</v>
      </c>
      <c r="AL593" s="247">
        <v>138.16872504921872</v>
      </c>
      <c r="AM593" s="247">
        <v>117.44341629183592</v>
      </c>
      <c r="AN593" s="247">
        <v>99.826903848060525</v>
      </c>
      <c r="AO593" s="247">
        <v>84.852868270851445</v>
      </c>
      <c r="AP593" s="247">
        <v>72.124938030223731</v>
      </c>
      <c r="AQ593" s="247">
        <v>72.124938030223731</v>
      </c>
      <c r="AR593" s="247">
        <v>72.124938030223731</v>
      </c>
      <c r="AS593" s="247">
        <v>72.124938030223731</v>
      </c>
      <c r="AT593" s="2"/>
      <c r="AU593" s="2"/>
    </row>
    <row r="594" spans="1:47" hidden="1" outlineLevel="1">
      <c r="A594" s="298"/>
      <c r="B594" s="336" t="s">
        <v>1182</v>
      </c>
      <c r="C594" s="18" t="s">
        <v>732</v>
      </c>
      <c r="D594" s="18"/>
      <c r="E594" s="18"/>
      <c r="F594" s="18"/>
      <c r="G594" s="18"/>
      <c r="H594" s="18"/>
      <c r="I594" s="18"/>
      <c r="J594" s="18"/>
      <c r="K594" s="247"/>
      <c r="L594" s="247"/>
      <c r="M594" s="247"/>
      <c r="N594" s="247"/>
      <c r="O594" s="247"/>
      <c r="P594" s="247"/>
      <c r="Q594" s="247"/>
      <c r="R594" s="247"/>
      <c r="S594" s="247"/>
      <c r="T594" s="247"/>
      <c r="U594" s="247"/>
      <c r="V594" s="247"/>
      <c r="W594" s="247"/>
      <c r="X594" s="247"/>
      <c r="Y594" s="247"/>
      <c r="Z594" s="254"/>
      <c r="AA594" s="254"/>
      <c r="AB594" s="254"/>
      <c r="AC594" s="247">
        <v>120</v>
      </c>
      <c r="AD594" s="247">
        <v>114</v>
      </c>
      <c r="AE594" s="247">
        <v>103</v>
      </c>
      <c r="AF594" s="247">
        <v>93.061403508771932</v>
      </c>
      <c r="AG594" s="247">
        <v>84.081794398276401</v>
      </c>
      <c r="AH594" s="247">
        <v>75.968638798442711</v>
      </c>
      <c r="AI594" s="247">
        <v>68.638331545961407</v>
      </c>
      <c r="AJ594" s="247">
        <v>62.01533464240373</v>
      </c>
      <c r="AK594" s="247">
        <v>56.031398843575303</v>
      </c>
      <c r="AL594" s="247">
        <v>50.624860358668919</v>
      </c>
      <c r="AM594" s="247">
        <v>45.740005411779812</v>
      </c>
      <c r="AN594" s="247">
        <v>41.32649611766071</v>
      </c>
      <c r="AO594" s="247">
        <v>37.338851755430291</v>
      </c>
      <c r="AP594" s="247">
        <v>33.735980094818601</v>
      </c>
      <c r="AQ594" s="247">
        <v>33.735980094818601</v>
      </c>
      <c r="AR594" s="247">
        <v>33.735980094818601</v>
      </c>
      <c r="AS594" s="247">
        <v>33.735980094818601</v>
      </c>
      <c r="AT594" s="2"/>
      <c r="AU594" s="2"/>
    </row>
    <row r="595" spans="1:47" hidden="1" outlineLevel="1">
      <c r="A595" s="298"/>
      <c r="B595" s="55" t="s">
        <v>1091</v>
      </c>
      <c r="C595" s="18" t="s">
        <v>732</v>
      </c>
      <c r="D595" s="18"/>
      <c r="E595" s="18"/>
      <c r="F595" s="18"/>
      <c r="G595" s="18"/>
      <c r="H595" s="18"/>
      <c r="I595" s="18"/>
      <c r="J595" s="18"/>
      <c r="K595" s="247">
        <v>1186</v>
      </c>
      <c r="L595" s="247">
        <v>1256</v>
      </c>
      <c r="M595" s="247">
        <v>1037</v>
      </c>
      <c r="N595" s="247">
        <v>951</v>
      </c>
      <c r="O595" s="247">
        <v>927</v>
      </c>
      <c r="P595" s="247">
        <v>1152</v>
      </c>
      <c r="Q595" s="247">
        <v>1066</v>
      </c>
      <c r="R595" s="247">
        <v>1014</v>
      </c>
      <c r="S595" s="247">
        <v>978</v>
      </c>
      <c r="T595" s="247">
        <v>942.20656905421447</v>
      </c>
      <c r="U595" s="247">
        <v>904.85278986941034</v>
      </c>
      <c r="V595" s="247">
        <v>876.96834190739992</v>
      </c>
      <c r="W595" s="247">
        <v>826</v>
      </c>
      <c r="X595" s="247">
        <v>777</v>
      </c>
      <c r="Y595" s="247">
        <v>712</v>
      </c>
      <c r="Z595" s="247">
        <v>662</v>
      </c>
      <c r="AA595" s="247">
        <v>603</v>
      </c>
      <c r="AB595" s="247">
        <v>540</v>
      </c>
      <c r="AC595" s="247">
        <v>471</v>
      </c>
      <c r="AD595" s="247">
        <v>387</v>
      </c>
      <c r="AE595" s="247">
        <v>371.63504502992191</v>
      </c>
      <c r="AF595" s="247">
        <v>335.40062813950448</v>
      </c>
      <c r="AG595" s="247">
        <v>302.69906689590277</v>
      </c>
      <c r="AH595" s="247">
        <v>273.18590787355225</v>
      </c>
      <c r="AI595" s="247">
        <v>250.34336311520212</v>
      </c>
      <c r="AJ595" s="247">
        <v>233.06967106025317</v>
      </c>
      <c r="AK595" s="247">
        <v>216.98786375709568</v>
      </c>
      <c r="AL595" s="247">
        <v>202.01570115785603</v>
      </c>
      <c r="AM595" s="247">
        <v>188.07661777796397</v>
      </c>
      <c r="AN595" s="247">
        <v>175.09933115128445</v>
      </c>
      <c r="AO595" s="247">
        <v>163.01747730184579</v>
      </c>
      <c r="AP595" s="247">
        <v>151.76927136801845</v>
      </c>
      <c r="AQ595" s="247">
        <v>151.76927136801845</v>
      </c>
      <c r="AR595" s="247">
        <v>151.76927136801845</v>
      </c>
      <c r="AS595" s="247">
        <v>151.76927136801845</v>
      </c>
      <c r="AT595" s="2"/>
      <c r="AU595" s="2"/>
    </row>
    <row r="596" spans="1:47" hidden="1" outlineLevel="1">
      <c r="A596" s="298"/>
      <c r="B596" s="55" t="s">
        <v>1092</v>
      </c>
      <c r="C596" s="18" t="s">
        <v>732</v>
      </c>
      <c r="D596" s="18"/>
      <c r="E596" s="18"/>
      <c r="F596" s="18"/>
      <c r="G596" s="18"/>
      <c r="H596" s="18"/>
      <c r="I596" s="18"/>
      <c r="J596" s="18"/>
      <c r="K596" s="254">
        <v>0</v>
      </c>
      <c r="L596" s="254">
        <v>0</v>
      </c>
      <c r="M596" s="254">
        <v>0</v>
      </c>
      <c r="N596" s="254">
        <v>120</v>
      </c>
      <c r="O596" s="254">
        <v>163</v>
      </c>
      <c r="P596" s="254">
        <v>217</v>
      </c>
      <c r="Q596" s="254">
        <v>320</v>
      </c>
      <c r="R596" s="254">
        <v>416</v>
      </c>
      <c r="S596" s="254">
        <v>535</v>
      </c>
      <c r="T596" s="254">
        <v>676</v>
      </c>
      <c r="U596" s="254">
        <v>835</v>
      </c>
      <c r="V596" s="254">
        <v>970</v>
      </c>
      <c r="W596" s="254">
        <v>1056</v>
      </c>
      <c r="X596" s="254">
        <v>1118</v>
      </c>
      <c r="Y596" s="254">
        <v>1166</v>
      </c>
      <c r="Z596" s="254">
        <v>1180</v>
      </c>
      <c r="AA596" s="254">
        <v>1160</v>
      </c>
      <c r="AB596" s="254">
        <v>1088</v>
      </c>
      <c r="AC596" s="254">
        <v>1021</v>
      </c>
      <c r="AD596" s="254">
        <v>975</v>
      </c>
      <c r="AE596" s="254">
        <v>931.07247796278159</v>
      </c>
      <c r="AF596" s="254">
        <v>889.12406073820955</v>
      </c>
      <c r="AG596" s="254">
        <v>889.12406073820955</v>
      </c>
      <c r="AH596" s="254">
        <v>889.12406073820955</v>
      </c>
      <c r="AI596" s="254">
        <v>889.12406073820955</v>
      </c>
      <c r="AJ596" s="254">
        <v>889.12406073820955</v>
      </c>
      <c r="AK596" s="254">
        <v>889.12406073820955</v>
      </c>
      <c r="AL596" s="254">
        <v>889.12406073820955</v>
      </c>
      <c r="AM596" s="254">
        <v>889.12406073820955</v>
      </c>
      <c r="AN596" s="254">
        <v>889.12406073820955</v>
      </c>
      <c r="AO596" s="254">
        <v>889.12406073820955</v>
      </c>
      <c r="AP596" s="254">
        <v>889.12406073820955</v>
      </c>
      <c r="AQ596" s="254">
        <v>889.12406073820955</v>
      </c>
      <c r="AR596" s="254">
        <v>889.12406073820955</v>
      </c>
      <c r="AS596" s="254">
        <v>889.12406073820955</v>
      </c>
      <c r="AT596" s="2"/>
      <c r="AU596" s="2"/>
    </row>
    <row r="597" spans="1:47" hidden="1" outlineLevel="1">
      <c r="A597" s="298"/>
      <c r="B597" s="55" t="s">
        <v>1093</v>
      </c>
      <c r="C597" s="18" t="s">
        <v>732</v>
      </c>
      <c r="D597" s="18"/>
      <c r="E597" s="18"/>
      <c r="F597" s="18"/>
      <c r="G597" s="18"/>
      <c r="H597" s="18"/>
      <c r="I597" s="18"/>
      <c r="J597" s="18"/>
      <c r="K597" s="254"/>
      <c r="L597" s="254"/>
      <c r="M597" s="254"/>
      <c r="N597" s="254"/>
      <c r="O597" s="254"/>
      <c r="P597" s="254"/>
      <c r="Q597" s="254"/>
      <c r="R597" s="254"/>
      <c r="S597" s="254">
        <v>1686</v>
      </c>
      <c r="T597" s="254">
        <v>1623</v>
      </c>
      <c r="U597" s="254">
        <v>1451</v>
      </c>
      <c r="V597" s="254">
        <v>1300</v>
      </c>
      <c r="W597" s="254">
        <v>1240</v>
      </c>
      <c r="X597" s="254">
        <v>1146</v>
      </c>
      <c r="Y597" s="254">
        <v>1090</v>
      </c>
      <c r="Z597" s="254">
        <v>1041</v>
      </c>
      <c r="AA597" s="254">
        <v>1066</v>
      </c>
      <c r="AB597" s="254">
        <v>1070</v>
      </c>
      <c r="AC597" s="254">
        <v>1064</v>
      </c>
      <c r="AD597" s="254">
        <v>996</v>
      </c>
      <c r="AE597" s="254">
        <v>1015.6055740318999</v>
      </c>
      <c r="AF597" s="254">
        <v>987.86540079466704</v>
      </c>
      <c r="AG597" s="254">
        <v>961.25537487024314</v>
      </c>
      <c r="AH597" s="254">
        <v>935.72669473345911</v>
      </c>
      <c r="AI597" s="254">
        <v>911.23276776019065</v>
      </c>
      <c r="AJ597" s="254">
        <v>887.72910671756165</v>
      </c>
      <c r="AK597" s="254">
        <v>865.17323122158075</v>
      </c>
      <c r="AL597" s="254">
        <v>843.52457392008012</v>
      </c>
      <c r="AM597" s="254">
        <v>822.7443911707453</v>
      </c>
      <c r="AN597" s="254">
        <v>802.79567799535528</v>
      </c>
      <c r="AO597" s="254">
        <v>783.64308710211844</v>
      </c>
      <c r="AP597" s="254">
        <v>765.2528517782257</v>
      </c>
      <c r="AQ597" s="254">
        <v>765.2528517782257</v>
      </c>
      <c r="AR597" s="254">
        <v>765.2528517782257</v>
      </c>
      <c r="AS597" s="254">
        <v>765.2528517782257</v>
      </c>
      <c r="AT597" s="2"/>
      <c r="AU597" s="2"/>
    </row>
    <row r="598" spans="1:47" hidden="1" outlineLevel="1">
      <c r="A598" s="298"/>
      <c r="B598" s="55" t="s">
        <v>449</v>
      </c>
      <c r="C598" s="18" t="s">
        <v>732</v>
      </c>
      <c r="D598" s="18"/>
      <c r="E598" s="18"/>
      <c r="F598" s="18"/>
      <c r="G598" s="18"/>
      <c r="H598" s="18"/>
      <c r="I598" s="18"/>
      <c r="J598" s="18"/>
      <c r="K598" s="259"/>
      <c r="L598" s="259"/>
      <c r="M598" s="259"/>
      <c r="N598" s="259"/>
      <c r="O598" s="259"/>
      <c r="P598" s="259"/>
      <c r="Q598" s="254"/>
      <c r="R598" s="254"/>
      <c r="S598" s="254"/>
      <c r="T598" s="254"/>
      <c r="U598" s="254"/>
      <c r="V598" s="254"/>
      <c r="W598" s="254"/>
      <c r="X598" s="254"/>
      <c r="Y598" s="465"/>
      <c r="Z598" s="465"/>
      <c r="AA598" s="465"/>
      <c r="AB598" s="465"/>
      <c r="AC598" s="465"/>
      <c r="AD598" s="465"/>
      <c r="AE598" s="465"/>
      <c r="AF598" s="465"/>
      <c r="AG598" s="465"/>
      <c r="AH598" s="465"/>
      <c r="AI598" s="465"/>
      <c r="AJ598" s="465"/>
      <c r="AK598" s="465"/>
      <c r="AL598" s="465"/>
      <c r="AM598" s="465"/>
      <c r="AN598" s="465"/>
      <c r="AO598" s="465"/>
      <c r="AP598" s="465"/>
      <c r="AQ598" s="465"/>
      <c r="AR598" s="465"/>
      <c r="AS598" s="465"/>
      <c r="AT598" s="2"/>
      <c r="AU598" s="2" t="s">
        <v>1100</v>
      </c>
    </row>
    <row r="599" spans="1:47" hidden="1" outlineLevel="1">
      <c r="A599" s="298"/>
      <c r="B599" s="55" t="s">
        <v>601</v>
      </c>
      <c r="C599" s="18" t="s">
        <v>732</v>
      </c>
      <c r="D599" s="18"/>
      <c r="E599" s="18"/>
      <c r="F599" s="18"/>
      <c r="G599" s="18"/>
      <c r="H599" s="18"/>
      <c r="I599" s="18"/>
      <c r="J599" s="18"/>
      <c r="K599" s="254">
        <v>1406</v>
      </c>
      <c r="L599" s="254">
        <v>1547</v>
      </c>
      <c r="M599" s="254">
        <v>1051</v>
      </c>
      <c r="N599" s="254">
        <v>1053</v>
      </c>
      <c r="O599" s="254">
        <v>1036</v>
      </c>
      <c r="P599" s="254">
        <v>901</v>
      </c>
      <c r="Q599" s="254">
        <v>821</v>
      </c>
      <c r="R599" s="254">
        <v>745</v>
      </c>
      <c r="S599" s="254">
        <v>690</v>
      </c>
      <c r="T599" s="254">
        <v>628</v>
      </c>
      <c r="U599" s="254">
        <v>482</v>
      </c>
      <c r="V599" s="254">
        <v>350</v>
      </c>
      <c r="W599" s="254">
        <v>175</v>
      </c>
      <c r="X599" s="254">
        <v>157.5</v>
      </c>
      <c r="Y599" s="254">
        <v>126</v>
      </c>
      <c r="Z599" s="254">
        <v>113.4</v>
      </c>
      <c r="AA599" s="254">
        <v>102.06</v>
      </c>
      <c r="AB599" s="254">
        <v>112.26600000000001</v>
      </c>
      <c r="AC599" s="254">
        <v>129.10589999999999</v>
      </c>
      <c r="AD599" s="254">
        <v>148.47178499999998</v>
      </c>
      <c r="AE599" s="254">
        <v>148.47178499999998</v>
      </c>
      <c r="AF599" s="254">
        <v>148.47178499999998</v>
      </c>
      <c r="AG599" s="254">
        <v>148.47178499999998</v>
      </c>
      <c r="AH599" s="254">
        <v>148.47178499999998</v>
      </c>
      <c r="AI599" s="254">
        <v>148.47178499999998</v>
      </c>
      <c r="AJ599" s="254">
        <v>148.47178499999998</v>
      </c>
      <c r="AK599" s="254">
        <v>148.47178499999998</v>
      </c>
      <c r="AL599" s="254">
        <v>148.47178499999998</v>
      </c>
      <c r="AM599" s="254">
        <v>148.47178499999998</v>
      </c>
      <c r="AN599" s="254">
        <v>148.47178499999998</v>
      </c>
      <c r="AO599" s="254">
        <v>148.47178499999998</v>
      </c>
      <c r="AP599" s="254">
        <v>148.47178499999998</v>
      </c>
      <c r="AQ599" s="254">
        <v>148.47178499999998</v>
      </c>
      <c r="AR599" s="254">
        <v>148.47178499999998</v>
      </c>
      <c r="AS599" s="254">
        <v>148.47178499999998</v>
      </c>
      <c r="AT599" s="2"/>
      <c r="AU599" s="2" t="s">
        <v>1100</v>
      </c>
    </row>
    <row r="600" spans="1:47" hidden="1" outlineLevel="1">
      <c r="A600" s="298"/>
      <c r="B600" s="55" t="s">
        <v>602</v>
      </c>
      <c r="C600" s="18" t="s">
        <v>732</v>
      </c>
      <c r="D600" s="18"/>
      <c r="E600" s="18"/>
      <c r="F600" s="18"/>
      <c r="G600" s="18"/>
      <c r="H600" s="18"/>
      <c r="I600" s="18"/>
      <c r="J600" s="18"/>
      <c r="K600" s="254">
        <v>0</v>
      </c>
      <c r="L600" s="254">
        <v>0</v>
      </c>
      <c r="M600" s="254">
        <v>0</v>
      </c>
      <c r="N600" s="254">
        <v>0</v>
      </c>
      <c r="O600" s="254">
        <v>0</v>
      </c>
      <c r="P600" s="254">
        <v>84</v>
      </c>
      <c r="Q600" s="254">
        <v>95</v>
      </c>
      <c r="R600" s="254">
        <v>96</v>
      </c>
      <c r="S600" s="254">
        <v>105</v>
      </c>
      <c r="T600" s="254">
        <v>135</v>
      </c>
      <c r="U600" s="254">
        <v>122</v>
      </c>
      <c r="V600" s="254">
        <v>109</v>
      </c>
      <c r="W600" s="254">
        <v>114.45</v>
      </c>
      <c r="X600" s="254">
        <v>122.46150000000002</v>
      </c>
      <c r="Y600" s="254">
        <v>128.58457500000003</v>
      </c>
      <c r="Z600" s="254">
        <v>135.01380375000005</v>
      </c>
      <c r="AA600" s="254">
        <v>128.26311356250005</v>
      </c>
      <c r="AB600" s="254">
        <v>141.08942491875007</v>
      </c>
      <c r="AC600" s="254">
        <v>141.08942491875007</v>
      </c>
      <c r="AD600" s="254">
        <v>141.08942491875007</v>
      </c>
      <c r="AE600" s="254">
        <v>141.08942491875007</v>
      </c>
      <c r="AF600" s="254">
        <v>141.08942491875007</v>
      </c>
      <c r="AG600" s="254">
        <v>141.08942491875007</v>
      </c>
      <c r="AH600" s="254">
        <v>141.08942491875007</v>
      </c>
      <c r="AI600" s="254">
        <v>141.08942491875007</v>
      </c>
      <c r="AJ600" s="254">
        <v>141.08942491875007</v>
      </c>
      <c r="AK600" s="254">
        <v>141.08942491875007</v>
      </c>
      <c r="AL600" s="254">
        <v>141.08942491875007</v>
      </c>
      <c r="AM600" s="254">
        <v>141.08942491875007</v>
      </c>
      <c r="AN600" s="254">
        <v>141.08942491875007</v>
      </c>
      <c r="AO600" s="254">
        <v>141.08942491875007</v>
      </c>
      <c r="AP600" s="254">
        <v>141.08942491875007</v>
      </c>
      <c r="AQ600" s="254">
        <v>141.08942491875007</v>
      </c>
      <c r="AR600" s="254">
        <v>141.08942491875007</v>
      </c>
      <c r="AS600" s="254">
        <v>141.08942491875007</v>
      </c>
      <c r="AT600" s="2"/>
      <c r="AU600" s="2" t="s">
        <v>1100</v>
      </c>
    </row>
    <row r="601" spans="1:47" hidden="1" outlineLevel="1">
      <c r="A601" s="298"/>
      <c r="B601" s="55" t="s">
        <v>603</v>
      </c>
      <c r="C601" s="18" t="s">
        <v>732</v>
      </c>
      <c r="D601" s="18"/>
      <c r="E601" s="18"/>
      <c r="F601" s="18"/>
      <c r="G601" s="18"/>
      <c r="H601" s="18"/>
      <c r="I601" s="18"/>
      <c r="J601" s="18"/>
      <c r="K601" s="254">
        <v>0</v>
      </c>
      <c r="L601" s="254">
        <v>0</v>
      </c>
      <c r="M601" s="254">
        <v>0</v>
      </c>
      <c r="N601" s="254">
        <v>100</v>
      </c>
      <c r="O601" s="254">
        <v>158</v>
      </c>
      <c r="P601" s="254">
        <v>184</v>
      </c>
      <c r="Q601" s="254">
        <v>234</v>
      </c>
      <c r="R601" s="254">
        <v>258</v>
      </c>
      <c r="S601" s="254">
        <v>278</v>
      </c>
      <c r="T601" s="254">
        <v>308</v>
      </c>
      <c r="U601" s="254">
        <v>338</v>
      </c>
      <c r="V601" s="254">
        <v>342</v>
      </c>
      <c r="W601" s="254">
        <v>369.36</v>
      </c>
      <c r="X601" s="254">
        <v>398.90880000000004</v>
      </c>
      <c r="Y601" s="254">
        <v>398.90880000000004</v>
      </c>
      <c r="Z601" s="254">
        <v>418.85424000000006</v>
      </c>
      <c r="AA601" s="254">
        <v>389.53444320000006</v>
      </c>
      <c r="AB601" s="254">
        <v>401.22047649600006</v>
      </c>
      <c r="AC601" s="254">
        <v>441.34252414560012</v>
      </c>
      <c r="AD601" s="254">
        <v>441.34252414560012</v>
      </c>
      <c r="AE601" s="254">
        <v>428.1022484212321</v>
      </c>
      <c r="AF601" s="254">
        <v>415.2591809685951</v>
      </c>
      <c r="AG601" s="254">
        <v>402.80140553953726</v>
      </c>
      <c r="AH601" s="254">
        <v>390.71736337335113</v>
      </c>
      <c r="AI601" s="254">
        <v>378.99584247215057</v>
      </c>
      <c r="AJ601" s="254">
        <v>367.62596719798603</v>
      </c>
      <c r="AK601" s="254">
        <v>356.59718818204647</v>
      </c>
      <c r="AL601" s="254">
        <v>345.89927253658504</v>
      </c>
      <c r="AM601" s="254">
        <v>335.52229436048748</v>
      </c>
      <c r="AN601" s="254">
        <v>325.45662552967286</v>
      </c>
      <c r="AO601" s="254">
        <v>315.69292676378268</v>
      </c>
      <c r="AP601" s="254">
        <v>306.22213896086919</v>
      </c>
      <c r="AQ601" s="254">
        <v>306.22213896086919</v>
      </c>
      <c r="AR601" s="254">
        <v>306.22213896086919</v>
      </c>
      <c r="AS601" s="254">
        <v>306.22213896086919</v>
      </c>
      <c r="AT601" s="2"/>
      <c r="AU601" s="2" t="s">
        <v>1100</v>
      </c>
    </row>
    <row r="602" spans="1:47" hidden="1" outlineLevel="1">
      <c r="A602" s="298"/>
      <c r="B602" s="55" t="s">
        <v>595</v>
      </c>
      <c r="C602" s="18" t="s">
        <v>732</v>
      </c>
      <c r="D602" s="18"/>
      <c r="E602" s="18"/>
      <c r="F602" s="18"/>
      <c r="G602" s="18"/>
      <c r="H602" s="18"/>
      <c r="I602" s="18"/>
      <c r="J602" s="18"/>
      <c r="K602" s="254"/>
      <c r="L602" s="254"/>
      <c r="M602" s="254"/>
      <c r="N602" s="254"/>
      <c r="O602" s="254"/>
      <c r="P602" s="254"/>
      <c r="Q602" s="254"/>
      <c r="R602" s="254"/>
      <c r="S602" s="254">
        <v>613</v>
      </c>
      <c r="T602" s="254">
        <v>552</v>
      </c>
      <c r="U602" s="254">
        <v>509</v>
      </c>
      <c r="V602" s="254">
        <v>499</v>
      </c>
      <c r="W602" s="254">
        <v>474.04999999999995</v>
      </c>
      <c r="X602" s="254">
        <v>450.34749999999991</v>
      </c>
      <c r="Y602" s="254">
        <v>405.31274999999994</v>
      </c>
      <c r="Z602" s="254">
        <v>385.04711249999991</v>
      </c>
      <c r="AA602" s="254">
        <v>365.7947568749999</v>
      </c>
      <c r="AB602" s="254">
        <v>347.5050190312499</v>
      </c>
      <c r="AC602" s="254">
        <v>330.12976807968738</v>
      </c>
      <c r="AD602" s="254">
        <v>313.62327967570297</v>
      </c>
      <c r="AE602" s="254">
        <v>297.94211569191782</v>
      </c>
      <c r="AF602" s="254">
        <v>283.04500990732191</v>
      </c>
      <c r="AG602" s="254">
        <v>268.89275941195581</v>
      </c>
      <c r="AH602" s="254">
        <v>255.44812144135801</v>
      </c>
      <c r="AI602" s="254">
        <v>242.67571536929009</v>
      </c>
      <c r="AJ602" s="254">
        <v>230.54192960082557</v>
      </c>
      <c r="AK602" s="254">
        <v>219.01483312078429</v>
      </c>
      <c r="AL602" s="254">
        <v>208.06409146474508</v>
      </c>
      <c r="AM602" s="254">
        <v>197.6608868915078</v>
      </c>
      <c r="AN602" s="254">
        <v>187.77784254693239</v>
      </c>
      <c r="AO602" s="254">
        <v>178.38895041958577</v>
      </c>
      <c r="AP602" s="254">
        <v>169.46950289860646</v>
      </c>
      <c r="AQ602" s="254">
        <v>169.46950289860646</v>
      </c>
      <c r="AR602" s="254">
        <v>169.46950289860646</v>
      </c>
      <c r="AS602" s="254">
        <v>169.46950289860646</v>
      </c>
      <c r="AT602" s="2"/>
      <c r="AU602" s="2" t="s">
        <v>1100</v>
      </c>
    </row>
    <row r="603" spans="1:47" hidden="1" outlineLevel="1">
      <c r="A603" s="298"/>
      <c r="B603" s="208" t="s">
        <v>1111</v>
      </c>
      <c r="C603" s="209" t="s">
        <v>732</v>
      </c>
      <c r="D603" s="209"/>
      <c r="E603" s="209"/>
      <c r="F603" s="209"/>
      <c r="G603" s="209"/>
      <c r="H603" s="209"/>
      <c r="I603" s="209"/>
      <c r="J603" s="209"/>
      <c r="K603" s="262">
        <v>2592</v>
      </c>
      <c r="L603" s="262">
        <v>2803</v>
      </c>
      <c r="M603" s="262">
        <v>2088</v>
      </c>
      <c r="N603" s="262">
        <v>2224</v>
      </c>
      <c r="O603" s="262">
        <v>2284</v>
      </c>
      <c r="P603" s="262">
        <v>2538</v>
      </c>
      <c r="Q603" s="262">
        <v>2536</v>
      </c>
      <c r="R603" s="262">
        <v>2529</v>
      </c>
      <c r="S603" s="262">
        <v>3199</v>
      </c>
      <c r="T603" s="262">
        <v>3241.2065690542145</v>
      </c>
      <c r="U603" s="262">
        <v>3190.8527898694101</v>
      </c>
      <c r="V603" s="262">
        <v>3146.9683419073999</v>
      </c>
      <c r="W603" s="262">
        <v>3122</v>
      </c>
      <c r="X603" s="262">
        <v>3041</v>
      </c>
      <c r="Y603" s="262">
        <v>2968</v>
      </c>
      <c r="Z603" s="262">
        <v>2883</v>
      </c>
      <c r="AA603" s="262">
        <v>2829</v>
      </c>
      <c r="AB603" s="262">
        <v>2698</v>
      </c>
      <c r="AC603" s="262">
        <v>4693</v>
      </c>
      <c r="AD603" s="262">
        <v>4308</v>
      </c>
      <c r="AE603" s="262">
        <v>4003.3130970246034</v>
      </c>
      <c r="AF603" s="262">
        <v>3759.4870432632547</v>
      </c>
      <c r="AG603" s="262">
        <v>3576.41171163539</v>
      </c>
      <c r="AH603" s="262">
        <v>3410.0066876998253</v>
      </c>
      <c r="AI603" s="262">
        <v>3335.0629976768482</v>
      </c>
      <c r="AJ603" s="262">
        <v>3273.7297392285582</v>
      </c>
      <c r="AK603" s="262">
        <v>3220.6336637051195</v>
      </c>
      <c r="AL603" s="262">
        <v>3174.8389024925218</v>
      </c>
      <c r="AM603" s="262">
        <v>3135.5370922843931</v>
      </c>
      <c r="AN603" s="262">
        <v>3102.0292427623062</v>
      </c>
      <c r="AO603" s="262">
        <v>3073.7102535384261</v>
      </c>
      <c r="AP603" s="262">
        <v>3050.0556885468659</v>
      </c>
      <c r="AQ603" s="262">
        <v>3050.0556885468659</v>
      </c>
      <c r="AR603" s="262">
        <v>3050.0556885468659</v>
      </c>
      <c r="AS603" s="262">
        <v>3050.0556885468659</v>
      </c>
      <c r="AT603" s="2"/>
      <c r="AU603" s="2"/>
    </row>
    <row r="604" spans="1:47" hidden="1" outlineLevel="1">
      <c r="A604" s="310"/>
      <c r="B604" s="322" t="s">
        <v>1099</v>
      </c>
      <c r="C604" s="310" t="s">
        <v>733</v>
      </c>
      <c r="D604" s="310"/>
      <c r="E604" s="310"/>
      <c r="F604" s="310"/>
      <c r="G604" s="310"/>
      <c r="H604" s="310"/>
      <c r="I604" s="310"/>
      <c r="J604" s="310"/>
      <c r="K604" s="313"/>
      <c r="L604" s="313"/>
      <c r="M604" s="313"/>
      <c r="N604" s="313"/>
      <c r="O604" s="313"/>
      <c r="P604" s="313"/>
      <c r="Q604" s="313"/>
      <c r="R604" s="313"/>
      <c r="S604" s="313">
        <v>0.26492684855674176</v>
      </c>
      <c r="T604" s="313">
        <v>1.3193675853146125E-2</v>
      </c>
      <c r="U604" s="313">
        <v>-1.5535504483287998E-2</v>
      </c>
      <c r="V604" s="313">
        <v>-1.3753203564056071E-2</v>
      </c>
      <c r="W604" s="313">
        <v>-7.9340937672942591E-3</v>
      </c>
      <c r="X604" s="313">
        <v>-2.5944907110826421E-2</v>
      </c>
      <c r="Y604" s="313">
        <v>-2.4005261427162083E-2</v>
      </c>
      <c r="Z604" s="313">
        <v>-2.863881401617252E-2</v>
      </c>
      <c r="AA604" s="313">
        <v>-1.8730489073881418E-2</v>
      </c>
      <c r="AB604" s="313">
        <v>-4.6306115235065448E-2</v>
      </c>
      <c r="AC604" s="313">
        <v>0.73943661971830976</v>
      </c>
      <c r="AD604" s="313">
        <v>-8.2037076496910277E-2</v>
      </c>
      <c r="AE604" s="313">
        <v>-7.0725836345263859E-2</v>
      </c>
      <c r="AF604" s="313">
        <v>-6.0906066513400692E-2</v>
      </c>
      <c r="AG604" s="313">
        <v>-4.8696891230393557E-2</v>
      </c>
      <c r="AH604" s="313">
        <v>-4.6528486469884833E-2</v>
      </c>
      <c r="AI604" s="313">
        <v>-2.1977578605140269E-2</v>
      </c>
      <c r="AJ604" s="313">
        <v>-1.8390434750712004E-2</v>
      </c>
      <c r="AK604" s="313">
        <v>-1.6218832876519151E-2</v>
      </c>
      <c r="AL604" s="313">
        <v>-1.4219177340372813E-2</v>
      </c>
      <c r="AM604" s="313">
        <v>-1.2379151010551537E-2</v>
      </c>
      <c r="AN604" s="313">
        <v>-1.068647843603554E-2</v>
      </c>
      <c r="AO604" s="313">
        <v>-9.1291819024448273E-3</v>
      </c>
      <c r="AP604" s="313">
        <v>-7.695769295212318E-3</v>
      </c>
      <c r="AQ604" s="313">
        <v>-7.695769295212318E-3</v>
      </c>
      <c r="AR604" s="313">
        <v>-7.695769295212318E-3</v>
      </c>
      <c r="AS604" s="313">
        <v>-7.695769295212318E-3</v>
      </c>
      <c r="AT604" s="313"/>
      <c r="AU604" s="513"/>
    </row>
    <row r="605" spans="1:47" hidden="1" outlineLevel="1">
      <c r="A605" s="298"/>
      <c r="B605" s="241"/>
      <c r="C605" s="18"/>
      <c r="D605" s="18"/>
      <c r="E605" s="18"/>
      <c r="F605" s="18"/>
      <c r="G605" s="18"/>
      <c r="H605" s="18"/>
      <c r="I605" s="18"/>
      <c r="J605" s="18"/>
      <c r="K605" s="2"/>
      <c r="L605" s="2"/>
      <c r="M605" s="2"/>
      <c r="N605" s="2"/>
      <c r="O605" s="2"/>
      <c r="P605" s="2"/>
      <c r="Q605" s="2"/>
      <c r="R605" s="2"/>
      <c r="S605" s="2"/>
      <c r="T605" s="263"/>
      <c r="U605" s="263"/>
      <c r="V605" s="263"/>
      <c r="W605" s="263"/>
      <c r="X605" s="263"/>
      <c r="Y605" s="263"/>
      <c r="Z605" s="263"/>
      <c r="AA605" s="263"/>
      <c r="AB605" s="263"/>
      <c r="AC605" s="263"/>
      <c r="AD605" s="263"/>
      <c r="AE605" s="263"/>
      <c r="AF605" s="263"/>
      <c r="AG605" s="263"/>
      <c r="AH605" s="263"/>
      <c r="AI605" s="263"/>
      <c r="AJ605" s="263"/>
      <c r="AK605" s="263"/>
      <c r="AL605" s="263"/>
      <c r="AM605" s="263"/>
      <c r="AN605" s="263"/>
      <c r="AO605" s="263"/>
      <c r="AP605" s="263"/>
      <c r="AQ605" s="263"/>
      <c r="AR605" s="263"/>
      <c r="AS605" s="263"/>
      <c r="AT605" s="2"/>
      <c r="AU605" s="2"/>
    </row>
    <row r="606" spans="1:47" ht="15.6" hidden="1" outlineLevel="1">
      <c r="A606" s="298"/>
      <c r="B606" s="737" t="s">
        <v>1320</v>
      </c>
      <c r="C606" s="283"/>
      <c r="D606" s="284"/>
      <c r="E606" s="284"/>
      <c r="F606" s="284"/>
      <c r="G606" s="285"/>
      <c r="H606" s="285"/>
      <c r="I606" s="285"/>
      <c r="J606" s="285"/>
      <c r="K606" s="285"/>
      <c r="L606" s="285"/>
      <c r="M606" s="285"/>
      <c r="N606" s="284"/>
      <c r="O606" s="286"/>
      <c r="P606" s="286"/>
      <c r="Q606" s="286"/>
      <c r="R606" s="286"/>
      <c r="S606" s="286"/>
      <c r="T606" s="286"/>
      <c r="U606" s="286"/>
      <c r="V606" s="285"/>
      <c r="W606" s="285"/>
      <c r="X606" s="285"/>
      <c r="Y606" s="285"/>
      <c r="Z606" s="285"/>
      <c r="AA606" s="285"/>
      <c r="AB606" s="285"/>
      <c r="AC606" s="285"/>
      <c r="AD606" s="285"/>
      <c r="AE606" s="285"/>
      <c r="AF606" s="285"/>
      <c r="AG606" s="285"/>
      <c r="AH606" s="285"/>
      <c r="AI606" s="285"/>
      <c r="AJ606" s="285"/>
      <c r="AK606" s="285"/>
      <c r="AL606" s="285"/>
      <c r="AM606" s="285"/>
      <c r="AN606" s="285"/>
      <c r="AO606" s="285"/>
      <c r="AP606" s="285"/>
      <c r="AQ606" s="285"/>
      <c r="AR606" s="285"/>
      <c r="AS606" s="285"/>
      <c r="AT606" s="2"/>
      <c r="AU606" s="2"/>
    </row>
    <row r="607" spans="1:47" hidden="1" outlineLevel="1">
      <c r="A607" s="298"/>
      <c r="B607" s="55" t="s">
        <v>1137</v>
      </c>
      <c r="C607" s="18" t="s">
        <v>732</v>
      </c>
      <c r="D607" s="18"/>
      <c r="E607" s="18"/>
      <c r="F607" s="18"/>
      <c r="G607" s="18"/>
      <c r="H607" s="18"/>
      <c r="I607" s="18"/>
      <c r="J607" s="18"/>
      <c r="K607" s="254">
        <v>0</v>
      </c>
      <c r="L607" s="254">
        <v>0</v>
      </c>
      <c r="M607" s="254">
        <v>0</v>
      </c>
      <c r="N607" s="254">
        <v>0</v>
      </c>
      <c r="O607" s="254">
        <v>0</v>
      </c>
      <c r="P607" s="254">
        <v>364</v>
      </c>
      <c r="Q607" s="254">
        <v>347</v>
      </c>
      <c r="R607" s="254">
        <v>357</v>
      </c>
      <c r="S607" s="254">
        <v>387</v>
      </c>
      <c r="T607" s="254">
        <v>0</v>
      </c>
      <c r="U607" s="254">
        <v>647.82205746061175</v>
      </c>
      <c r="V607" s="254">
        <v>699</v>
      </c>
      <c r="W607" s="254"/>
      <c r="X607" s="254"/>
      <c r="Y607" s="254"/>
      <c r="Z607" s="254"/>
      <c r="AA607" s="254"/>
      <c r="AB607" s="254"/>
      <c r="AC607" s="254"/>
      <c r="AD607" s="254"/>
      <c r="AE607" s="254"/>
      <c r="AF607" s="254"/>
      <c r="AG607" s="254"/>
      <c r="AH607" s="254"/>
      <c r="AI607" s="254"/>
      <c r="AJ607" s="254"/>
      <c r="AK607" s="254"/>
      <c r="AL607" s="254"/>
      <c r="AM607" s="254"/>
      <c r="AN607" s="254"/>
      <c r="AO607" s="254"/>
      <c r="AP607" s="254"/>
      <c r="AQ607" s="254"/>
      <c r="AR607" s="254"/>
      <c r="AS607" s="254"/>
      <c r="AT607" s="2"/>
      <c r="AU607" s="2"/>
    </row>
    <row r="608" spans="1:47" hidden="1" outlineLevel="1">
      <c r="A608" s="298"/>
      <c r="B608" s="55" t="s">
        <v>1138</v>
      </c>
      <c r="C608" s="18" t="s">
        <v>732</v>
      </c>
      <c r="D608" s="18"/>
      <c r="E608" s="18"/>
      <c r="F608" s="18"/>
      <c r="G608" s="18"/>
      <c r="H608" s="18"/>
      <c r="I608" s="18"/>
      <c r="J608" s="18"/>
      <c r="K608" s="254">
        <v>0</v>
      </c>
      <c r="L608" s="254">
        <v>0</v>
      </c>
      <c r="M608" s="254">
        <v>0</v>
      </c>
      <c r="N608" s="254">
        <v>0</v>
      </c>
      <c r="O608" s="254">
        <v>0</v>
      </c>
      <c r="P608" s="254">
        <v>0</v>
      </c>
      <c r="Q608" s="254">
        <v>0</v>
      </c>
      <c r="R608" s="254">
        <v>0</v>
      </c>
      <c r="S608" s="254">
        <v>0</v>
      </c>
      <c r="T608" s="254">
        <v>0</v>
      </c>
      <c r="U608" s="254">
        <v>0</v>
      </c>
      <c r="V608" s="254">
        <v>0</v>
      </c>
      <c r="W608" s="254"/>
      <c r="X608" s="254"/>
      <c r="Y608" s="254"/>
      <c r="Z608" s="254"/>
      <c r="AA608" s="254"/>
      <c r="AB608" s="254"/>
      <c r="AC608" s="254"/>
      <c r="AD608" s="254"/>
      <c r="AE608" s="254"/>
      <c r="AF608" s="254"/>
      <c r="AG608" s="254"/>
      <c r="AH608" s="254"/>
      <c r="AI608" s="254"/>
      <c r="AJ608" s="254"/>
      <c r="AK608" s="254"/>
      <c r="AL608" s="254"/>
      <c r="AM608" s="254"/>
      <c r="AN608" s="254"/>
      <c r="AO608" s="254"/>
      <c r="AP608" s="254"/>
      <c r="AQ608" s="254"/>
      <c r="AR608" s="254"/>
      <c r="AS608" s="254"/>
      <c r="AT608" s="2"/>
      <c r="AU608" s="2"/>
    </row>
    <row r="609" spans="1:47" hidden="1" outlineLevel="1">
      <c r="A609" s="298"/>
      <c r="B609" s="55" t="s">
        <v>1139</v>
      </c>
      <c r="C609" s="18" t="s">
        <v>732</v>
      </c>
      <c r="D609" s="18"/>
      <c r="E609" s="18"/>
      <c r="F609" s="18"/>
      <c r="G609" s="18"/>
      <c r="H609" s="18"/>
      <c r="I609" s="18"/>
      <c r="J609" s="18"/>
      <c r="K609" s="254">
        <v>0</v>
      </c>
      <c r="L609" s="254">
        <v>0</v>
      </c>
      <c r="M609" s="254">
        <v>0</v>
      </c>
      <c r="N609" s="254">
        <v>0</v>
      </c>
      <c r="O609" s="254">
        <v>0</v>
      </c>
      <c r="P609" s="254">
        <v>118</v>
      </c>
      <c r="Q609" s="254">
        <v>111</v>
      </c>
      <c r="R609" s="254">
        <v>127</v>
      </c>
      <c r="S609" s="254">
        <v>122</v>
      </c>
      <c r="T609" s="254">
        <v>0</v>
      </c>
      <c r="U609" s="254">
        <v>0</v>
      </c>
      <c r="V609" s="254">
        <v>0</v>
      </c>
      <c r="W609" s="254"/>
      <c r="X609" s="254"/>
      <c r="Y609" s="254"/>
      <c r="Z609" s="254"/>
      <c r="AA609" s="254"/>
      <c r="AB609" s="254"/>
      <c r="AC609" s="254"/>
      <c r="AD609" s="254"/>
      <c r="AE609" s="254"/>
      <c r="AF609" s="254"/>
      <c r="AG609" s="254"/>
      <c r="AH609" s="254"/>
      <c r="AI609" s="254"/>
      <c r="AJ609" s="254"/>
      <c r="AK609" s="254"/>
      <c r="AL609" s="254"/>
      <c r="AM609" s="254"/>
      <c r="AN609" s="254"/>
      <c r="AO609" s="254"/>
      <c r="AP609" s="254"/>
      <c r="AQ609" s="254"/>
      <c r="AR609" s="254"/>
      <c r="AS609" s="254"/>
      <c r="AT609" s="2"/>
      <c r="AU609" s="2"/>
    </row>
    <row r="610" spans="1:47" hidden="1" outlineLevel="1">
      <c r="A610" s="298"/>
      <c r="B610" s="55" t="s">
        <v>28</v>
      </c>
      <c r="C610" s="18" t="s">
        <v>732</v>
      </c>
      <c r="D610" s="18"/>
      <c r="E610" s="18"/>
      <c r="F610" s="18"/>
      <c r="G610" s="18"/>
      <c r="H610" s="18"/>
      <c r="I610" s="18"/>
      <c r="J610" s="18"/>
      <c r="K610" s="254">
        <v>0</v>
      </c>
      <c r="L610" s="254">
        <v>0</v>
      </c>
      <c r="M610" s="254">
        <v>0</v>
      </c>
      <c r="N610" s="254">
        <v>0</v>
      </c>
      <c r="O610" s="254">
        <v>0</v>
      </c>
      <c r="P610" s="254">
        <v>27</v>
      </c>
      <c r="Q610" s="254">
        <v>103</v>
      </c>
      <c r="R610" s="254">
        <v>75</v>
      </c>
      <c r="S610" s="254">
        <v>118</v>
      </c>
      <c r="T610" s="254">
        <v>0</v>
      </c>
      <c r="U610" s="254">
        <v>0</v>
      </c>
      <c r="V610" s="254">
        <v>0</v>
      </c>
      <c r="W610" s="254"/>
      <c r="X610" s="254"/>
      <c r="Y610" s="254"/>
      <c r="Z610" s="254"/>
      <c r="AA610" s="254"/>
      <c r="AB610" s="254"/>
      <c r="AC610" s="254"/>
      <c r="AD610" s="254"/>
      <c r="AE610" s="254"/>
      <c r="AF610" s="254"/>
      <c r="AG610" s="254"/>
      <c r="AH610" s="254"/>
      <c r="AI610" s="254"/>
      <c r="AJ610" s="254"/>
      <c r="AK610" s="254"/>
      <c r="AL610" s="254"/>
      <c r="AM610" s="254"/>
      <c r="AN610" s="254"/>
      <c r="AO610" s="254"/>
      <c r="AP610" s="254"/>
      <c r="AQ610" s="254"/>
      <c r="AR610" s="254"/>
      <c r="AS610" s="254"/>
      <c r="AT610" s="2"/>
      <c r="AU610" s="2"/>
    </row>
    <row r="611" spans="1:47" hidden="1" outlineLevel="1">
      <c r="A611" s="298"/>
      <c r="B611" s="336" t="s">
        <v>1242</v>
      </c>
      <c r="C611" s="18" t="s">
        <v>732</v>
      </c>
      <c r="D611" s="18"/>
      <c r="E611" s="18"/>
      <c r="F611" s="18"/>
      <c r="G611" s="18"/>
      <c r="H611" s="18"/>
      <c r="I611" s="18"/>
      <c r="J611" s="18"/>
      <c r="K611" s="247"/>
      <c r="L611" s="247"/>
      <c r="M611" s="247"/>
      <c r="N611" s="247"/>
      <c r="O611" s="247"/>
      <c r="P611" s="247"/>
      <c r="Q611" s="247"/>
      <c r="R611" s="247"/>
      <c r="S611" s="247"/>
      <c r="T611" s="247"/>
      <c r="U611" s="247"/>
      <c r="V611" s="247"/>
      <c r="W611" s="247"/>
      <c r="X611" s="247"/>
      <c r="Y611" s="247"/>
      <c r="Z611" s="254"/>
      <c r="AA611" s="254"/>
      <c r="AB611" s="254"/>
      <c r="AC611" s="247"/>
      <c r="AD611" s="247"/>
      <c r="AE611" s="247"/>
      <c r="AF611" s="247"/>
      <c r="AG611" s="247"/>
      <c r="AH611" s="247"/>
      <c r="AI611" s="247"/>
      <c r="AJ611" s="247"/>
      <c r="AK611" s="247"/>
      <c r="AL611" s="247"/>
      <c r="AM611" s="247"/>
      <c r="AN611" s="247"/>
      <c r="AO611" s="247"/>
      <c r="AP611" s="247"/>
      <c r="AQ611" s="247"/>
      <c r="AR611" s="247"/>
      <c r="AS611" s="247"/>
      <c r="AT611" s="2"/>
      <c r="AU611" s="8" t="s">
        <v>1243</v>
      </c>
    </row>
    <row r="612" spans="1:47" hidden="1" outlineLevel="1">
      <c r="A612" s="298"/>
      <c r="B612" s="208" t="s">
        <v>1112</v>
      </c>
      <c r="C612" s="209" t="s">
        <v>732</v>
      </c>
      <c r="D612" s="209"/>
      <c r="E612" s="209"/>
      <c r="F612" s="209"/>
      <c r="G612" s="209"/>
      <c r="H612" s="209"/>
      <c r="I612" s="209"/>
      <c r="J612" s="209"/>
      <c r="K612" s="262">
        <v>235</v>
      </c>
      <c r="L612" s="262">
        <v>306</v>
      </c>
      <c r="M612" s="262">
        <v>477</v>
      </c>
      <c r="N612" s="262">
        <v>487</v>
      </c>
      <c r="O612" s="262">
        <v>601</v>
      </c>
      <c r="P612" s="262">
        <v>1056</v>
      </c>
      <c r="Q612" s="262">
        <v>1158</v>
      </c>
      <c r="R612" s="262">
        <v>1222</v>
      </c>
      <c r="S612" s="262">
        <v>1238</v>
      </c>
      <c r="T612" s="262">
        <v>1202</v>
      </c>
      <c r="U612" s="262">
        <v>1033</v>
      </c>
      <c r="V612" s="262">
        <v>1143</v>
      </c>
      <c r="W612" s="262">
        <v>1263</v>
      </c>
      <c r="X612" s="262">
        <v>1487</v>
      </c>
      <c r="Y612" s="262">
        <v>1896</v>
      </c>
      <c r="Z612" s="262">
        <v>2418</v>
      </c>
      <c r="AA612" s="262">
        <v>2581</v>
      </c>
      <c r="AB612" s="262">
        <v>3358</v>
      </c>
      <c r="AC612" s="262">
        <v>3627</v>
      </c>
      <c r="AD612" s="262">
        <v>3477</v>
      </c>
      <c r="AE612" s="262">
        <v>3379</v>
      </c>
      <c r="AF612" s="262">
        <v>3379</v>
      </c>
      <c r="AG612" s="262">
        <v>3379</v>
      </c>
      <c r="AH612" s="262">
        <v>3379</v>
      </c>
      <c r="AI612" s="262">
        <v>3379</v>
      </c>
      <c r="AJ612" s="262">
        <v>3379</v>
      </c>
      <c r="AK612" s="262">
        <v>3379</v>
      </c>
      <c r="AL612" s="262">
        <v>3379</v>
      </c>
      <c r="AM612" s="262">
        <v>3379</v>
      </c>
      <c r="AN612" s="262">
        <v>3379</v>
      </c>
      <c r="AO612" s="262">
        <v>3379</v>
      </c>
      <c r="AP612" s="262">
        <v>3379</v>
      </c>
      <c r="AQ612" s="262">
        <v>3379</v>
      </c>
      <c r="AR612" s="262">
        <v>3379</v>
      </c>
      <c r="AS612" s="262">
        <v>3379</v>
      </c>
      <c r="AT612" s="2"/>
      <c r="AU612" s="2"/>
    </row>
    <row r="613" spans="1:47" hidden="1" outlineLevel="1">
      <c r="A613" s="310"/>
      <c r="B613" s="322" t="s">
        <v>1099</v>
      </c>
      <c r="C613" s="310" t="s">
        <v>733</v>
      </c>
      <c r="D613" s="310"/>
      <c r="E613" s="310"/>
      <c r="F613" s="310"/>
      <c r="G613" s="310"/>
      <c r="H613" s="310"/>
      <c r="I613" s="310"/>
      <c r="J613" s="310"/>
      <c r="K613" s="313"/>
      <c r="L613" s="313"/>
      <c r="M613" s="313"/>
      <c r="N613" s="313"/>
      <c r="O613" s="313"/>
      <c r="P613" s="313"/>
      <c r="Q613" s="313"/>
      <c r="R613" s="313"/>
      <c r="S613" s="313">
        <v>1.3093289689034338E-2</v>
      </c>
      <c r="T613" s="313">
        <v>-2.9079159935379684E-2</v>
      </c>
      <c r="U613" s="313">
        <v>-0.1405990016638935</v>
      </c>
      <c r="V613" s="313">
        <v>0.10648596321393988</v>
      </c>
      <c r="W613" s="313">
        <v>0.10498687664042006</v>
      </c>
      <c r="X613" s="313">
        <v>0.17735550277117973</v>
      </c>
      <c r="Y613" s="313">
        <v>0.2750504371217215</v>
      </c>
      <c r="Z613" s="313">
        <v>0.27531645569620244</v>
      </c>
      <c r="AA613" s="313">
        <v>6.7411083540115824E-2</v>
      </c>
      <c r="AB613" s="313">
        <v>0.30104610616040284</v>
      </c>
      <c r="AC613" s="313">
        <v>8.0107206670637199E-2</v>
      </c>
      <c r="AD613" s="313">
        <v>-4.1356492969396141E-2</v>
      </c>
      <c r="AE613" s="313">
        <v>-2.8185217141213692E-2</v>
      </c>
      <c r="AF613" s="313">
        <v>0</v>
      </c>
      <c r="AG613" s="313">
        <v>0</v>
      </c>
      <c r="AH613" s="313">
        <v>0</v>
      </c>
      <c r="AI613" s="313">
        <v>0</v>
      </c>
      <c r="AJ613" s="313">
        <v>0</v>
      </c>
      <c r="AK613" s="313">
        <v>0</v>
      </c>
      <c r="AL613" s="313">
        <v>0</v>
      </c>
      <c r="AM613" s="313">
        <v>0</v>
      </c>
      <c r="AN613" s="313">
        <v>0</v>
      </c>
      <c r="AO613" s="313">
        <v>0</v>
      </c>
      <c r="AP613" s="313">
        <v>0</v>
      </c>
      <c r="AQ613" s="313">
        <v>0</v>
      </c>
      <c r="AR613" s="313">
        <v>0</v>
      </c>
      <c r="AS613" s="313">
        <v>0</v>
      </c>
      <c r="AT613" s="313"/>
      <c r="AU613" s="513"/>
    </row>
    <row r="614" spans="1:47" hidden="1" outlineLevel="1">
      <c r="A614" s="298"/>
      <c r="B614" s="241"/>
      <c r="C614" s="18"/>
      <c r="D614" s="18"/>
      <c r="E614" s="18"/>
      <c r="F614" s="18"/>
      <c r="G614" s="18"/>
      <c r="H614" s="18"/>
      <c r="I614" s="18"/>
      <c r="J614" s="18"/>
      <c r="K614" s="2"/>
      <c r="L614" s="2"/>
      <c r="M614" s="2"/>
      <c r="N614" s="2"/>
      <c r="O614" s="2"/>
      <c r="P614" s="2"/>
      <c r="Q614" s="2"/>
      <c r="R614" s="2"/>
      <c r="S614" s="2"/>
      <c r="T614" s="263"/>
      <c r="U614" s="263"/>
      <c r="V614" s="263"/>
      <c r="W614" s="263"/>
      <c r="X614" s="263"/>
      <c r="Y614" s="263"/>
      <c r="Z614" s="263"/>
      <c r="AA614" s="263"/>
      <c r="AB614" s="263"/>
      <c r="AC614" s="263"/>
      <c r="AD614" s="263"/>
      <c r="AE614" s="263"/>
      <c r="AF614" s="263"/>
      <c r="AG614" s="263"/>
      <c r="AH614" s="263"/>
      <c r="AI614" s="263"/>
      <c r="AJ614" s="263"/>
      <c r="AK614" s="263"/>
      <c r="AL614" s="263"/>
      <c r="AM614" s="263"/>
      <c r="AN614" s="263"/>
      <c r="AO614" s="263"/>
      <c r="AP614" s="263"/>
      <c r="AQ614" s="263"/>
      <c r="AR614" s="263"/>
      <c r="AS614" s="263"/>
      <c r="AT614" s="2"/>
      <c r="AU614" s="2"/>
    </row>
    <row r="615" spans="1:47" hidden="1" outlineLevel="1">
      <c r="A615" s="298"/>
      <c r="B615" s="241"/>
      <c r="C615" s="18"/>
      <c r="D615" s="18"/>
      <c r="E615" s="18"/>
      <c r="F615" s="18"/>
      <c r="G615" s="18"/>
      <c r="H615" s="18"/>
      <c r="I615" s="18"/>
      <c r="J615" s="18"/>
      <c r="K615" s="2"/>
      <c r="L615" s="2"/>
      <c r="M615" s="2"/>
      <c r="N615" s="2"/>
      <c r="O615" s="2"/>
      <c r="P615" s="2"/>
      <c r="Q615" s="2"/>
      <c r="R615" s="2"/>
      <c r="S615" s="2"/>
      <c r="T615" s="263"/>
      <c r="U615" s="263"/>
      <c r="V615" s="263"/>
      <c r="W615" s="263"/>
      <c r="X615" s="263"/>
      <c r="Y615" s="263"/>
      <c r="Z615" s="263"/>
      <c r="AA615" s="263"/>
      <c r="AB615" s="263"/>
      <c r="AC615" s="263"/>
      <c r="AD615" s="263"/>
      <c r="AE615" s="263"/>
      <c r="AF615" s="263"/>
      <c r="AG615" s="263"/>
      <c r="AH615" s="263"/>
      <c r="AI615" s="263"/>
      <c r="AJ615" s="263"/>
      <c r="AK615" s="263"/>
      <c r="AL615" s="263"/>
      <c r="AM615" s="263"/>
      <c r="AN615" s="263"/>
      <c r="AO615" s="263"/>
      <c r="AP615" s="263"/>
      <c r="AQ615" s="263"/>
      <c r="AR615" s="263"/>
      <c r="AS615" s="263"/>
      <c r="AT615" s="2"/>
      <c r="AU615" s="2"/>
    </row>
    <row r="616" spans="1:47" hidden="1" outlineLevel="1">
      <c r="A616" s="298"/>
      <c r="B616" s="241"/>
      <c r="C616" s="18"/>
      <c r="D616" s="18"/>
      <c r="E616" s="18"/>
      <c r="F616" s="18"/>
      <c r="G616" s="18"/>
      <c r="H616" s="18"/>
      <c r="I616" s="18"/>
      <c r="J616" s="18"/>
      <c r="K616" s="2"/>
      <c r="L616" s="2"/>
      <c r="M616" s="2"/>
      <c r="N616" s="2"/>
      <c r="O616" s="2"/>
      <c r="P616" s="2"/>
      <c r="Q616" s="2"/>
      <c r="R616" s="2"/>
      <c r="S616" s="2"/>
      <c r="T616" s="263"/>
      <c r="U616" s="263"/>
      <c r="V616" s="263"/>
      <c r="W616" s="263"/>
      <c r="X616" s="263"/>
      <c r="Y616" s="263"/>
      <c r="Z616" s="263"/>
      <c r="AA616" s="263"/>
      <c r="AB616" s="263"/>
      <c r="AC616" s="263"/>
      <c r="AD616" s="263"/>
      <c r="AE616" s="263"/>
      <c r="AF616" s="263"/>
      <c r="AG616" s="263"/>
      <c r="AH616" s="263"/>
      <c r="AI616" s="263"/>
      <c r="AJ616" s="263"/>
      <c r="AK616" s="263"/>
      <c r="AL616" s="263"/>
      <c r="AM616" s="263"/>
      <c r="AN616" s="263"/>
      <c r="AO616" s="263"/>
      <c r="AP616" s="263"/>
      <c r="AQ616" s="263"/>
      <c r="AR616" s="263"/>
      <c r="AS616" s="263"/>
      <c r="AT616" s="2"/>
      <c r="AU616" s="2"/>
    </row>
    <row r="617" spans="1:47" hidden="1" outlineLevel="1">
      <c r="A617" s="298"/>
      <c r="B617" s="241"/>
      <c r="C617" s="18"/>
      <c r="D617" s="18"/>
      <c r="E617" s="18"/>
      <c r="F617" s="18"/>
      <c r="G617" s="18"/>
      <c r="H617" s="18"/>
      <c r="I617" s="18"/>
      <c r="J617" s="18"/>
      <c r="K617" s="2"/>
      <c r="L617" s="2"/>
      <c r="M617" s="2"/>
      <c r="N617" s="2"/>
      <c r="O617" s="2"/>
      <c r="P617" s="2"/>
      <c r="Q617" s="2"/>
      <c r="R617" s="2"/>
      <c r="S617" s="2"/>
      <c r="T617" s="263"/>
      <c r="U617" s="263"/>
      <c r="V617" s="263"/>
      <c r="W617" s="263"/>
      <c r="X617" s="263"/>
      <c r="Y617" s="263"/>
      <c r="Z617" s="263"/>
      <c r="AA617" s="263"/>
      <c r="AB617" s="263"/>
      <c r="AC617" s="263"/>
      <c r="AD617" s="263"/>
      <c r="AE617" s="263"/>
      <c r="AF617" s="263"/>
      <c r="AG617" s="263"/>
      <c r="AH617" s="263"/>
      <c r="AI617" s="263"/>
      <c r="AJ617" s="263"/>
      <c r="AK617" s="263"/>
      <c r="AL617" s="263"/>
      <c r="AM617" s="263"/>
      <c r="AN617" s="263"/>
      <c r="AO617" s="263"/>
      <c r="AP617" s="263"/>
      <c r="AQ617" s="263"/>
      <c r="AR617" s="263"/>
      <c r="AS617" s="263"/>
      <c r="AT617" s="2"/>
      <c r="AU617" s="2"/>
    </row>
    <row r="618" spans="1:47" ht="15.6" hidden="1" outlineLevel="1">
      <c r="A618" s="298"/>
      <c r="B618" s="737" t="s">
        <v>1301</v>
      </c>
      <c r="C618" s="283"/>
      <c r="D618" s="284"/>
      <c r="E618" s="284"/>
      <c r="F618" s="284"/>
      <c r="G618" s="285"/>
      <c r="H618" s="285"/>
      <c r="I618" s="285"/>
      <c r="J618" s="285"/>
      <c r="K618" s="285"/>
      <c r="L618" s="285"/>
      <c r="M618" s="285"/>
      <c r="N618" s="284"/>
      <c r="O618" s="286"/>
      <c r="P618" s="286"/>
      <c r="Q618" s="286"/>
      <c r="R618" s="286"/>
      <c r="S618" s="286"/>
      <c r="T618" s="286"/>
      <c r="U618" s="286"/>
      <c r="V618" s="285"/>
      <c r="W618" s="285"/>
      <c r="X618" s="285"/>
      <c r="Y618" s="285"/>
      <c r="Z618" s="285"/>
      <c r="AA618" s="285"/>
      <c r="AB618" s="285"/>
      <c r="AC618" s="285"/>
      <c r="AD618" s="285"/>
      <c r="AE618" s="285"/>
      <c r="AF618" s="285"/>
      <c r="AG618" s="285"/>
      <c r="AH618" s="285"/>
      <c r="AI618" s="285"/>
      <c r="AJ618" s="285"/>
      <c r="AK618" s="285"/>
      <c r="AL618" s="285"/>
      <c r="AM618" s="285"/>
      <c r="AN618" s="285"/>
      <c r="AO618" s="285"/>
      <c r="AP618" s="285"/>
      <c r="AQ618" s="285"/>
      <c r="AR618" s="285"/>
      <c r="AS618" s="285"/>
      <c r="AT618" s="2"/>
      <c r="AU618" s="2"/>
    </row>
    <row r="619" spans="1:47" hidden="1" outlineLevel="1">
      <c r="A619" s="298"/>
      <c r="B619" s="243" t="s">
        <v>639</v>
      </c>
      <c r="C619" s="297"/>
      <c r="D619" s="18"/>
      <c r="E619" s="18"/>
      <c r="F619" s="18"/>
      <c r="G619" s="18"/>
      <c r="H619" s="18"/>
      <c r="I619" s="18"/>
      <c r="J619" s="18"/>
      <c r="K619" s="254">
        <v>0</v>
      </c>
      <c r="L619" s="254">
        <v>0</v>
      </c>
      <c r="M619" s="254">
        <v>0</v>
      </c>
      <c r="N619" s="254">
        <v>23</v>
      </c>
      <c r="O619" s="254">
        <v>154</v>
      </c>
      <c r="P619" s="254">
        <v>263</v>
      </c>
      <c r="Q619" s="254">
        <v>320</v>
      </c>
      <c r="R619" s="254">
        <v>344</v>
      </c>
      <c r="S619" s="254">
        <v>426</v>
      </c>
      <c r="T619" s="254">
        <v>467</v>
      </c>
      <c r="U619" s="254">
        <v>512</v>
      </c>
      <c r="V619" s="254">
        <v>624</v>
      </c>
      <c r="W619" s="254">
        <v>646</v>
      </c>
      <c r="X619" s="254">
        <v>666</v>
      </c>
      <c r="Y619" s="254">
        <v>699</v>
      </c>
      <c r="Z619" s="254">
        <v>734</v>
      </c>
      <c r="AA619" s="254">
        <v>794</v>
      </c>
      <c r="AB619" s="254">
        <v>852</v>
      </c>
      <c r="AC619" s="254">
        <v>764</v>
      </c>
      <c r="AD619" s="254">
        <v>713</v>
      </c>
      <c r="AE619" s="254">
        <v>677</v>
      </c>
      <c r="AF619" s="254">
        <v>0</v>
      </c>
      <c r="AG619" s="254">
        <v>0</v>
      </c>
      <c r="AH619" s="254">
        <v>0</v>
      </c>
      <c r="AI619" s="254">
        <v>0</v>
      </c>
      <c r="AJ619" s="254">
        <v>0</v>
      </c>
      <c r="AK619" s="254">
        <v>0</v>
      </c>
      <c r="AL619" s="254">
        <v>0</v>
      </c>
      <c r="AM619" s="254">
        <v>0</v>
      </c>
      <c r="AN619" s="254">
        <v>0</v>
      </c>
      <c r="AO619" s="254">
        <v>0</v>
      </c>
      <c r="AP619" s="254">
        <v>0</v>
      </c>
      <c r="AQ619" s="254">
        <v>0</v>
      </c>
      <c r="AR619" s="254">
        <v>0</v>
      </c>
      <c r="AS619" s="254">
        <v>0</v>
      </c>
      <c r="AT619" s="2"/>
      <c r="AU619" s="2"/>
    </row>
    <row r="620" spans="1:47" hidden="1" outlineLevel="1">
      <c r="A620" s="298"/>
      <c r="B620" s="55" t="s">
        <v>1095</v>
      </c>
      <c r="C620" s="18" t="s">
        <v>732</v>
      </c>
      <c r="D620" s="18"/>
      <c r="E620" s="18"/>
      <c r="F620" s="18"/>
      <c r="G620" s="18"/>
      <c r="H620" s="18"/>
      <c r="I620" s="18"/>
      <c r="J620" s="18"/>
      <c r="K620" s="254"/>
      <c r="L620" s="254"/>
      <c r="M620" s="254"/>
      <c r="N620" s="254"/>
      <c r="O620" s="254">
        <v>0</v>
      </c>
      <c r="P620" s="254">
        <v>10</v>
      </c>
      <c r="Q620" s="254">
        <v>30</v>
      </c>
      <c r="R620" s="254">
        <v>40</v>
      </c>
      <c r="S620" s="254">
        <v>52</v>
      </c>
      <c r="T620" s="254">
        <v>76</v>
      </c>
      <c r="U620" s="254">
        <v>83</v>
      </c>
      <c r="V620" s="254">
        <v>99</v>
      </c>
      <c r="W620" s="254">
        <v>100</v>
      </c>
      <c r="X620" s="254">
        <v>69</v>
      </c>
      <c r="Y620" s="254">
        <v>60</v>
      </c>
      <c r="Z620" s="254"/>
      <c r="AA620" s="254"/>
      <c r="AB620" s="254"/>
      <c r="AC620" s="254"/>
      <c r="AD620" s="254"/>
      <c r="AE620" s="254"/>
      <c r="AF620" s="254"/>
      <c r="AG620" s="254"/>
      <c r="AH620" s="254"/>
      <c r="AI620" s="254"/>
      <c r="AJ620" s="254"/>
      <c r="AK620" s="254"/>
      <c r="AL620" s="254"/>
      <c r="AM620" s="254"/>
      <c r="AN620" s="254"/>
      <c r="AO620" s="254"/>
      <c r="AP620" s="254"/>
      <c r="AQ620" s="254"/>
      <c r="AR620" s="254"/>
      <c r="AS620" s="254"/>
      <c r="AT620" s="2"/>
      <c r="AU620" s="2"/>
    </row>
    <row r="621" spans="1:47" hidden="1" outlineLevel="1">
      <c r="A621" s="298"/>
      <c r="B621" s="55" t="s">
        <v>1096</v>
      </c>
      <c r="C621" s="18" t="s">
        <v>732</v>
      </c>
      <c r="D621" s="18"/>
      <c r="E621" s="18"/>
      <c r="F621" s="18"/>
      <c r="G621" s="18"/>
      <c r="H621" s="18"/>
      <c r="I621" s="18"/>
      <c r="J621" s="18"/>
      <c r="K621" s="254">
        <v>1122</v>
      </c>
      <c r="L621" s="254">
        <v>978</v>
      </c>
      <c r="M621" s="254">
        <v>957</v>
      </c>
      <c r="N621" s="254">
        <v>1010</v>
      </c>
      <c r="O621" s="254">
        <v>1111</v>
      </c>
      <c r="P621" s="254">
        <v>1696</v>
      </c>
      <c r="Q621" s="254">
        <v>1814</v>
      </c>
      <c r="R621" s="254">
        <v>1904.7618387391126</v>
      </c>
      <c r="S621" s="254">
        <v>2037.3193035791758</v>
      </c>
      <c r="T621" s="254">
        <v>2067.0459722864534</v>
      </c>
      <c r="U621" s="254">
        <v>1946</v>
      </c>
      <c r="V621" s="254">
        <v>1804.0005000000001</v>
      </c>
      <c r="W621" s="254">
        <v>1513.1067278999999</v>
      </c>
      <c r="X621" s="254">
        <v>1336.4433528383997</v>
      </c>
      <c r="Y621" s="254">
        <v>103</v>
      </c>
      <c r="Z621" s="254">
        <v>79</v>
      </c>
      <c r="AA621" s="254">
        <v>70</v>
      </c>
      <c r="AB621" s="254">
        <v>83</v>
      </c>
      <c r="AC621" s="254">
        <v>95</v>
      </c>
      <c r="AD621" s="254">
        <v>84</v>
      </c>
      <c r="AE621" s="254">
        <v>49</v>
      </c>
      <c r="AF621" s="254">
        <v>40.833333333333336</v>
      </c>
      <c r="AG621" s="254">
        <v>34.027777777777779</v>
      </c>
      <c r="AH621" s="254">
        <v>28.356481481481488</v>
      </c>
      <c r="AI621" s="254">
        <v>23.630401234567909</v>
      </c>
      <c r="AJ621" s="254">
        <v>19.69200102880659</v>
      </c>
      <c r="AK621" s="254">
        <v>16.410000857338826</v>
      </c>
      <c r="AL621" s="254">
        <v>13.675000714449022</v>
      </c>
      <c r="AM621" s="254">
        <v>11.395833928707518</v>
      </c>
      <c r="AN621" s="254">
        <v>9.496528273922932</v>
      </c>
      <c r="AO621" s="254">
        <v>7.9137735616024436</v>
      </c>
      <c r="AP621" s="254">
        <v>6.59481130133537</v>
      </c>
      <c r="AQ621" s="254">
        <v>6.59481130133537</v>
      </c>
      <c r="AR621" s="254">
        <v>6.59481130133537</v>
      </c>
      <c r="AS621" s="254">
        <v>6.59481130133537</v>
      </c>
      <c r="AT621" s="2"/>
      <c r="AU621" s="2"/>
    </row>
    <row r="622" spans="1:47" hidden="1" outlineLevel="1">
      <c r="A622" s="298"/>
      <c r="B622" s="55" t="s">
        <v>1097</v>
      </c>
      <c r="C622" s="18" t="s">
        <v>732</v>
      </c>
      <c r="D622" s="18"/>
      <c r="E622" s="18"/>
      <c r="F622" s="18"/>
      <c r="G622" s="18"/>
      <c r="H622" s="18"/>
      <c r="I622" s="18"/>
      <c r="J622" s="18"/>
      <c r="K622" s="254"/>
      <c r="L622" s="254">
        <v>0</v>
      </c>
      <c r="M622" s="254">
        <v>10</v>
      </c>
      <c r="N622" s="254">
        <v>20</v>
      </c>
      <c r="O622" s="254">
        <v>40</v>
      </c>
      <c r="P622" s="254">
        <v>50</v>
      </c>
      <c r="Q622" s="254">
        <v>60</v>
      </c>
      <c r="R622" s="254">
        <v>70</v>
      </c>
      <c r="S622" s="254">
        <v>77</v>
      </c>
      <c r="T622" s="254">
        <v>76</v>
      </c>
      <c r="U622" s="254">
        <v>85</v>
      </c>
      <c r="V622" s="254">
        <v>102</v>
      </c>
      <c r="W622" s="254">
        <v>118</v>
      </c>
      <c r="X622" s="254">
        <v>120</v>
      </c>
      <c r="Y622" s="254">
        <v>120</v>
      </c>
      <c r="Z622" s="254">
        <v>118</v>
      </c>
      <c r="AA622" s="254">
        <v>110</v>
      </c>
      <c r="AB622" s="254">
        <v>104</v>
      </c>
      <c r="AC622" s="254">
        <v>60</v>
      </c>
      <c r="AD622" s="254">
        <v>35</v>
      </c>
      <c r="AE622" s="254">
        <v>48</v>
      </c>
      <c r="AF622" s="254">
        <v>43.2</v>
      </c>
      <c r="AG622" s="254">
        <v>38.880000000000003</v>
      </c>
      <c r="AH622" s="254">
        <v>34.992000000000004</v>
      </c>
      <c r="AI622" s="254">
        <v>31.492800000000006</v>
      </c>
      <c r="AJ622" s="254">
        <v>28.343520000000005</v>
      </c>
      <c r="AK622" s="254">
        <v>25.509168000000006</v>
      </c>
      <c r="AL622" s="254">
        <v>22.958251200000007</v>
      </c>
      <c r="AM622" s="254">
        <v>20.662426080000007</v>
      </c>
      <c r="AN622" s="254">
        <v>18.596183472000007</v>
      </c>
      <c r="AO622" s="254">
        <v>16.736565124800006</v>
      </c>
      <c r="AP622" s="254">
        <v>15.062908612320005</v>
      </c>
      <c r="AQ622" s="254">
        <v>15.062908612320005</v>
      </c>
      <c r="AR622" s="254">
        <v>15.062908612320005</v>
      </c>
      <c r="AS622" s="254">
        <v>15.062908612320005</v>
      </c>
      <c r="AT622" s="2"/>
      <c r="AU622" s="2"/>
    </row>
    <row r="623" spans="1:47" hidden="1" outlineLevel="1">
      <c r="A623" s="298"/>
      <c r="B623" s="208" t="s">
        <v>1113</v>
      </c>
      <c r="C623" s="209" t="s">
        <v>732</v>
      </c>
      <c r="D623" s="209"/>
      <c r="E623" s="209"/>
      <c r="F623" s="209"/>
      <c r="G623" s="209"/>
      <c r="H623" s="209"/>
      <c r="I623" s="209"/>
      <c r="J623" s="209"/>
      <c r="K623" s="262">
        <v>1122</v>
      </c>
      <c r="L623" s="262">
        <v>978</v>
      </c>
      <c r="M623" s="262">
        <v>967</v>
      </c>
      <c r="N623" s="262">
        <v>1053</v>
      </c>
      <c r="O623" s="262">
        <v>1305</v>
      </c>
      <c r="P623" s="262">
        <v>2019</v>
      </c>
      <c r="Q623" s="262">
        <v>2224</v>
      </c>
      <c r="R623" s="262">
        <v>2358.7618387391126</v>
      </c>
      <c r="S623" s="262">
        <v>2592.3193035791755</v>
      </c>
      <c r="T623" s="262">
        <v>2686.0459722864534</v>
      </c>
      <c r="U623" s="262">
        <v>2626</v>
      </c>
      <c r="V623" s="262">
        <v>2629.0005000000001</v>
      </c>
      <c r="W623" s="262">
        <v>2377.1067278999999</v>
      </c>
      <c r="X623" s="262">
        <v>2191.4433528383997</v>
      </c>
      <c r="Y623" s="262">
        <v>982</v>
      </c>
      <c r="Z623" s="262">
        <v>931</v>
      </c>
      <c r="AA623" s="262">
        <v>974</v>
      </c>
      <c r="AB623" s="262">
        <v>1039</v>
      </c>
      <c r="AC623" s="262">
        <v>919</v>
      </c>
      <c r="AD623" s="262">
        <v>832</v>
      </c>
      <c r="AE623" s="262">
        <v>774</v>
      </c>
      <c r="AF623" s="262">
        <v>84.033333333333331</v>
      </c>
      <c r="AG623" s="262">
        <v>72.907777777777781</v>
      </c>
      <c r="AH623" s="262">
        <v>63.348481481481492</v>
      </c>
      <c r="AI623" s="262">
        <v>55.123201234567915</v>
      </c>
      <c r="AJ623" s="262">
        <v>48.035521028806599</v>
      </c>
      <c r="AK623" s="262">
        <v>41.919168857338832</v>
      </c>
      <c r="AL623" s="262">
        <v>36.633251914449026</v>
      </c>
      <c r="AM623" s="262">
        <v>32.058260008707521</v>
      </c>
      <c r="AN623" s="262">
        <v>28.092711745922941</v>
      </c>
      <c r="AO623" s="262">
        <v>24.650338686402449</v>
      </c>
      <c r="AP623" s="262">
        <v>21.657719913655374</v>
      </c>
      <c r="AQ623" s="262">
        <v>21.657719913655374</v>
      </c>
      <c r="AR623" s="262">
        <v>21.657719913655374</v>
      </c>
      <c r="AS623" s="262">
        <v>21.657719913655374</v>
      </c>
      <c r="AT623" s="2"/>
      <c r="AU623" s="2"/>
    </row>
    <row r="624" spans="1:47" hidden="1" outlineLevel="1">
      <c r="A624" s="310"/>
      <c r="B624" s="322" t="s">
        <v>1099</v>
      </c>
      <c r="C624" s="310" t="s">
        <v>733</v>
      </c>
      <c r="D624" s="310"/>
      <c r="E624" s="310"/>
      <c r="F624" s="310"/>
      <c r="G624" s="310"/>
      <c r="H624" s="310"/>
      <c r="I624" s="310"/>
      <c r="J624" s="310"/>
      <c r="K624" s="313"/>
      <c r="L624" s="313"/>
      <c r="M624" s="313"/>
      <c r="N624" s="313"/>
      <c r="O624" s="313"/>
      <c r="P624" s="313"/>
      <c r="Q624" s="313"/>
      <c r="R624" s="313"/>
      <c r="S624" s="313">
        <v>9.901697619667793E-2</v>
      </c>
      <c r="T624" s="313">
        <v>3.6155526280219785E-2</v>
      </c>
      <c r="U624" s="313">
        <v>-2.235478204989183E-2</v>
      </c>
      <c r="V624" s="313">
        <v>1.1426123381568232E-3</v>
      </c>
      <c r="W624" s="313">
        <v>-9.5813512435619641E-2</v>
      </c>
      <c r="X624" s="313">
        <v>-7.8104770342230401E-2</v>
      </c>
      <c r="Y624" s="313">
        <v>-0.55189350492309341</v>
      </c>
      <c r="Z624" s="313">
        <v>-5.1934826883910379E-2</v>
      </c>
      <c r="AA624" s="313">
        <v>4.6186895810955919E-2</v>
      </c>
      <c r="AB624" s="313">
        <v>6.6735112936344931E-2</v>
      </c>
      <c r="AC624" s="313">
        <v>-0.11549566891241581</v>
      </c>
      <c r="AD624" s="313">
        <v>-9.4668117519042472E-2</v>
      </c>
      <c r="AE624" s="313">
        <v>-6.9711538461538436E-2</v>
      </c>
      <c r="AF624" s="313">
        <v>-0.89142980189491816</v>
      </c>
      <c r="AG624" s="313">
        <v>-0.13239455242628584</v>
      </c>
      <c r="AH624" s="313">
        <v>-0.13111490416609506</v>
      </c>
      <c r="AI624" s="313">
        <v>-0.12984179027745213</v>
      </c>
      <c r="AJ624" s="313">
        <v>-0.12857889322502936</v>
      </c>
      <c r="AK624" s="313">
        <v>-0.12732977680828794</v>
      </c>
      <c r="AL624" s="313">
        <v>-0.12609784704651639</v>
      </c>
      <c r="AM624" s="313">
        <v>-0.12488631684748197</v>
      </c>
      <c r="AN624" s="313">
        <v>-0.12369817518815662</v>
      </c>
      <c r="AO624" s="313">
        <v>-0.12253616135936318</v>
      </c>
      <c r="AP624" s="313">
        <v>-0.12140274463644007</v>
      </c>
      <c r="AQ624" s="313">
        <v>-0.12140274463644007</v>
      </c>
      <c r="AR624" s="313">
        <v>-0.12140274463644007</v>
      </c>
      <c r="AS624" s="313">
        <v>-0.12140274463644007</v>
      </c>
      <c r="AT624" s="313"/>
      <c r="AU624" s="513"/>
    </row>
    <row r="625" spans="1:47" hidden="1" outlineLevel="1">
      <c r="A625" s="298"/>
      <c r="B625" s="241"/>
      <c r="C625" s="18"/>
      <c r="D625" s="18"/>
      <c r="E625" s="18"/>
      <c r="F625" s="18"/>
      <c r="G625" s="18"/>
      <c r="H625" s="18"/>
      <c r="I625" s="18"/>
      <c r="J625" s="18"/>
      <c r="K625" s="2"/>
      <c r="L625" s="2"/>
      <c r="M625" s="2"/>
      <c r="N625" s="2"/>
      <c r="O625" s="2"/>
      <c r="P625" s="2"/>
      <c r="Q625" s="2"/>
      <c r="R625" s="2"/>
      <c r="S625" s="2"/>
      <c r="T625" s="263"/>
      <c r="U625" s="263"/>
      <c r="V625" s="263"/>
      <c r="W625" s="263"/>
      <c r="X625" s="263"/>
      <c r="Y625" s="263"/>
      <c r="Z625" s="263"/>
      <c r="AA625" s="263"/>
      <c r="AB625" s="263"/>
      <c r="AC625" s="263"/>
      <c r="AD625" s="263"/>
      <c r="AE625" s="263"/>
      <c r="AF625" s="263"/>
      <c r="AG625" s="263"/>
      <c r="AH625" s="263"/>
      <c r="AI625" s="263"/>
      <c r="AJ625" s="263"/>
      <c r="AK625" s="263"/>
      <c r="AL625" s="263"/>
      <c r="AM625" s="263"/>
      <c r="AN625" s="263"/>
      <c r="AO625" s="263"/>
      <c r="AP625" s="263"/>
      <c r="AQ625" s="263"/>
      <c r="AR625" s="263"/>
      <c r="AS625" s="263"/>
      <c r="AT625" s="2"/>
      <c r="AU625" s="2"/>
    </row>
    <row r="626" spans="1:47" ht="15.6" hidden="1" outlineLevel="1">
      <c r="A626" s="298"/>
      <c r="B626" s="737" t="s">
        <v>42</v>
      </c>
      <c r="C626" s="283"/>
      <c r="D626" s="284"/>
      <c r="E626" s="284"/>
      <c r="F626" s="284"/>
      <c r="G626" s="285"/>
      <c r="H626" s="285"/>
      <c r="I626" s="285"/>
      <c r="J626" s="285"/>
      <c r="K626" s="285"/>
      <c r="L626" s="285"/>
      <c r="M626" s="285"/>
      <c r="N626" s="284"/>
      <c r="O626" s="286"/>
      <c r="P626" s="286"/>
      <c r="Q626" s="286"/>
      <c r="R626" s="286"/>
      <c r="S626" s="286"/>
      <c r="T626" s="286"/>
      <c r="U626" s="286"/>
      <c r="V626" s="285"/>
      <c r="W626" s="285"/>
      <c r="X626" s="285"/>
      <c r="Y626" s="285"/>
      <c r="Z626" s="285"/>
      <c r="AA626" s="285"/>
      <c r="AB626" s="285"/>
      <c r="AC626" s="285"/>
      <c r="AD626" s="285"/>
      <c r="AE626" s="285"/>
      <c r="AF626" s="285"/>
      <c r="AG626" s="285"/>
      <c r="AH626" s="285"/>
      <c r="AI626" s="285"/>
      <c r="AJ626" s="285"/>
      <c r="AK626" s="285"/>
      <c r="AL626" s="285"/>
      <c r="AM626" s="285"/>
      <c r="AN626" s="285"/>
      <c r="AO626" s="285"/>
      <c r="AP626" s="285"/>
      <c r="AQ626" s="285"/>
      <c r="AR626" s="285"/>
      <c r="AS626" s="285"/>
      <c r="AT626" s="2"/>
      <c r="AU626" s="2"/>
    </row>
    <row r="627" spans="1:47" hidden="1" outlineLevel="1">
      <c r="A627" s="298"/>
      <c r="B627" s="243"/>
      <c r="C627" s="18" t="s">
        <v>732</v>
      </c>
      <c r="D627" s="18"/>
      <c r="E627" s="18"/>
      <c r="F627" s="18"/>
      <c r="G627" s="18"/>
      <c r="H627" s="18"/>
      <c r="I627" s="18"/>
      <c r="J627" s="18"/>
      <c r="K627" s="67"/>
      <c r="L627" s="67"/>
      <c r="M627" s="67"/>
      <c r="N627" s="67"/>
      <c r="O627" s="67"/>
      <c r="P627" s="67"/>
      <c r="Q627" s="67"/>
      <c r="R627" s="67"/>
      <c r="S627" s="67"/>
      <c r="T627" s="254"/>
      <c r="U627" s="254"/>
      <c r="V627" s="254"/>
      <c r="W627" s="254"/>
      <c r="X627" s="254"/>
      <c r="Y627" s="254"/>
      <c r="Z627" s="254">
        <v>244</v>
      </c>
      <c r="AA627" s="254">
        <v>308</v>
      </c>
      <c r="AB627" s="254">
        <v>303</v>
      </c>
      <c r="AC627" s="254">
        <v>318</v>
      </c>
      <c r="AD627" s="254">
        <v>346</v>
      </c>
      <c r="AE627" s="254">
        <v>279</v>
      </c>
      <c r="AF627" s="254">
        <v>202</v>
      </c>
      <c r="AG627" s="254">
        <v>212.10000000000002</v>
      </c>
      <c r="AH627" s="254">
        <v>212.10000000000002</v>
      </c>
      <c r="AI627" s="254">
        <v>212.10000000000002</v>
      </c>
      <c r="AJ627" s="254">
        <v>212.10000000000002</v>
      </c>
      <c r="AK627" s="254">
        <v>212.10000000000002</v>
      </c>
      <c r="AL627" s="254">
        <v>212.10000000000002</v>
      </c>
      <c r="AM627" s="254">
        <v>212.10000000000002</v>
      </c>
      <c r="AN627" s="254">
        <v>212.10000000000002</v>
      </c>
      <c r="AO627" s="254">
        <v>212.10000000000002</v>
      </c>
      <c r="AP627" s="254">
        <v>212.10000000000002</v>
      </c>
      <c r="AQ627" s="254">
        <v>212.10000000000002</v>
      </c>
      <c r="AR627" s="254">
        <v>212.10000000000002</v>
      </c>
      <c r="AS627" s="254">
        <v>212.10000000000002</v>
      </c>
      <c r="AT627" s="2"/>
      <c r="AU627" s="2"/>
    </row>
    <row r="628" spans="1:47" hidden="1" outlineLevel="1">
      <c r="A628" s="298"/>
      <c r="B628" s="243"/>
      <c r="C628" s="18" t="s">
        <v>732</v>
      </c>
      <c r="D628" s="18"/>
      <c r="E628" s="18"/>
      <c r="F628" s="18"/>
      <c r="G628" s="18"/>
      <c r="H628" s="18"/>
      <c r="I628" s="18"/>
      <c r="J628" s="18"/>
      <c r="K628" s="67"/>
      <c r="L628" s="67"/>
      <c r="M628" s="67"/>
      <c r="N628" s="67"/>
      <c r="O628" s="67"/>
      <c r="P628" s="67"/>
      <c r="Q628" s="67"/>
      <c r="R628" s="67"/>
      <c r="S628" s="67"/>
      <c r="T628" s="254"/>
      <c r="U628" s="254"/>
      <c r="V628" s="254"/>
      <c r="W628" s="254"/>
      <c r="X628" s="254"/>
      <c r="Y628" s="254"/>
      <c r="Z628" s="254">
        <v>533</v>
      </c>
      <c r="AA628" s="254">
        <v>960</v>
      </c>
      <c r="AB628" s="254">
        <v>942</v>
      </c>
      <c r="AC628" s="254">
        <v>923</v>
      </c>
      <c r="AD628" s="254">
        <v>1003</v>
      </c>
      <c r="AE628" s="254">
        <v>939</v>
      </c>
      <c r="AF628" s="254">
        <v>931</v>
      </c>
      <c r="AG628" s="254">
        <v>977.55000000000007</v>
      </c>
      <c r="AH628" s="254">
        <v>1021.53975</v>
      </c>
      <c r="AI628" s="254">
        <v>1062.4013400000001</v>
      </c>
      <c r="AJ628" s="254">
        <v>1099.5853869</v>
      </c>
      <c r="AK628" s="254">
        <v>1132.5729485070001</v>
      </c>
      <c r="AL628" s="254">
        <v>1160.887272219675</v>
      </c>
      <c r="AM628" s="254">
        <v>1195.7138903862653</v>
      </c>
      <c r="AN628" s="254">
        <v>1231.5853070978533</v>
      </c>
      <c r="AO628" s="254">
        <v>1268.5328663107889</v>
      </c>
      <c r="AP628" s="254">
        <v>1306.5888523001126</v>
      </c>
      <c r="AQ628" s="254">
        <v>1306.5888523001126</v>
      </c>
      <c r="AR628" s="254">
        <v>1306.5888523001126</v>
      </c>
      <c r="AS628" s="254">
        <v>1306.5888523001126</v>
      </c>
      <c r="AT628" s="2"/>
      <c r="AU628" s="2"/>
    </row>
    <row r="629" spans="1:47" hidden="1" outlineLevel="1">
      <c r="A629" s="298"/>
      <c r="B629" s="243"/>
      <c r="C629" s="18" t="s">
        <v>732</v>
      </c>
      <c r="D629" s="18"/>
      <c r="E629" s="18"/>
      <c r="F629" s="18"/>
      <c r="G629" s="18"/>
      <c r="H629" s="18"/>
      <c r="I629" s="18"/>
      <c r="J629" s="18"/>
      <c r="K629" s="67"/>
      <c r="L629" s="67"/>
      <c r="M629" s="67"/>
      <c r="N629" s="67"/>
      <c r="O629" s="67"/>
      <c r="P629" s="67"/>
      <c r="Q629" s="67"/>
      <c r="R629" s="67"/>
      <c r="S629" s="67"/>
      <c r="T629" s="254"/>
      <c r="U629" s="254"/>
      <c r="V629" s="254"/>
      <c r="W629" s="254"/>
      <c r="X629" s="254"/>
      <c r="Y629" s="254"/>
      <c r="Z629" s="254">
        <v>111</v>
      </c>
      <c r="AA629" s="254">
        <v>186</v>
      </c>
      <c r="AB629" s="254">
        <v>204</v>
      </c>
      <c r="AC629" s="254">
        <v>343</v>
      </c>
      <c r="AD629" s="254">
        <v>356</v>
      </c>
      <c r="AE629" s="254">
        <v>371</v>
      </c>
      <c r="AF629" s="254">
        <v>361</v>
      </c>
      <c r="AG629" s="254">
        <v>361</v>
      </c>
      <c r="AH629" s="254">
        <v>361</v>
      </c>
      <c r="AI629" s="254">
        <v>361</v>
      </c>
      <c r="AJ629" s="254">
        <v>361</v>
      </c>
      <c r="AK629" s="254">
        <v>361</v>
      </c>
      <c r="AL629" s="254">
        <v>361</v>
      </c>
      <c r="AM629" s="254">
        <v>361</v>
      </c>
      <c r="AN629" s="254">
        <v>361</v>
      </c>
      <c r="AO629" s="254">
        <v>361</v>
      </c>
      <c r="AP629" s="254">
        <v>361</v>
      </c>
      <c r="AQ629" s="254">
        <v>361</v>
      </c>
      <c r="AR629" s="254">
        <v>361</v>
      </c>
      <c r="AS629" s="254">
        <v>361</v>
      </c>
      <c r="AT629" s="2"/>
      <c r="AU629" s="2"/>
    </row>
    <row r="630" spans="1:47" hidden="1" outlineLevel="1">
      <c r="A630" s="298"/>
      <c r="B630" s="208" t="s">
        <v>1114</v>
      </c>
      <c r="C630" s="209" t="s">
        <v>732</v>
      </c>
      <c r="D630" s="209"/>
      <c r="E630" s="209"/>
      <c r="F630" s="209"/>
      <c r="G630" s="209"/>
      <c r="H630" s="209"/>
      <c r="I630" s="209"/>
      <c r="J630" s="209"/>
      <c r="K630" s="210"/>
      <c r="L630" s="210"/>
      <c r="M630" s="210"/>
      <c r="N630" s="210"/>
      <c r="O630" s="210"/>
      <c r="P630" s="210"/>
      <c r="Q630" s="210"/>
      <c r="R630" s="210"/>
      <c r="S630" s="210"/>
      <c r="T630" s="262"/>
      <c r="U630" s="262"/>
      <c r="V630" s="262"/>
      <c r="W630" s="262"/>
      <c r="X630" s="262"/>
      <c r="Y630" s="262"/>
      <c r="Z630" s="262">
        <v>888</v>
      </c>
      <c r="AA630" s="262">
        <v>1454</v>
      </c>
      <c r="AB630" s="262">
        <v>1449</v>
      </c>
      <c r="AC630" s="551">
        <v>1584</v>
      </c>
      <c r="AD630" s="551">
        <v>1705</v>
      </c>
      <c r="AE630" s="551">
        <v>1725</v>
      </c>
      <c r="AF630" s="262">
        <v>1494</v>
      </c>
      <c r="AG630" s="262">
        <v>1550.65</v>
      </c>
      <c r="AH630" s="262">
        <v>1594.63975</v>
      </c>
      <c r="AI630" s="262">
        <v>1635.5013400000003</v>
      </c>
      <c r="AJ630" s="262">
        <v>1672.6853869000001</v>
      </c>
      <c r="AK630" s="262">
        <v>1705.672948507</v>
      </c>
      <c r="AL630" s="262">
        <v>1733.9872722196751</v>
      </c>
      <c r="AM630" s="262">
        <v>1768.8138903862655</v>
      </c>
      <c r="AN630" s="262">
        <v>1804.6853070978532</v>
      </c>
      <c r="AO630" s="262">
        <v>1841.6328663107888</v>
      </c>
      <c r="AP630" s="262">
        <v>1879.6888523001126</v>
      </c>
      <c r="AQ630" s="262">
        <v>1879.6888523001126</v>
      </c>
      <c r="AR630" s="262">
        <v>1879.6888523001126</v>
      </c>
      <c r="AS630" s="262">
        <v>1879.6888523001126</v>
      </c>
      <c r="AT630" s="2"/>
      <c r="AU630" s="2"/>
    </row>
    <row r="631" spans="1:47" hidden="1" outlineLevel="1">
      <c r="A631" s="310"/>
      <c r="B631" s="322" t="s">
        <v>1099</v>
      </c>
      <c r="C631" s="310" t="s">
        <v>733</v>
      </c>
      <c r="D631" s="310"/>
      <c r="E631" s="310"/>
      <c r="F631" s="310"/>
      <c r="G631" s="310"/>
      <c r="H631" s="310"/>
      <c r="I631" s="310"/>
      <c r="J631" s="310"/>
      <c r="K631" s="313"/>
      <c r="L631" s="313"/>
      <c r="M631" s="313"/>
      <c r="N631" s="313"/>
      <c r="O631" s="313"/>
      <c r="P631" s="313"/>
      <c r="Q631" s="313"/>
      <c r="R631" s="313"/>
      <c r="S631" s="313"/>
      <c r="T631" s="313"/>
      <c r="U631" s="313"/>
      <c r="V631" s="313"/>
      <c r="W631" s="313"/>
      <c r="X631" s="313"/>
      <c r="Y631" s="313"/>
      <c r="Z631" s="313"/>
      <c r="AA631" s="313">
        <v>0.63738738738738743</v>
      </c>
      <c r="AB631" s="313">
        <v>-3.4387895460797901E-3</v>
      </c>
      <c r="AC631" s="313">
        <v>9.3167701863354102E-2</v>
      </c>
      <c r="AD631" s="313">
        <v>7.638888888888884E-2</v>
      </c>
      <c r="AE631" s="313">
        <v>1.1730205278592365E-2</v>
      </c>
      <c r="AF631" s="313">
        <v>-0.13391304347826083</v>
      </c>
      <c r="AG631" s="313">
        <v>3.7918340026773745E-2</v>
      </c>
      <c r="AH631" s="313">
        <v>2.8368587366588205E-2</v>
      </c>
      <c r="AI631" s="313">
        <v>2.5624339290426068E-2</v>
      </c>
      <c r="AJ631" s="313">
        <v>2.2735564924697638E-2</v>
      </c>
      <c r="AK631" s="313">
        <v>1.9721318704251978E-2</v>
      </c>
      <c r="AL631" s="313">
        <v>1.6600089564332343E-2</v>
      </c>
      <c r="AM631" s="313">
        <v>2.0084702306960356E-2</v>
      </c>
      <c r="AN631" s="313">
        <v>2.0279927078000526E-2</v>
      </c>
      <c r="AO631" s="313">
        <v>2.0473131280905443E-2</v>
      </c>
      <c r="AP631" s="313">
        <v>2.066426304910518E-2</v>
      </c>
      <c r="AQ631" s="313">
        <v>2.066426304910518E-2</v>
      </c>
      <c r="AR631" s="313">
        <v>2.066426304910518E-2</v>
      </c>
      <c r="AS631" s="313">
        <v>2.066426304910518E-2</v>
      </c>
      <c r="AT631" s="313"/>
      <c r="AU631" s="513"/>
    </row>
    <row r="632" spans="1:47" hidden="1" outlineLevel="1">
      <c r="A632" s="298"/>
      <c r="B632" s="6"/>
      <c r="C632" s="21"/>
      <c r="D632" s="21"/>
      <c r="E632" s="21"/>
      <c r="F632" s="21"/>
      <c r="G632" s="21"/>
      <c r="H632" s="21"/>
      <c r="I632" s="21"/>
      <c r="J632" s="21"/>
      <c r="K632" s="70"/>
      <c r="L632" s="70"/>
      <c r="M632" s="70"/>
      <c r="N632" s="70"/>
      <c r="O632" s="70"/>
      <c r="P632" s="70"/>
      <c r="Q632" s="70"/>
      <c r="R632" s="70"/>
      <c r="S632" s="70"/>
      <c r="T632" s="70"/>
      <c r="U632" s="70"/>
      <c r="V632" s="70"/>
      <c r="W632" s="70"/>
      <c r="X632" s="70"/>
      <c r="Y632" s="70"/>
      <c r="Z632" s="70"/>
      <c r="AA632" s="70"/>
      <c r="AB632" s="70"/>
      <c r="AC632" s="70"/>
      <c r="AD632" s="70"/>
      <c r="AE632" s="70"/>
      <c r="AF632" s="70"/>
      <c r="AG632" s="70"/>
      <c r="AH632" s="70"/>
      <c r="AI632" s="70"/>
      <c r="AJ632" s="70"/>
      <c r="AK632" s="70"/>
      <c r="AL632" s="70"/>
      <c r="AM632" s="70"/>
      <c r="AN632" s="70"/>
      <c r="AO632" s="70"/>
      <c r="AP632" s="70"/>
      <c r="AQ632" s="70"/>
      <c r="AR632" s="70"/>
      <c r="AS632" s="70"/>
      <c r="AT632" s="2"/>
      <c r="AU632" s="2"/>
    </row>
    <row r="633" spans="1:47" hidden="1" outlineLevel="1">
      <c r="A633" s="298"/>
      <c r="B633" s="243"/>
      <c r="C633" s="18" t="s">
        <v>732</v>
      </c>
      <c r="D633" s="18"/>
      <c r="E633" s="18"/>
      <c r="F633" s="18"/>
      <c r="G633" s="18"/>
      <c r="H633" s="18"/>
      <c r="I633" s="18"/>
      <c r="J633" s="18"/>
      <c r="K633" s="67"/>
      <c r="L633" s="67"/>
      <c r="M633" s="67"/>
      <c r="N633" s="67"/>
      <c r="O633" s="67"/>
      <c r="P633" s="67"/>
      <c r="Q633" s="67"/>
      <c r="R633" s="67"/>
      <c r="S633" s="67"/>
      <c r="T633" s="254"/>
      <c r="U633" s="254"/>
      <c r="V633" s="254"/>
      <c r="W633" s="254"/>
      <c r="X633" s="254"/>
      <c r="Y633" s="254">
        <v>890</v>
      </c>
      <c r="Z633" s="254">
        <v>733</v>
      </c>
      <c r="AA633" s="254">
        <v>839</v>
      </c>
      <c r="AB633" s="254">
        <v>862</v>
      </c>
      <c r="AC633" s="254">
        <v>1032</v>
      </c>
      <c r="AD633" s="254">
        <v>1124</v>
      </c>
      <c r="AE633" s="254">
        <v>1124</v>
      </c>
      <c r="AF633" s="254">
        <v>1091.8235294117646</v>
      </c>
      <c r="AG633" s="254">
        <v>1043.1643598615917</v>
      </c>
      <c r="AH633" s="254">
        <v>1062.6827587217588</v>
      </c>
      <c r="AI633" s="254">
        <v>1065.2737327071754</v>
      </c>
      <c r="AJ633" s="254">
        <v>1075.6955411764527</v>
      </c>
      <c r="AK633" s="254">
        <v>1092.1308165941448</v>
      </c>
      <c r="AL633" s="254">
        <v>1113.2509243143209</v>
      </c>
      <c r="AM633" s="254">
        <v>1138.0868220601853</v>
      </c>
      <c r="AN633" s="254">
        <v>1165.9341105576054</v>
      </c>
      <c r="AO633" s="254">
        <v>1196.283224929932</v>
      </c>
      <c r="AP633" s="254">
        <v>1228.7681121598878</v>
      </c>
      <c r="AQ633" s="254">
        <v>1228.7681121598878</v>
      </c>
      <c r="AR633" s="254">
        <v>1228.7681121598878</v>
      </c>
      <c r="AS633" s="254">
        <v>1228.7681121598878</v>
      </c>
      <c r="AT633" s="2"/>
      <c r="AU633" s="2"/>
    </row>
    <row r="634" spans="1:47" hidden="1" outlineLevel="1">
      <c r="A634" s="301"/>
      <c r="B634" s="259"/>
      <c r="C634" s="395"/>
      <c r="D634" s="259"/>
      <c r="E634" s="259"/>
      <c r="F634" s="259"/>
      <c r="G634" s="259"/>
      <c r="H634" s="259"/>
      <c r="I634" s="259"/>
      <c r="J634" s="259"/>
      <c r="K634" s="259"/>
      <c r="L634" s="259"/>
      <c r="M634" s="259"/>
      <c r="N634" s="259"/>
      <c r="O634" s="259"/>
      <c r="P634" s="259"/>
      <c r="Q634" s="259"/>
      <c r="R634" s="259"/>
      <c r="S634" s="259"/>
      <c r="T634" s="259"/>
      <c r="U634" s="259"/>
      <c r="V634" s="259"/>
      <c r="W634" s="259"/>
      <c r="X634" s="259"/>
      <c r="Y634" s="259"/>
      <c r="Z634" s="259"/>
      <c r="AA634" s="259"/>
      <c r="AB634" s="259"/>
      <c r="AC634" s="259"/>
      <c r="AD634" s="259"/>
      <c r="AE634" s="259"/>
      <c r="AF634" s="259"/>
      <c r="AG634" s="259"/>
      <c r="AH634" s="259"/>
      <c r="AI634" s="259"/>
      <c r="AJ634" s="259"/>
      <c r="AK634" s="259"/>
      <c r="AL634" s="259"/>
      <c r="AM634" s="259"/>
      <c r="AN634" s="259"/>
      <c r="AO634" s="259"/>
      <c r="AP634" s="259"/>
      <c r="AQ634" s="259"/>
      <c r="AR634" s="259"/>
      <c r="AS634" s="259"/>
      <c r="AT634" s="2"/>
      <c r="AU634" s="2"/>
    </row>
    <row r="635" spans="1:47" hidden="1" outlineLevel="1">
      <c r="A635" s="301"/>
      <c r="B635" s="292" t="s">
        <v>405</v>
      </c>
      <c r="C635" s="33" t="s">
        <v>732</v>
      </c>
      <c r="D635" s="33"/>
      <c r="E635" s="33"/>
      <c r="F635" s="33"/>
      <c r="G635" s="33"/>
      <c r="H635" s="33"/>
      <c r="I635" s="33"/>
      <c r="J635" s="33"/>
      <c r="K635" s="744"/>
      <c r="L635" s="744"/>
      <c r="M635" s="744"/>
      <c r="N635" s="744"/>
      <c r="O635" s="744"/>
      <c r="P635" s="744"/>
      <c r="Q635" s="744"/>
      <c r="R635" s="744"/>
      <c r="S635" s="744"/>
      <c r="T635" s="745"/>
      <c r="U635" s="745"/>
      <c r="V635" s="745"/>
      <c r="W635" s="745"/>
      <c r="X635" s="745"/>
      <c r="Y635" s="745"/>
      <c r="Z635" s="745"/>
      <c r="AA635" s="746">
        <v>25821.074800000002</v>
      </c>
      <c r="AB635" s="746">
        <v>25895.996751576444</v>
      </c>
      <c r="AC635" s="746">
        <v>27118</v>
      </c>
      <c r="AD635" s="746">
        <v>26513</v>
      </c>
      <c r="AE635" s="746">
        <v>25144.313097024602</v>
      </c>
      <c r="AF635" s="746">
        <v>22795.414860862558</v>
      </c>
      <c r="AG635" s="746">
        <v>22575.993948548636</v>
      </c>
      <c r="AH635" s="746">
        <v>22832.105542903751</v>
      </c>
      <c r="AI635" s="746">
        <v>23257.532620950537</v>
      </c>
      <c r="AJ635" s="746">
        <v>23731.171468715245</v>
      </c>
      <c r="AK635" s="746">
        <v>24240.410161733813</v>
      </c>
      <c r="AL635" s="746">
        <v>24209.842860432873</v>
      </c>
      <c r="AM635" s="746">
        <v>24725.05940241486</v>
      </c>
      <c r="AN635" s="746">
        <v>25289.511327672353</v>
      </c>
      <c r="AO635" s="746">
        <v>25902.937647940773</v>
      </c>
      <c r="AP635" s="746">
        <v>26565.811716721146</v>
      </c>
      <c r="AQ635" s="746">
        <v>26565.811716721146</v>
      </c>
      <c r="AR635" s="746">
        <v>26565.811716721146</v>
      </c>
      <c r="AS635" s="746">
        <v>26565.811716721146</v>
      </c>
      <c r="AT635" s="2"/>
      <c r="AU635" s="2"/>
    </row>
    <row r="636" spans="1:47" hidden="1" outlineLevel="1">
      <c r="A636" s="301"/>
      <c r="B636" s="259"/>
      <c r="C636" s="395"/>
      <c r="D636" s="259"/>
      <c r="E636" s="259"/>
      <c r="F636" s="259"/>
      <c r="G636" s="259"/>
      <c r="H636" s="259"/>
      <c r="I636" s="259"/>
      <c r="J636" s="259"/>
      <c r="K636" s="259"/>
      <c r="L636" s="259"/>
      <c r="M636" s="259"/>
      <c r="N636" s="259"/>
      <c r="O636" s="259"/>
      <c r="P636" s="259"/>
      <c r="Q636" s="259"/>
      <c r="R636" s="259"/>
      <c r="S636" s="259"/>
      <c r="T636" s="259"/>
      <c r="U636" s="259"/>
      <c r="V636" s="259"/>
      <c r="W636" s="259"/>
      <c r="X636" s="259"/>
      <c r="Y636" s="259"/>
      <c r="Z636" s="259"/>
      <c r="AA636" s="259"/>
      <c r="AB636" s="259"/>
      <c r="AC636" s="259"/>
      <c r="AD636" s="259"/>
      <c r="AE636" s="259"/>
      <c r="AF636" s="259"/>
      <c r="AG636" s="259"/>
      <c r="AH636" s="259"/>
      <c r="AI636" s="259"/>
      <c r="AJ636" s="259"/>
      <c r="AK636" s="259"/>
      <c r="AL636" s="259"/>
      <c r="AM636" s="259"/>
      <c r="AN636" s="259"/>
      <c r="AO636" s="259"/>
      <c r="AP636" s="259"/>
      <c r="AQ636" s="259"/>
      <c r="AR636" s="259"/>
      <c r="AS636" s="259"/>
      <c r="AT636" s="2"/>
      <c r="AU636" s="2"/>
    </row>
    <row r="637" spans="1:47" ht="15.6" hidden="1" outlineLevel="1">
      <c r="A637" s="298"/>
      <c r="B637" s="237" t="s">
        <v>1136</v>
      </c>
      <c r="C637" s="269"/>
      <c r="D637" s="270"/>
      <c r="E637" s="270"/>
      <c r="F637" s="270"/>
      <c r="G637" s="270"/>
      <c r="H637" s="270"/>
      <c r="I637" s="270"/>
      <c r="J637" s="270"/>
      <c r="K637" s="270"/>
      <c r="L637" s="270"/>
      <c r="M637" s="270"/>
      <c r="N637" s="270"/>
      <c r="O637" s="270"/>
      <c r="P637" s="270"/>
      <c r="Q637" s="270"/>
      <c r="R637" s="270"/>
      <c r="S637" s="270"/>
      <c r="T637" s="270"/>
      <c r="U637" s="270"/>
      <c r="V637" s="270"/>
      <c r="W637" s="270"/>
      <c r="X637" s="270"/>
      <c r="Y637" s="270"/>
      <c r="Z637" s="270"/>
      <c r="AA637" s="270"/>
      <c r="AB637" s="270"/>
      <c r="AC637" s="270"/>
      <c r="AD637" s="270"/>
      <c r="AE637" s="270"/>
      <c r="AF637" s="270"/>
      <c r="AG637" s="270"/>
      <c r="AH637" s="270"/>
      <c r="AI637" s="270"/>
      <c r="AJ637" s="270"/>
      <c r="AK637" s="270"/>
      <c r="AL637" s="270"/>
      <c r="AM637" s="270"/>
      <c r="AN637" s="270"/>
      <c r="AO637" s="271"/>
      <c r="AP637" s="271"/>
      <c r="AQ637" s="271"/>
      <c r="AR637" s="271"/>
      <c r="AS637" s="271"/>
      <c r="AT637" s="2"/>
      <c r="AU637" s="2"/>
    </row>
    <row r="638" spans="1:47" hidden="1" outlineLevel="1">
      <c r="A638" s="298"/>
      <c r="B638" s="74"/>
      <c r="C638" s="395"/>
      <c r="D638" s="259"/>
      <c r="E638" s="259"/>
      <c r="F638" s="259"/>
      <c r="G638" s="259"/>
      <c r="H638" s="259"/>
      <c r="I638" s="259"/>
      <c r="J638" s="259"/>
      <c r="K638" s="259"/>
      <c r="L638" s="259"/>
      <c r="M638" s="259"/>
      <c r="N638" s="259"/>
      <c r="O638" s="259"/>
      <c r="P638" s="259"/>
      <c r="Q638" s="259"/>
      <c r="R638" s="259"/>
      <c r="S638" s="259"/>
      <c r="T638" s="259"/>
      <c r="U638" s="259"/>
      <c r="V638" s="259"/>
      <c r="W638" s="259"/>
      <c r="X638" s="259"/>
      <c r="Y638" s="259"/>
      <c r="Z638" s="259"/>
      <c r="AA638" s="259"/>
      <c r="AB638" s="259"/>
      <c r="AC638" s="259"/>
      <c r="AD638" s="259"/>
      <c r="AE638" s="259"/>
      <c r="AF638" s="259"/>
      <c r="AG638" s="259"/>
      <c r="AH638" s="259"/>
      <c r="AI638" s="259"/>
      <c r="AJ638" s="259"/>
      <c r="AK638" s="259"/>
      <c r="AL638" s="259"/>
      <c r="AM638" s="259"/>
      <c r="AN638" s="259"/>
      <c r="AO638" s="259"/>
      <c r="AP638" s="259"/>
      <c r="AQ638" s="259"/>
      <c r="AR638" s="259"/>
      <c r="AS638" s="259"/>
      <c r="AT638" s="2"/>
      <c r="AU638" s="2"/>
    </row>
    <row r="639" spans="1:47" hidden="1" outlineLevel="1">
      <c r="A639" s="298"/>
      <c r="B639" s="243" t="s">
        <v>1034</v>
      </c>
      <c r="C639" s="18" t="s">
        <v>732</v>
      </c>
      <c r="D639" s="18"/>
      <c r="E639" s="18"/>
      <c r="F639" s="18"/>
      <c r="G639" s="18"/>
      <c r="H639" s="18"/>
      <c r="I639" s="18"/>
      <c r="J639" s="18"/>
      <c r="K639" s="67"/>
      <c r="L639" s="67"/>
      <c r="M639" s="67"/>
      <c r="N639" s="67"/>
      <c r="O639" s="67"/>
      <c r="P639" s="67"/>
      <c r="Q639" s="67"/>
      <c r="R639" s="67"/>
      <c r="S639" s="67"/>
      <c r="T639" s="254"/>
      <c r="U639" s="254"/>
      <c r="V639" s="254"/>
      <c r="W639" s="254"/>
      <c r="X639" s="254"/>
      <c r="Y639" s="254"/>
      <c r="Z639" s="254"/>
      <c r="AA639" s="254">
        <v>77</v>
      </c>
      <c r="AB639" s="254">
        <v>103</v>
      </c>
      <c r="AC639" s="254"/>
      <c r="AD639" s="254"/>
      <c r="AE639" s="254"/>
      <c r="AF639" s="254"/>
      <c r="AG639" s="254"/>
      <c r="AH639" s="254"/>
      <c r="AI639" s="254"/>
      <c r="AJ639" s="254"/>
      <c r="AK639" s="254"/>
      <c r="AL639" s="254"/>
      <c r="AM639" s="254"/>
      <c r="AN639" s="254"/>
      <c r="AO639" s="254"/>
      <c r="AP639" s="254"/>
      <c r="AQ639" s="254"/>
      <c r="AR639" s="254"/>
      <c r="AS639" s="254"/>
      <c r="AT639" s="2"/>
      <c r="AU639" s="2"/>
    </row>
    <row r="640" spans="1:47" hidden="1" outlineLevel="1">
      <c r="A640" s="298"/>
      <c r="B640" s="243" t="s">
        <v>1288</v>
      </c>
      <c r="C640" s="18" t="s">
        <v>732</v>
      </c>
      <c r="D640" s="18"/>
      <c r="E640" s="18"/>
      <c r="F640" s="18"/>
      <c r="G640" s="18"/>
      <c r="H640" s="18"/>
      <c r="I640" s="18"/>
      <c r="J640" s="18"/>
      <c r="K640" s="67"/>
      <c r="L640" s="67"/>
      <c r="M640" s="67"/>
      <c r="N640" s="67"/>
      <c r="O640" s="67"/>
      <c r="P640" s="67"/>
      <c r="Q640" s="67"/>
      <c r="R640" s="67"/>
      <c r="S640" s="67"/>
      <c r="T640" s="254"/>
      <c r="U640" s="254"/>
      <c r="V640" s="254"/>
      <c r="W640" s="254"/>
      <c r="X640" s="254"/>
      <c r="Y640" s="254"/>
      <c r="Z640" s="254"/>
      <c r="AA640" s="254">
        <v>1139</v>
      </c>
      <c r="AB640" s="254">
        <v>2192</v>
      </c>
      <c r="AC640" s="254">
        <v>2993</v>
      </c>
      <c r="AD640" s="426">
        <v>2548</v>
      </c>
      <c r="AE640" s="426">
        <v>2451</v>
      </c>
      <c r="AF640" s="426">
        <v>2352.96</v>
      </c>
      <c r="AG640" s="426">
        <v>2258.8415999999997</v>
      </c>
      <c r="AH640" s="426">
        <v>2168.4879359999995</v>
      </c>
      <c r="AI640" s="426">
        <v>2081.7484185599997</v>
      </c>
      <c r="AJ640" s="426">
        <v>1998.4784818175997</v>
      </c>
      <c r="AK640" s="426">
        <v>1918.5393425448956</v>
      </c>
      <c r="AL640" s="426">
        <v>1841.7977688430997</v>
      </c>
      <c r="AM640" s="426">
        <v>1768.1258580893757</v>
      </c>
      <c r="AN640" s="426">
        <v>1697.4008237658006</v>
      </c>
      <c r="AO640" s="426">
        <v>1629.5047908151685</v>
      </c>
      <c r="AP640" s="426">
        <v>1564.3245991825618</v>
      </c>
      <c r="AQ640" s="426">
        <v>1564.3245991825618</v>
      </c>
      <c r="AR640" s="426">
        <v>1564.3245991825618</v>
      </c>
      <c r="AS640" s="426">
        <v>1564.3245991825618</v>
      </c>
      <c r="AT640" s="2"/>
      <c r="AU640" s="2"/>
    </row>
    <row r="641" spans="1:47" hidden="1" outlineLevel="1">
      <c r="A641" s="298"/>
      <c r="B641" s="243"/>
      <c r="C641" s="18"/>
      <c r="D641" s="18"/>
      <c r="E641" s="18"/>
      <c r="F641" s="18"/>
      <c r="G641" s="18"/>
      <c r="H641" s="18"/>
      <c r="I641" s="18"/>
      <c r="J641" s="18"/>
      <c r="K641" s="67"/>
      <c r="L641" s="67"/>
      <c r="M641" s="67"/>
      <c r="N641" s="67"/>
      <c r="O641" s="67"/>
      <c r="P641" s="67"/>
      <c r="Q641" s="67"/>
      <c r="R641" s="67"/>
      <c r="S641" s="67"/>
      <c r="T641" s="254"/>
      <c r="U641" s="254"/>
      <c r="V641" s="254"/>
      <c r="W641" s="254"/>
      <c r="X641" s="254"/>
      <c r="Y641" s="254"/>
      <c r="Z641" s="254"/>
      <c r="AA641" s="254"/>
      <c r="AB641" s="254"/>
      <c r="AC641" s="254"/>
      <c r="AD641" s="426"/>
      <c r="AE641" s="426"/>
      <c r="AF641" s="426"/>
      <c r="AG641" s="426"/>
      <c r="AH641" s="426"/>
      <c r="AI641" s="426"/>
      <c r="AJ641" s="426"/>
      <c r="AK641" s="426"/>
      <c r="AL641" s="426"/>
      <c r="AM641" s="426"/>
      <c r="AN641" s="426"/>
      <c r="AO641" s="426"/>
      <c r="AP641" s="426"/>
      <c r="AQ641" s="426"/>
      <c r="AR641" s="426"/>
      <c r="AS641" s="426"/>
      <c r="AT641" s="2"/>
      <c r="AU641" s="2"/>
    </row>
    <row r="642" spans="1:47" hidden="1" outlineLevel="1">
      <c r="A642" s="298"/>
      <c r="B642" s="292" t="s">
        <v>674</v>
      </c>
      <c r="C642" s="33" t="s">
        <v>732</v>
      </c>
      <c r="D642" s="33"/>
      <c r="E642" s="33"/>
      <c r="F642" s="33"/>
      <c r="G642" s="33"/>
      <c r="H642" s="33"/>
      <c r="I642" s="33"/>
      <c r="J642" s="33"/>
      <c r="K642" s="744"/>
      <c r="L642" s="744"/>
      <c r="M642" s="744"/>
      <c r="N642" s="744"/>
      <c r="O642" s="744"/>
      <c r="P642" s="744"/>
      <c r="Q642" s="744"/>
      <c r="R642" s="744"/>
      <c r="S642" s="744"/>
      <c r="T642" s="745"/>
      <c r="U642" s="745"/>
      <c r="V642" s="745"/>
      <c r="W642" s="745"/>
      <c r="X642" s="745"/>
      <c r="Y642" s="745"/>
      <c r="Z642" s="745"/>
      <c r="AA642" s="746">
        <v>27037.074800000002</v>
      </c>
      <c r="AB642" s="746">
        <v>28190.996751576444</v>
      </c>
      <c r="AC642" s="746">
        <v>30111</v>
      </c>
      <c r="AD642" s="747">
        <v>29061</v>
      </c>
      <c r="AE642" s="747">
        <v>27595.313097024602</v>
      </c>
      <c r="AF642" s="747">
        <v>25148.374860862557</v>
      </c>
      <c r="AG642" s="747">
        <v>24834.835548548635</v>
      </c>
      <c r="AH642" s="747">
        <v>25000.593478903749</v>
      </c>
      <c r="AI642" s="747">
        <v>25339.281039510537</v>
      </c>
      <c r="AJ642" s="747">
        <v>25729.649950532847</v>
      </c>
      <c r="AK642" s="747">
        <v>26158.949504278709</v>
      </c>
      <c r="AL642" s="747">
        <v>26051.640629275971</v>
      </c>
      <c r="AM642" s="747">
        <v>26493.185260504237</v>
      </c>
      <c r="AN642" s="747">
        <v>26986.912151438155</v>
      </c>
      <c r="AO642" s="747">
        <v>27532.442438755941</v>
      </c>
      <c r="AP642" s="747">
        <v>28130.136315903706</v>
      </c>
      <c r="AQ642" s="747">
        <v>28130.136315903706</v>
      </c>
      <c r="AR642" s="747">
        <v>28130.136315903706</v>
      </c>
      <c r="AS642" s="747">
        <v>28130.136315903706</v>
      </c>
      <c r="AT642" s="2"/>
      <c r="AU642" s="2"/>
    </row>
    <row r="643" spans="1:47" hidden="1" outlineLevel="1">
      <c r="A643" s="298"/>
      <c r="B643" s="6"/>
      <c r="C643" s="21"/>
      <c r="D643" s="21"/>
      <c r="E643" s="21"/>
      <c r="F643" s="21"/>
      <c r="G643" s="21"/>
      <c r="H643" s="21"/>
      <c r="I643" s="21"/>
      <c r="J643" s="21"/>
      <c r="K643" s="70"/>
      <c r="L643" s="70"/>
      <c r="M643" s="70"/>
      <c r="N643" s="70"/>
      <c r="O643" s="70"/>
      <c r="P643" s="70"/>
      <c r="Q643" s="70"/>
      <c r="R643" s="70"/>
      <c r="S643" s="70"/>
      <c r="T643" s="70"/>
      <c r="U643" s="70"/>
      <c r="V643" s="70"/>
      <c r="W643" s="70"/>
      <c r="X643" s="70"/>
      <c r="Y643" s="70"/>
      <c r="Z643" s="70"/>
      <c r="AA643" s="70"/>
      <c r="AB643" s="70"/>
      <c r="AC643" s="70"/>
      <c r="AD643" s="70"/>
      <c r="AE643" s="70"/>
      <c r="AF643" s="70"/>
      <c r="AG643" s="70"/>
      <c r="AH643" s="70"/>
      <c r="AI643" s="70"/>
      <c r="AJ643" s="70"/>
      <c r="AK643" s="70"/>
      <c r="AL643" s="70"/>
      <c r="AM643" s="70"/>
      <c r="AN643" s="70"/>
      <c r="AO643" s="70"/>
      <c r="AP643" s="70"/>
      <c r="AQ643" s="70"/>
      <c r="AR643" s="70"/>
      <c r="AS643" s="70"/>
      <c r="AT643" s="2"/>
      <c r="AU643" s="2"/>
    </row>
    <row r="644" spans="1:47" ht="18" hidden="1" outlineLevel="1">
      <c r="A644" s="299" t="s">
        <v>1163</v>
      </c>
      <c r="B644" s="740" t="s">
        <v>1288</v>
      </c>
      <c r="C644" s="741"/>
      <c r="D644" s="742"/>
      <c r="E644" s="742"/>
      <c r="F644" s="742"/>
      <c r="G644" s="742"/>
      <c r="H644" s="742"/>
      <c r="I644" s="742"/>
      <c r="J644" s="742"/>
      <c r="K644" s="742"/>
      <c r="L644" s="742"/>
      <c r="M644" s="742"/>
      <c r="N644" s="742"/>
      <c r="O644" s="742"/>
      <c r="P644" s="742"/>
      <c r="Q644" s="742"/>
      <c r="R644" s="742"/>
      <c r="S644" s="742"/>
      <c r="T644" s="742"/>
      <c r="U644" s="742"/>
      <c r="V644" s="742"/>
      <c r="W644" s="742"/>
      <c r="X644" s="742"/>
      <c r="Y644" s="742"/>
      <c r="Z644" s="742"/>
      <c r="AA644" s="742"/>
      <c r="AB644" s="742"/>
      <c r="AC644" s="742"/>
      <c r="AD644" s="742"/>
      <c r="AE644" s="742"/>
      <c r="AF644" s="742"/>
      <c r="AG644" s="742"/>
      <c r="AH644" s="742"/>
      <c r="AI644" s="742"/>
      <c r="AJ644" s="742"/>
      <c r="AK644" s="742"/>
      <c r="AL644" s="742"/>
      <c r="AM644" s="742"/>
      <c r="AN644" s="742"/>
      <c r="AO644" s="742"/>
      <c r="AP644" s="742"/>
      <c r="AQ644" s="742"/>
      <c r="AR644" s="742"/>
      <c r="AS644" s="742"/>
      <c r="AT644" s="2"/>
      <c r="AU644" s="2"/>
    </row>
    <row r="645" spans="1:47" hidden="1" outlineLevel="1">
      <c r="A645" s="298"/>
      <c r="B645" s="2"/>
      <c r="C645" s="18"/>
      <c r="D645" s="18"/>
      <c r="E645" s="18"/>
      <c r="F645" s="18"/>
      <c r="G645" s="18"/>
      <c r="H645" s="18"/>
      <c r="I645" s="18"/>
      <c r="J645" s="18"/>
      <c r="K645" s="7"/>
      <c r="L645" s="7"/>
      <c r="M645" s="7"/>
      <c r="N645" s="7"/>
      <c r="O645" s="7"/>
      <c r="P645" s="7"/>
      <c r="Q645" s="7"/>
      <c r="R645" s="7"/>
      <c r="S645" s="7"/>
      <c r="T645" s="7"/>
      <c r="U645" s="7"/>
      <c r="V645" s="2"/>
      <c r="W645" s="7"/>
      <c r="X645" s="7"/>
      <c r="Y645" s="247"/>
      <c r="Z645" s="254"/>
      <c r="AA645" s="247"/>
      <c r="AB645" s="247"/>
      <c r="AC645" s="247"/>
      <c r="AD645" s="247"/>
      <c r="AE645" s="247"/>
      <c r="AF645" s="247"/>
      <c r="AG645" s="247"/>
      <c r="AH645" s="247"/>
      <c r="AI645" s="247"/>
      <c r="AJ645" s="247"/>
      <c r="AK645" s="247"/>
      <c r="AL645" s="247"/>
      <c r="AM645" s="247"/>
      <c r="AN645" s="247"/>
      <c r="AO645" s="247"/>
      <c r="AP645" s="247"/>
      <c r="AQ645" s="247"/>
      <c r="AR645" s="247"/>
      <c r="AS645" s="247"/>
      <c r="AT645" s="2"/>
      <c r="AU645" s="2"/>
    </row>
    <row r="646" spans="1:47" ht="12.75" hidden="1" customHeight="1" outlineLevel="1">
      <c r="A646" s="298"/>
      <c r="B646" s="243" t="s">
        <v>1072</v>
      </c>
      <c r="C646" s="18" t="s">
        <v>732</v>
      </c>
      <c r="D646" s="18"/>
      <c r="E646" s="18"/>
      <c r="F646" s="18"/>
      <c r="G646" s="18"/>
      <c r="H646" s="18"/>
      <c r="I646" s="18"/>
      <c r="J646" s="18"/>
      <c r="K646" s="7"/>
      <c r="L646" s="7"/>
      <c r="M646" s="7"/>
      <c r="N646" s="7"/>
      <c r="O646" s="7"/>
      <c r="P646" s="7"/>
      <c r="Q646" s="7"/>
      <c r="R646" s="7"/>
      <c r="S646" s="7"/>
      <c r="T646" s="7"/>
      <c r="U646" s="7"/>
      <c r="V646" s="2"/>
      <c r="W646" s="7"/>
      <c r="X646" s="7"/>
      <c r="Y646" s="247">
        <v>890</v>
      </c>
      <c r="Z646" s="247">
        <v>733</v>
      </c>
      <c r="AA646" s="247">
        <v>452</v>
      </c>
      <c r="AB646" s="247">
        <v>396</v>
      </c>
      <c r="AC646" s="529">
        <v>390</v>
      </c>
      <c r="AD646" s="529">
        <v>340</v>
      </c>
      <c r="AE646" s="529">
        <v>250</v>
      </c>
      <c r="AF646" s="247">
        <v>183.82352941176472</v>
      </c>
      <c r="AG646" s="247">
        <v>135.16435986159172</v>
      </c>
      <c r="AH646" s="247">
        <v>99.385558721758628</v>
      </c>
      <c r="AI646" s="247">
        <v>73.077616707175466</v>
      </c>
      <c r="AJ646" s="247">
        <v>53.733541696452555</v>
      </c>
      <c r="AK646" s="247">
        <v>39.509957129744528</v>
      </c>
      <c r="AL646" s="247">
        <v>29.051439065988625</v>
      </c>
      <c r="AM646" s="247">
        <v>21.361352254403403</v>
      </c>
      <c r="AN646" s="247">
        <v>15.706876657649563</v>
      </c>
      <c r="AO646" s="247">
        <v>11.54917401297762</v>
      </c>
      <c r="AP646" s="247">
        <v>8.4920397154247205</v>
      </c>
      <c r="AQ646" s="247">
        <v>8.4920397154247205</v>
      </c>
      <c r="AR646" s="247">
        <v>8.4920397154247205</v>
      </c>
      <c r="AS646" s="247">
        <v>8.4920397154247205</v>
      </c>
      <c r="AT646" s="2"/>
      <c r="AU646" s="2"/>
    </row>
    <row r="647" spans="1:47" ht="12.75" hidden="1" customHeight="1" outlineLevel="1">
      <c r="A647" s="308"/>
      <c r="B647" s="322" t="s">
        <v>1099</v>
      </c>
      <c r="C647" s="310" t="s">
        <v>733</v>
      </c>
      <c r="D647" s="310"/>
      <c r="E647" s="310"/>
      <c r="F647" s="310"/>
      <c r="G647" s="310"/>
      <c r="H647" s="310"/>
      <c r="I647" s="310"/>
      <c r="J647" s="310"/>
      <c r="K647" s="311"/>
      <c r="L647" s="311"/>
      <c r="M647" s="311"/>
      <c r="N647" s="311"/>
      <c r="O647" s="311"/>
      <c r="P647" s="311"/>
      <c r="Q647" s="311"/>
      <c r="R647" s="311"/>
      <c r="S647" s="311"/>
      <c r="T647" s="311"/>
      <c r="U647" s="311"/>
      <c r="V647" s="313"/>
      <c r="W647" s="311"/>
      <c r="X647" s="311"/>
      <c r="Y647" s="313"/>
      <c r="Z647" s="313">
        <v>-0.17640449438202244</v>
      </c>
      <c r="AA647" s="313">
        <v>-0.38335607094133695</v>
      </c>
      <c r="AB647" s="313">
        <v>-0.12389380530973448</v>
      </c>
      <c r="AC647" s="313">
        <v>-1.5151515151515138E-2</v>
      </c>
      <c r="AD647" s="313">
        <v>-0.12820512820512819</v>
      </c>
      <c r="AE647" s="313">
        <v>-0.26470588235294112</v>
      </c>
      <c r="AF647" s="623">
        <v>-0.26470588235294112</v>
      </c>
      <c r="AG647" s="623">
        <v>-0.26470588235294112</v>
      </c>
      <c r="AH647" s="623">
        <v>-0.26470588235294112</v>
      </c>
      <c r="AI647" s="623">
        <v>-0.26470588235294112</v>
      </c>
      <c r="AJ647" s="623">
        <v>-0.26470588235294112</v>
      </c>
      <c r="AK647" s="623">
        <v>-0.26470588235294112</v>
      </c>
      <c r="AL647" s="623">
        <v>-0.26470588235294112</v>
      </c>
      <c r="AM647" s="623">
        <v>-0.26470588235294112</v>
      </c>
      <c r="AN647" s="623">
        <v>-0.26470588235294112</v>
      </c>
      <c r="AO647" s="623">
        <v>-0.26470588235294112</v>
      </c>
      <c r="AP647" s="623">
        <v>-0.26470588235294112</v>
      </c>
      <c r="AQ647" s="623">
        <v>-0.26470588235294112</v>
      </c>
      <c r="AR647" s="623">
        <v>-0.26470588235294112</v>
      </c>
      <c r="AS647" s="623">
        <v>-0.26470588235294112</v>
      </c>
      <c r="AT647" s="312"/>
      <c r="AU647" s="514"/>
    </row>
    <row r="648" spans="1:47" ht="12.75" hidden="1" customHeight="1" outlineLevel="1">
      <c r="A648" s="298"/>
      <c r="B648" s="55"/>
      <c r="C648" s="18"/>
      <c r="D648" s="18"/>
      <c r="E648" s="18"/>
      <c r="F648" s="18"/>
      <c r="G648" s="18"/>
      <c r="H648" s="18"/>
      <c r="I648" s="18"/>
      <c r="J648" s="18"/>
      <c r="K648" s="7"/>
      <c r="L648" s="7"/>
      <c r="M648" s="7"/>
      <c r="N648" s="7"/>
      <c r="O648" s="7"/>
      <c r="P648" s="7"/>
      <c r="Q648" s="7"/>
      <c r="R648" s="7"/>
      <c r="S648" s="7"/>
      <c r="T648" s="7"/>
      <c r="U648" s="7"/>
      <c r="V648" s="2"/>
      <c r="W648" s="7"/>
      <c r="X648" s="7"/>
      <c r="Y648" s="7"/>
      <c r="Z648" s="2"/>
      <c r="AA648" s="7"/>
      <c r="AB648" s="7"/>
      <c r="AC648" s="7"/>
      <c r="AD648" s="7"/>
      <c r="AE648" s="7"/>
      <c r="AF648" s="7"/>
      <c r="AG648" s="7"/>
      <c r="AH648" s="7"/>
      <c r="AI648" s="7"/>
      <c r="AJ648" s="7"/>
      <c r="AK648" s="7"/>
      <c r="AL648" s="7"/>
      <c r="AM648" s="7"/>
      <c r="AN648" s="7"/>
      <c r="AO648" s="7"/>
      <c r="AP648" s="7"/>
      <c r="AQ648" s="7"/>
      <c r="AR648" s="7"/>
      <c r="AS648" s="7"/>
      <c r="AT648" s="2"/>
      <c r="AU648" s="2"/>
    </row>
    <row r="649" spans="1:47" ht="12.75" hidden="1" customHeight="1" outlineLevel="1">
      <c r="A649" s="298"/>
      <c r="B649" s="173" t="s">
        <v>1</v>
      </c>
      <c r="C649" s="169" t="s">
        <v>732</v>
      </c>
      <c r="D649" s="169"/>
      <c r="E649" s="169"/>
      <c r="F649" s="169"/>
      <c r="G649" s="169"/>
      <c r="H649" s="169"/>
      <c r="I649" s="169"/>
      <c r="J649" s="169"/>
      <c r="K649" s="26"/>
      <c r="L649" s="26"/>
      <c r="M649" s="26"/>
      <c r="N649" s="26"/>
      <c r="O649" s="26"/>
      <c r="P649" s="211"/>
      <c r="Q649" s="211"/>
      <c r="R649" s="211"/>
      <c r="S649" s="212"/>
      <c r="T649" s="212"/>
      <c r="U649" s="212"/>
      <c r="V649" s="212"/>
      <c r="W649" s="213"/>
      <c r="X649" s="213"/>
      <c r="Y649" s="552">
        <v>890</v>
      </c>
      <c r="Z649" s="552">
        <v>733</v>
      </c>
      <c r="AA649" s="552">
        <v>839</v>
      </c>
      <c r="AB649" s="552">
        <v>862</v>
      </c>
      <c r="AC649" s="278">
        <v>1032</v>
      </c>
      <c r="AD649" s="278">
        <v>1124</v>
      </c>
      <c r="AE649" s="278">
        <v>1124</v>
      </c>
      <c r="AF649" s="278">
        <v>1091.8235294117646</v>
      </c>
      <c r="AG649" s="278">
        <v>1043.1643598615917</v>
      </c>
      <c r="AH649" s="278">
        <v>1062.6827587217588</v>
      </c>
      <c r="AI649" s="278">
        <v>1065.2737327071754</v>
      </c>
      <c r="AJ649" s="278">
        <v>1075.6955411764527</v>
      </c>
      <c r="AK649" s="278">
        <v>1092.1308165941448</v>
      </c>
      <c r="AL649" s="278">
        <v>1113.2509243143209</v>
      </c>
      <c r="AM649" s="278">
        <v>1138.0868220601853</v>
      </c>
      <c r="AN649" s="278">
        <v>1165.9341105576054</v>
      </c>
      <c r="AO649" s="278">
        <v>1196.283224929932</v>
      </c>
      <c r="AP649" s="278">
        <v>1228.7681121598878</v>
      </c>
      <c r="AQ649" s="278">
        <v>1228.7681121598878</v>
      </c>
      <c r="AR649" s="278">
        <v>1228.7681121598878</v>
      </c>
      <c r="AS649" s="278">
        <v>1228.7681121598878</v>
      </c>
      <c r="AT649" s="2"/>
      <c r="AU649" s="2"/>
    </row>
    <row r="650" spans="1:47" ht="12.75" hidden="1" customHeight="1" outlineLevel="1">
      <c r="A650" s="308"/>
      <c r="B650" s="322" t="s">
        <v>1099</v>
      </c>
      <c r="C650" s="310" t="s">
        <v>733</v>
      </c>
      <c r="D650" s="310"/>
      <c r="E650" s="310"/>
      <c r="F650" s="310"/>
      <c r="G650" s="310"/>
      <c r="H650" s="310"/>
      <c r="I650" s="310"/>
      <c r="J650" s="310"/>
      <c r="K650" s="311"/>
      <c r="L650" s="311"/>
      <c r="M650" s="311"/>
      <c r="N650" s="311"/>
      <c r="O650" s="311"/>
      <c r="P650" s="311"/>
      <c r="Q650" s="311"/>
      <c r="R650" s="311"/>
      <c r="S650" s="311"/>
      <c r="T650" s="311"/>
      <c r="U650" s="311"/>
      <c r="V650" s="311"/>
      <c r="W650" s="311"/>
      <c r="X650" s="311"/>
      <c r="Y650" s="311"/>
      <c r="Z650" s="313"/>
      <c r="AA650" s="311"/>
      <c r="AB650" s="311">
        <v>2.7413587604290912E-2</v>
      </c>
      <c r="AC650" s="311">
        <v>0.19721577726218098</v>
      </c>
      <c r="AD650" s="311">
        <v>8.9147286821705363E-2</v>
      </c>
      <c r="AE650" s="311">
        <v>0</v>
      </c>
      <c r="AF650" s="311">
        <v>-2.8626753192380172E-2</v>
      </c>
      <c r="AG650" s="311">
        <v>-4.4566881221536514E-2</v>
      </c>
      <c r="AH650" s="311">
        <v>1.8710760845737529E-2</v>
      </c>
      <c r="AI650" s="311">
        <v>2.4381443701346761E-3</v>
      </c>
      <c r="AJ650" s="311">
        <v>9.7832211095567612E-3</v>
      </c>
      <c r="AK650" s="311">
        <v>1.5278742719075922E-2</v>
      </c>
      <c r="AL650" s="311">
        <v>1.9338441328887734E-2</v>
      </c>
      <c r="AM650" s="311">
        <v>2.2309343925460023E-2</v>
      </c>
      <c r="AN650" s="311">
        <v>2.4468509746040645E-2</v>
      </c>
      <c r="AO650" s="311">
        <v>2.6029870897088747E-2</v>
      </c>
      <c r="AP650" s="311">
        <v>2.715484640508814E-2</v>
      </c>
      <c r="AQ650" s="311">
        <v>2.715484640508814E-2</v>
      </c>
      <c r="AR650" s="311">
        <v>2.715484640508814E-2</v>
      </c>
      <c r="AS650" s="311">
        <v>2.715484640508814E-2</v>
      </c>
      <c r="AT650" s="312"/>
      <c r="AU650" s="2"/>
    </row>
    <row r="651" spans="1:47" ht="12.75" hidden="1" customHeight="1" outlineLevel="1">
      <c r="A651" s="298"/>
      <c r="B651" s="2"/>
      <c r="C651" s="18"/>
      <c r="D651" s="18"/>
      <c r="E651" s="18"/>
      <c r="F651" s="18"/>
      <c r="G651" s="18"/>
      <c r="H651" s="18"/>
      <c r="I651" s="18"/>
      <c r="J651" s="18"/>
      <c r="K651" s="6"/>
      <c r="L651" s="6"/>
      <c r="M651" s="6"/>
      <c r="N651" s="6"/>
      <c r="O651" s="6"/>
      <c r="P651" s="6"/>
      <c r="Q651" s="6"/>
      <c r="R651" s="6"/>
      <c r="S651" s="6"/>
      <c r="T651" s="2"/>
      <c r="U651" s="2"/>
      <c r="V651" s="2"/>
      <c r="W651" s="2"/>
      <c r="X651" s="2"/>
      <c r="Y651" s="254"/>
      <c r="Z651" s="254"/>
      <c r="AA651" s="254"/>
      <c r="AB651" s="254"/>
      <c r="AC651" s="254"/>
      <c r="AD651" s="254"/>
      <c r="AE651" s="254"/>
      <c r="AF651" s="254"/>
      <c r="AG651" s="254"/>
      <c r="AH651" s="254"/>
      <c r="AI651" s="254"/>
      <c r="AJ651" s="254"/>
      <c r="AK651" s="254"/>
      <c r="AL651" s="254"/>
      <c r="AM651" s="254"/>
      <c r="AN651" s="254"/>
      <c r="AO651" s="254"/>
      <c r="AP651" s="254"/>
      <c r="AQ651" s="254"/>
      <c r="AR651" s="254"/>
      <c r="AS651" s="254"/>
      <c r="AT651" s="2"/>
      <c r="AU651" s="2"/>
    </row>
    <row r="652" spans="1:47" ht="12.75" hidden="1" customHeight="1" outlineLevel="1">
      <c r="A652" s="298"/>
      <c r="B652" s="243" t="s">
        <v>28</v>
      </c>
      <c r="C652" s="18" t="s">
        <v>732</v>
      </c>
      <c r="D652" s="18"/>
      <c r="E652" s="18"/>
      <c r="F652" s="18"/>
      <c r="G652" s="18"/>
      <c r="H652" s="18"/>
      <c r="I652" s="18"/>
      <c r="J652" s="18"/>
      <c r="K652" s="7"/>
      <c r="L652" s="7"/>
      <c r="M652" s="7"/>
      <c r="N652" s="7"/>
      <c r="O652" s="7"/>
      <c r="P652" s="7"/>
      <c r="Q652" s="7"/>
      <c r="R652" s="7"/>
      <c r="S652" s="7"/>
      <c r="T652" s="7"/>
      <c r="U652" s="7"/>
      <c r="V652" s="2"/>
      <c r="W652" s="7"/>
      <c r="X652" s="7"/>
      <c r="Y652" s="247">
        <v>652</v>
      </c>
      <c r="Z652" s="247">
        <v>147</v>
      </c>
      <c r="AA652" s="247">
        <v>218</v>
      </c>
      <c r="AB652" s="247">
        <v>341</v>
      </c>
      <c r="AC652" s="247">
        <v>657</v>
      </c>
      <c r="AD652" s="247">
        <v>379</v>
      </c>
      <c r="AE652" s="247">
        <v>361</v>
      </c>
      <c r="AF652" s="247">
        <v>371.83</v>
      </c>
      <c r="AG652" s="247">
        <v>382.98489999999998</v>
      </c>
      <c r="AH652" s="247">
        <v>394.474447</v>
      </c>
      <c r="AI652" s="247">
        <v>406.30868041000002</v>
      </c>
      <c r="AJ652" s="247">
        <v>418.49794082230005</v>
      </c>
      <c r="AK652" s="247">
        <v>431.05287904696905</v>
      </c>
      <c r="AL652" s="247">
        <v>443.98446541837814</v>
      </c>
      <c r="AM652" s="247">
        <v>457.3039993809295</v>
      </c>
      <c r="AN652" s="247">
        <v>471.02311936235742</v>
      </c>
      <c r="AO652" s="247">
        <v>485.15381294322816</v>
      </c>
      <c r="AP652" s="247">
        <v>499.708427331525</v>
      </c>
      <c r="AQ652" s="247">
        <v>499.708427331525</v>
      </c>
      <c r="AR652" s="247">
        <v>499.708427331525</v>
      </c>
      <c r="AS652" s="247">
        <v>499.708427331525</v>
      </c>
      <c r="AT652" s="2"/>
      <c r="AU652" s="2"/>
    </row>
    <row r="653" spans="1:47" ht="12.75" hidden="1" customHeight="1" outlineLevel="1">
      <c r="A653" s="308"/>
      <c r="B653" s="347" t="s">
        <v>1099</v>
      </c>
      <c r="C653" s="423" t="s">
        <v>733</v>
      </c>
      <c r="D653" s="310"/>
      <c r="E653" s="310"/>
      <c r="F653" s="310"/>
      <c r="G653" s="310"/>
      <c r="H653" s="310"/>
      <c r="I653" s="310"/>
      <c r="J653" s="310"/>
      <c r="K653" s="311"/>
      <c r="L653" s="311"/>
      <c r="M653" s="311"/>
      <c r="N653" s="311"/>
      <c r="O653" s="311"/>
      <c r="P653" s="311"/>
      <c r="Q653" s="311"/>
      <c r="R653" s="311"/>
      <c r="S653" s="311"/>
      <c r="T653" s="311"/>
      <c r="U653" s="311"/>
      <c r="V653" s="313"/>
      <c r="W653" s="311"/>
      <c r="X653" s="311"/>
      <c r="Y653" s="311"/>
      <c r="Z653" s="313">
        <v>-0.77453987730061347</v>
      </c>
      <c r="AA653" s="313">
        <v>0.48299319727891166</v>
      </c>
      <c r="AB653" s="313">
        <v>0.56422018348623859</v>
      </c>
      <c r="AC653" s="313">
        <v>0.92668621700879772</v>
      </c>
      <c r="AD653" s="313">
        <v>-0.42313546423135462</v>
      </c>
      <c r="AE653" s="313">
        <v>-4.7493403693931402E-2</v>
      </c>
      <c r="AF653" s="623">
        <v>0.03</v>
      </c>
      <c r="AG653" s="623">
        <v>0.03</v>
      </c>
      <c r="AH653" s="623">
        <v>0.03</v>
      </c>
      <c r="AI653" s="623">
        <v>0.03</v>
      </c>
      <c r="AJ653" s="623">
        <v>0.03</v>
      </c>
      <c r="AK653" s="623">
        <v>0.03</v>
      </c>
      <c r="AL653" s="623">
        <v>0.03</v>
      </c>
      <c r="AM653" s="623">
        <v>0.03</v>
      </c>
      <c r="AN653" s="623">
        <v>0.03</v>
      </c>
      <c r="AO653" s="623">
        <v>0.03</v>
      </c>
      <c r="AP653" s="623">
        <v>0.03</v>
      </c>
      <c r="AQ653" s="623">
        <v>0.03</v>
      </c>
      <c r="AR653" s="623">
        <v>0.03</v>
      </c>
      <c r="AS653" s="623">
        <v>0.03</v>
      </c>
      <c r="AT653" s="312"/>
      <c r="AU653" s="514"/>
    </row>
    <row r="654" spans="1:47" ht="12.75" hidden="1" customHeight="1" outlineLevel="1">
      <c r="A654" s="298"/>
      <c r="B654" s="73"/>
      <c r="C654" s="18"/>
      <c r="D654" s="18"/>
      <c r="E654" s="18"/>
      <c r="F654" s="18"/>
      <c r="G654" s="18"/>
      <c r="H654" s="18"/>
      <c r="I654" s="18"/>
      <c r="J654" s="18"/>
      <c r="K654" s="7"/>
      <c r="L654" s="7"/>
      <c r="M654" s="7"/>
      <c r="N654" s="7"/>
      <c r="O654" s="7"/>
      <c r="P654" s="7"/>
      <c r="Q654" s="7"/>
      <c r="R654" s="7"/>
      <c r="S654" s="7"/>
      <c r="T654" s="7"/>
      <c r="U654" s="7"/>
      <c r="V654" s="2"/>
      <c r="W654" s="7"/>
      <c r="X654" s="7"/>
      <c r="Y654" s="31"/>
      <c r="Z654" s="31"/>
      <c r="AA654" s="31"/>
      <c r="AB654" s="31"/>
      <c r="AC654" s="31"/>
      <c r="AD654" s="31"/>
      <c r="AE654" s="31"/>
      <c r="AF654" s="31"/>
      <c r="AG654" s="31"/>
      <c r="AH654" s="31"/>
      <c r="AI654" s="31"/>
      <c r="AJ654" s="31"/>
      <c r="AK654" s="31"/>
      <c r="AL654" s="31"/>
      <c r="AM654" s="31"/>
      <c r="AN654" s="31"/>
      <c r="AO654" s="31"/>
      <c r="AP654" s="31"/>
      <c r="AQ654" s="31"/>
      <c r="AR654" s="31"/>
      <c r="AS654" s="31"/>
      <c r="AT654" s="2"/>
      <c r="AU654" s="2"/>
    </row>
    <row r="655" spans="1:47" ht="12.75" hidden="1" customHeight="1" outlineLevel="1">
      <c r="A655" s="298"/>
      <c r="B655" s="173" t="s">
        <v>731</v>
      </c>
      <c r="C655" s="169" t="s">
        <v>732</v>
      </c>
      <c r="D655" s="169"/>
      <c r="E655" s="169"/>
      <c r="F655" s="169"/>
      <c r="G655" s="169"/>
      <c r="H655" s="169"/>
      <c r="I655" s="169"/>
      <c r="J655" s="169"/>
      <c r="K655" s="26"/>
      <c r="L655" s="26"/>
      <c r="M655" s="26"/>
      <c r="N655" s="26"/>
      <c r="O655" s="26"/>
      <c r="P655" s="211"/>
      <c r="Q655" s="211"/>
      <c r="R655" s="211"/>
      <c r="S655" s="212"/>
      <c r="T655" s="212"/>
      <c r="U655" s="212"/>
      <c r="V655" s="212"/>
      <c r="W655" s="213"/>
      <c r="X655" s="213"/>
      <c r="Y655" s="552">
        <v>976</v>
      </c>
      <c r="Z655" s="552">
        <v>584</v>
      </c>
      <c r="AA655" s="552">
        <v>1139</v>
      </c>
      <c r="AB655" s="552">
        <v>2192</v>
      </c>
      <c r="AC655" s="552">
        <v>2993</v>
      </c>
      <c r="AD655" s="552">
        <v>2548</v>
      </c>
      <c r="AE655" s="552">
        <v>2451</v>
      </c>
      <c r="AF655" s="278">
        <v>2352.96</v>
      </c>
      <c r="AG655" s="278">
        <v>2258.8415999999997</v>
      </c>
      <c r="AH655" s="278">
        <v>2168.4879359999995</v>
      </c>
      <c r="AI655" s="278">
        <v>2081.7484185599997</v>
      </c>
      <c r="AJ655" s="278">
        <v>1998.4784818175997</v>
      </c>
      <c r="AK655" s="278">
        <v>1918.5393425448956</v>
      </c>
      <c r="AL655" s="278">
        <v>1841.7977688430997</v>
      </c>
      <c r="AM655" s="278">
        <v>1768.1258580893757</v>
      </c>
      <c r="AN655" s="278">
        <v>1697.4008237658006</v>
      </c>
      <c r="AO655" s="278">
        <v>1629.5047908151685</v>
      </c>
      <c r="AP655" s="278">
        <v>1564.3245991825618</v>
      </c>
      <c r="AQ655" s="278">
        <v>1564.3245991825618</v>
      </c>
      <c r="AR655" s="278">
        <v>1564.3245991825618</v>
      </c>
      <c r="AS655" s="278">
        <v>1564.3245991825618</v>
      </c>
      <c r="AT655" s="2"/>
      <c r="AU655" s="8" t="s">
        <v>1272</v>
      </c>
    </row>
    <row r="656" spans="1:47" ht="12.75" hidden="1" customHeight="1" outlineLevel="1">
      <c r="A656" s="308"/>
      <c r="B656" s="322" t="s">
        <v>1099</v>
      </c>
      <c r="C656" s="310" t="s">
        <v>733</v>
      </c>
      <c r="D656" s="310"/>
      <c r="E656" s="310"/>
      <c r="F656" s="310"/>
      <c r="G656" s="310"/>
      <c r="H656" s="310"/>
      <c r="I656" s="310"/>
      <c r="J656" s="310"/>
      <c r="K656" s="311"/>
      <c r="L656" s="311"/>
      <c r="M656" s="311"/>
      <c r="N656" s="311"/>
      <c r="O656" s="311"/>
      <c r="P656" s="311"/>
      <c r="Q656" s="312"/>
      <c r="R656" s="312"/>
      <c r="S656" s="312"/>
      <c r="T656" s="312"/>
      <c r="U656" s="312"/>
      <c r="V656" s="312"/>
      <c r="W656" s="313"/>
      <c r="X656" s="313"/>
      <c r="Y656" s="313"/>
      <c r="Z656" s="313"/>
      <c r="AA656" s="313">
        <v>0.95034246575342474</v>
      </c>
      <c r="AB656" s="313">
        <v>0.92449517120280955</v>
      </c>
      <c r="AC656" s="313">
        <v>0.36541970802919699</v>
      </c>
      <c r="AD656" s="313">
        <v>-0.14868025392582696</v>
      </c>
      <c r="AE656" s="313">
        <v>-3.8069073783359553E-2</v>
      </c>
      <c r="AF656" s="623">
        <v>-0.04</v>
      </c>
      <c r="AG656" s="623">
        <v>-0.04</v>
      </c>
      <c r="AH656" s="623">
        <v>-0.04</v>
      </c>
      <c r="AI656" s="623">
        <v>-0.04</v>
      </c>
      <c r="AJ656" s="623">
        <v>-0.04</v>
      </c>
      <c r="AK656" s="623">
        <v>-0.04</v>
      </c>
      <c r="AL656" s="623">
        <v>-0.04</v>
      </c>
      <c r="AM656" s="623">
        <v>-0.04</v>
      </c>
      <c r="AN656" s="623">
        <v>-0.04</v>
      </c>
      <c r="AO656" s="623">
        <v>-0.04</v>
      </c>
      <c r="AP656" s="623">
        <v>-0.04</v>
      </c>
      <c r="AQ656" s="623">
        <v>-0.04</v>
      </c>
      <c r="AR656" s="623">
        <v>-0.04</v>
      </c>
      <c r="AS656" s="623">
        <v>-0.04</v>
      </c>
      <c r="AT656" s="312"/>
      <c r="AU656" s="514"/>
    </row>
    <row r="657" spans="1:47" ht="12.75" hidden="1" customHeight="1" outlineLevel="1">
      <c r="A657" s="298"/>
      <c r="B657" s="55"/>
      <c r="C657" s="18"/>
      <c r="D657" s="18"/>
      <c r="E657" s="18"/>
      <c r="F657" s="18"/>
      <c r="G657" s="18"/>
      <c r="H657" s="18"/>
      <c r="I657" s="18"/>
      <c r="J657" s="18"/>
      <c r="K657" s="7"/>
      <c r="L657" s="7"/>
      <c r="M657" s="7"/>
      <c r="N657" s="7"/>
      <c r="O657" s="7"/>
      <c r="P657" s="7"/>
      <c r="Q657" s="7"/>
      <c r="R657" s="7"/>
      <c r="S657" s="7"/>
      <c r="T657" s="7"/>
      <c r="U657" s="7"/>
      <c r="V657" s="2"/>
      <c r="W657" s="7"/>
      <c r="X657" s="7"/>
      <c r="Y657" s="7"/>
      <c r="Z657" s="7"/>
      <c r="AA657" s="7"/>
      <c r="AB657" s="7"/>
      <c r="AC657" s="7"/>
      <c r="AD657" s="7"/>
      <c r="AE657" s="7"/>
      <c r="AF657" s="7"/>
      <c r="AG657" s="7"/>
      <c r="AH657" s="7"/>
      <c r="AI657" s="7"/>
      <c r="AJ657" s="7"/>
      <c r="AK657" s="7"/>
      <c r="AL657" s="7"/>
      <c r="AM657" s="7"/>
      <c r="AN657" s="7"/>
      <c r="AO657" s="7"/>
      <c r="AP657" s="7"/>
      <c r="AQ657" s="7"/>
      <c r="AR657" s="7"/>
      <c r="AS657" s="7"/>
      <c r="AT657" s="2"/>
      <c r="AU657" s="2"/>
    </row>
    <row r="658" spans="1:47" ht="18" hidden="1" outlineLevel="1">
      <c r="A658" s="299" t="s">
        <v>1163</v>
      </c>
      <c r="B658" s="748" t="s">
        <v>1287</v>
      </c>
      <c r="C658" s="749"/>
      <c r="D658" s="749"/>
      <c r="E658" s="749"/>
      <c r="F658" s="749"/>
      <c r="G658" s="749"/>
      <c r="H658" s="749"/>
      <c r="I658" s="749"/>
      <c r="J658" s="749"/>
      <c r="K658" s="749"/>
      <c r="L658" s="749"/>
      <c r="M658" s="749"/>
      <c r="N658" s="749"/>
      <c r="O658" s="749"/>
      <c r="P658" s="749"/>
      <c r="Q658" s="749"/>
      <c r="R658" s="749"/>
      <c r="S658" s="749"/>
      <c r="T658" s="749"/>
      <c r="U658" s="749"/>
      <c r="V658" s="749"/>
      <c r="W658" s="749"/>
      <c r="X658" s="749"/>
      <c r="Y658" s="749"/>
      <c r="Z658" s="749"/>
      <c r="AA658" s="749"/>
      <c r="AB658" s="749"/>
      <c r="AC658" s="749"/>
      <c r="AD658" s="749"/>
      <c r="AE658" s="749"/>
      <c r="AF658" s="749"/>
      <c r="AG658" s="749"/>
      <c r="AH658" s="749"/>
      <c r="AI658" s="749"/>
      <c r="AJ658" s="749"/>
      <c r="AK658" s="749"/>
      <c r="AL658" s="749"/>
      <c r="AM658" s="749"/>
      <c r="AN658" s="749"/>
      <c r="AO658" s="749"/>
      <c r="AP658" s="749"/>
      <c r="AQ658" s="749"/>
      <c r="AR658" s="749"/>
      <c r="AS658" s="749"/>
      <c r="AT658" s="36"/>
      <c r="AU658" s="2"/>
    </row>
    <row r="659" spans="1:47" hidden="1" outlineLevel="1">
      <c r="A659" s="298"/>
      <c r="B659" s="55"/>
      <c r="C659" s="18"/>
      <c r="D659" s="18"/>
      <c r="E659" s="18"/>
      <c r="F659" s="18"/>
      <c r="G659" s="18"/>
      <c r="H659" s="18"/>
      <c r="I659" s="18"/>
      <c r="J659" s="18"/>
      <c r="K659" s="7"/>
      <c r="L659" s="7"/>
      <c r="M659" s="7"/>
      <c r="N659" s="7"/>
      <c r="O659" s="7"/>
      <c r="P659" s="7"/>
      <c r="Q659" s="7"/>
      <c r="R659" s="7"/>
      <c r="S659" s="7"/>
      <c r="T659" s="7"/>
      <c r="U659" s="7"/>
      <c r="V659" s="2"/>
      <c r="W659" s="7"/>
      <c r="X659" s="7"/>
      <c r="Y659" s="7"/>
      <c r="Z659" s="7"/>
      <c r="AA659" s="7"/>
      <c r="AB659" s="7"/>
      <c r="AC659" s="7"/>
      <c r="AD659" s="7"/>
      <c r="AE659" s="7"/>
      <c r="AF659" s="7"/>
      <c r="AG659" s="7"/>
      <c r="AH659" s="7"/>
      <c r="AI659" s="7"/>
      <c r="AJ659" s="7"/>
      <c r="AK659" s="7"/>
      <c r="AL659" s="7"/>
      <c r="AM659" s="7"/>
      <c r="AN659" s="7"/>
      <c r="AO659" s="7"/>
      <c r="AP659" s="7"/>
      <c r="AQ659" s="7"/>
      <c r="AR659" s="7"/>
      <c r="AS659" s="7"/>
      <c r="AT659" s="2"/>
      <c r="AU659" s="2"/>
    </row>
    <row r="660" spans="1:47" ht="15.6" hidden="1" outlineLevel="1">
      <c r="A660" s="298"/>
      <c r="B660" s="237" t="s">
        <v>1081</v>
      </c>
      <c r="C660" s="238"/>
      <c r="D660" s="239"/>
      <c r="E660" s="239"/>
      <c r="F660" s="239"/>
      <c r="G660" s="239"/>
      <c r="H660" s="239"/>
      <c r="I660" s="239"/>
      <c r="J660" s="239"/>
      <c r="K660" s="239"/>
      <c r="L660" s="239"/>
      <c r="M660" s="239"/>
      <c r="N660" s="239"/>
      <c r="O660" s="239"/>
      <c r="P660" s="239"/>
      <c r="Q660" s="239"/>
      <c r="R660" s="239"/>
      <c r="S660" s="239"/>
      <c r="T660" s="239"/>
      <c r="U660" s="239"/>
      <c r="V660" s="239"/>
      <c r="W660" s="239"/>
      <c r="X660" s="239"/>
      <c r="Y660" s="239"/>
      <c r="Z660" s="239"/>
      <c r="AA660" s="239"/>
      <c r="AB660" s="239"/>
      <c r="AC660" s="239"/>
      <c r="AD660" s="239"/>
      <c r="AE660" s="239"/>
      <c r="AF660" s="239"/>
      <c r="AG660" s="239"/>
      <c r="AH660" s="239"/>
      <c r="AI660" s="239"/>
      <c r="AJ660" s="239"/>
      <c r="AK660" s="239"/>
      <c r="AL660" s="239"/>
      <c r="AM660" s="239"/>
      <c r="AN660" s="239"/>
      <c r="AO660" s="270"/>
      <c r="AP660" s="240"/>
      <c r="AQ660" s="240"/>
      <c r="AR660" s="240"/>
      <c r="AS660" s="240"/>
      <c r="AT660" s="2"/>
      <c r="AU660" s="2"/>
    </row>
    <row r="661" spans="1:47" hidden="1" outlineLevel="1">
      <c r="A661" s="298"/>
      <c r="B661" s="55"/>
      <c r="C661" s="18"/>
      <c r="D661" s="18"/>
      <c r="E661" s="18"/>
      <c r="F661" s="18"/>
      <c r="G661" s="18"/>
      <c r="H661" s="18"/>
      <c r="I661" s="18"/>
      <c r="J661" s="18"/>
      <c r="K661" s="7"/>
      <c r="L661" s="7"/>
      <c r="M661" s="7"/>
      <c r="N661" s="7"/>
      <c r="O661" s="7"/>
      <c r="P661" s="7"/>
      <c r="Q661" s="7"/>
      <c r="R661" s="7"/>
      <c r="S661" s="7"/>
      <c r="T661" s="7"/>
      <c r="U661" s="7"/>
      <c r="V661" s="7"/>
      <c r="W661" s="7"/>
      <c r="X661" s="7"/>
      <c r="Y661" s="7"/>
      <c r="Z661" s="7"/>
      <c r="AA661" s="7"/>
      <c r="AB661" s="7"/>
      <c r="AC661" s="7"/>
      <c r="AD661" s="7"/>
      <c r="AE661" s="31"/>
      <c r="AF661" s="31"/>
      <c r="AG661" s="31"/>
      <c r="AH661" s="31"/>
      <c r="AI661" s="31"/>
      <c r="AJ661" s="31"/>
      <c r="AK661" s="31"/>
      <c r="AL661" s="31"/>
      <c r="AM661" s="31"/>
      <c r="AN661" s="31"/>
      <c r="AO661" s="31"/>
      <c r="AP661" s="31"/>
      <c r="AQ661" s="31"/>
      <c r="AR661" s="31"/>
      <c r="AS661" s="31"/>
      <c r="AT661" s="2"/>
      <c r="AU661" s="2"/>
    </row>
    <row r="662" spans="1:47" hidden="1" outlineLevel="1">
      <c r="A662" s="298"/>
      <c r="B662" s="55" t="s">
        <v>1082</v>
      </c>
      <c r="C662" s="18" t="s">
        <v>846</v>
      </c>
      <c r="D662" s="18"/>
      <c r="E662" s="18"/>
      <c r="F662" s="18"/>
      <c r="G662" s="18"/>
      <c r="H662" s="18"/>
      <c r="I662" s="18"/>
      <c r="J662" s="18"/>
      <c r="K662" s="7"/>
      <c r="L662" s="7"/>
      <c r="M662" s="7"/>
      <c r="N662" s="7"/>
      <c r="O662" s="7"/>
      <c r="P662" s="7"/>
      <c r="Q662" s="7"/>
      <c r="R662" s="7"/>
      <c r="S662" s="7"/>
      <c r="T662" s="7"/>
      <c r="U662" s="7"/>
      <c r="V662" s="7"/>
      <c r="W662" s="7"/>
      <c r="X662" s="7"/>
      <c r="Y662" s="7"/>
      <c r="Z662" s="7"/>
      <c r="AA662" s="7"/>
      <c r="AB662" s="7"/>
      <c r="AC662" s="538">
        <v>3599</v>
      </c>
      <c r="AD662" s="538">
        <v>3706</v>
      </c>
      <c r="AE662" s="538">
        <v>3786</v>
      </c>
      <c r="AF662" s="334">
        <v>3867.7269293038316</v>
      </c>
      <c r="AG662" s="334">
        <v>3951.2180664717503</v>
      </c>
      <c r="AH662" s="334">
        <v>4036.5114947819875</v>
      </c>
      <c r="AI662" s="334">
        <v>4123.6461196018899</v>
      </c>
      <c r="AJ662" s="334">
        <v>4212.6616861340408</v>
      </c>
      <c r="AK662" s="334">
        <v>4303.5987975454609</v>
      </c>
      <c r="AL662" s="334">
        <v>4396.4989334881584</v>
      </c>
      <c r="AM662" s="334">
        <v>4491.4044690194733</v>
      </c>
      <c r="AN662" s="334">
        <v>4588.3586939308489</v>
      </c>
      <c r="AO662" s="334">
        <v>4687.405832493846</v>
      </c>
      <c r="AP662" s="334">
        <v>4788.591063632407</v>
      </c>
      <c r="AQ662" s="334">
        <v>4788.591063632407</v>
      </c>
      <c r="AR662" s="334">
        <v>4788.591063632407</v>
      </c>
      <c r="AS662" s="334">
        <v>4788.591063632407</v>
      </c>
      <c r="AT662" s="2"/>
      <c r="AU662" s="2"/>
    </row>
    <row r="663" spans="1:47" hidden="1" outlineLevel="1">
      <c r="A663" s="310"/>
      <c r="B663" s="322" t="s">
        <v>1099</v>
      </c>
      <c r="C663" s="310" t="s">
        <v>733</v>
      </c>
      <c r="D663" s="310"/>
      <c r="E663" s="310"/>
      <c r="F663" s="310"/>
      <c r="G663" s="310"/>
      <c r="H663" s="310"/>
      <c r="I663" s="310"/>
      <c r="J663" s="310"/>
      <c r="K663" s="311"/>
      <c r="L663" s="311"/>
      <c r="M663" s="311"/>
      <c r="N663" s="311"/>
      <c r="O663" s="311"/>
      <c r="P663" s="311"/>
      <c r="Q663" s="311"/>
      <c r="R663" s="311"/>
      <c r="S663" s="311"/>
      <c r="T663" s="311"/>
      <c r="U663" s="311"/>
      <c r="V663" s="311"/>
      <c r="W663" s="311"/>
      <c r="X663" s="311"/>
      <c r="Y663" s="311"/>
      <c r="Z663" s="311"/>
      <c r="AA663" s="311"/>
      <c r="AB663" s="311"/>
      <c r="AC663" s="392"/>
      <c r="AD663" s="311">
        <v>2.9730480689080352E-2</v>
      </c>
      <c r="AE663" s="311">
        <v>2.1586616297895267E-2</v>
      </c>
      <c r="AF663" s="623">
        <v>2.1586616297895267E-2</v>
      </c>
      <c r="AG663" s="623">
        <v>2.1586616297895267E-2</v>
      </c>
      <c r="AH663" s="623">
        <v>2.1586616297895267E-2</v>
      </c>
      <c r="AI663" s="623">
        <v>2.1586616297895267E-2</v>
      </c>
      <c r="AJ663" s="623">
        <v>2.1586616297895267E-2</v>
      </c>
      <c r="AK663" s="623">
        <v>2.1586616297895267E-2</v>
      </c>
      <c r="AL663" s="623">
        <v>2.1586616297895267E-2</v>
      </c>
      <c r="AM663" s="623">
        <v>2.1586616297895267E-2</v>
      </c>
      <c r="AN663" s="623">
        <v>2.1586616297895267E-2</v>
      </c>
      <c r="AO663" s="623">
        <v>2.1586616297895267E-2</v>
      </c>
      <c r="AP663" s="623">
        <v>2.1586616297895267E-2</v>
      </c>
      <c r="AQ663" s="623">
        <v>2.1586616297895267E-2</v>
      </c>
      <c r="AR663" s="623">
        <v>2.1586616297895267E-2</v>
      </c>
      <c r="AS663" s="623">
        <v>2.1586616297895267E-2</v>
      </c>
      <c r="AT663" s="313"/>
      <c r="AU663" s="513"/>
    </row>
    <row r="664" spans="1:47" hidden="1" outlineLevel="1">
      <c r="A664" s="298"/>
      <c r="B664" s="55" t="s">
        <v>1083</v>
      </c>
      <c r="C664" s="18" t="s">
        <v>846</v>
      </c>
      <c r="D664" s="18"/>
      <c r="E664" s="18"/>
      <c r="F664" s="18"/>
      <c r="G664" s="18"/>
      <c r="H664" s="18"/>
      <c r="I664" s="18"/>
      <c r="J664" s="18"/>
      <c r="K664" s="7"/>
      <c r="L664" s="7"/>
      <c r="M664" s="7"/>
      <c r="N664" s="7"/>
      <c r="O664" s="7"/>
      <c r="P664" s="7"/>
      <c r="Q664" s="7"/>
      <c r="R664" s="7"/>
      <c r="S664" s="7"/>
      <c r="T664" s="7"/>
      <c r="U664" s="7"/>
      <c r="V664" s="7"/>
      <c r="W664" s="7"/>
      <c r="X664" s="7"/>
      <c r="Y664" s="7"/>
      <c r="Z664" s="7"/>
      <c r="AA664" s="7"/>
      <c r="AB664" s="7"/>
      <c r="AC664" s="334">
        <v>3599</v>
      </c>
      <c r="AD664" s="334">
        <v>3652.5</v>
      </c>
      <c r="AE664" s="334">
        <v>3746</v>
      </c>
      <c r="AF664" s="334">
        <v>3826.8634646519158</v>
      </c>
      <c r="AG664" s="334">
        <v>3909.4724978877912</v>
      </c>
      <c r="AH664" s="334">
        <v>3993.8647806268691</v>
      </c>
      <c r="AI664" s="334">
        <v>4080.0788071919387</v>
      </c>
      <c r="AJ664" s="334">
        <v>4168.1539028679654</v>
      </c>
      <c r="AK664" s="334">
        <v>4258.1302418397509</v>
      </c>
      <c r="AL664" s="334">
        <v>4350.0488655168101</v>
      </c>
      <c r="AM664" s="334">
        <v>4443.9517012538163</v>
      </c>
      <c r="AN664" s="334">
        <v>4539.8815814751615</v>
      </c>
      <c r="AO664" s="334">
        <v>4637.8822632123474</v>
      </c>
      <c r="AP664" s="334">
        <v>4737.9984480631265</v>
      </c>
      <c r="AQ664" s="334">
        <v>4737.9984480631265</v>
      </c>
      <c r="AR664" s="334">
        <v>4737.9984480631265</v>
      </c>
      <c r="AS664" s="334">
        <v>4737.9984480631265</v>
      </c>
      <c r="AT664" s="2"/>
      <c r="AU664" s="2"/>
    </row>
    <row r="665" spans="1:47" hidden="1" outlineLevel="1">
      <c r="A665" s="298"/>
      <c r="B665" s="55"/>
      <c r="C665" s="18"/>
      <c r="D665" s="18"/>
      <c r="E665" s="18"/>
      <c r="F665" s="18"/>
      <c r="G665" s="18"/>
      <c r="H665" s="18"/>
      <c r="I665" s="18"/>
      <c r="J665" s="18"/>
      <c r="K665" s="7"/>
      <c r="L665" s="7"/>
      <c r="M665" s="7"/>
      <c r="N665" s="7"/>
      <c r="O665" s="7"/>
      <c r="P665" s="7"/>
      <c r="Q665" s="7"/>
      <c r="R665" s="7"/>
      <c r="S665" s="7"/>
      <c r="T665" s="7"/>
      <c r="U665" s="7"/>
      <c r="V665" s="7"/>
      <c r="W665" s="7"/>
      <c r="X665" s="7"/>
      <c r="Y665" s="7"/>
      <c r="Z665" s="7"/>
      <c r="AA665" s="7"/>
      <c r="AB665" s="7"/>
      <c r="AC665" s="31"/>
      <c r="AD665" s="31"/>
      <c r="AE665" s="31"/>
      <c r="AF665" s="31"/>
      <c r="AG665" s="31"/>
      <c r="AH665" s="31"/>
      <c r="AI665" s="31"/>
      <c r="AJ665" s="31"/>
      <c r="AK665" s="31"/>
      <c r="AL665" s="31"/>
      <c r="AM665" s="31"/>
      <c r="AN665" s="31"/>
      <c r="AO665" s="31"/>
      <c r="AP665" s="31"/>
      <c r="AQ665" s="31"/>
      <c r="AR665" s="31"/>
      <c r="AS665" s="31"/>
      <c r="AT665" s="2"/>
      <c r="AU665" s="2"/>
    </row>
    <row r="666" spans="1:47" hidden="1" outlineLevel="1">
      <c r="A666" s="298"/>
      <c r="B666" s="55" t="s">
        <v>1086</v>
      </c>
      <c r="C666" s="18" t="s">
        <v>846</v>
      </c>
      <c r="D666" s="18"/>
      <c r="E666" s="18"/>
      <c r="F666" s="18"/>
      <c r="G666" s="18"/>
      <c r="H666" s="18"/>
      <c r="I666" s="18"/>
      <c r="J666" s="18"/>
      <c r="K666" s="7"/>
      <c r="L666" s="7"/>
      <c r="M666" s="7"/>
      <c r="N666" s="7"/>
      <c r="O666" s="7"/>
      <c r="P666" s="7"/>
      <c r="Q666" s="7"/>
      <c r="R666" s="7"/>
      <c r="S666" s="7"/>
      <c r="T666" s="7"/>
      <c r="U666" s="7"/>
      <c r="V666" s="7"/>
      <c r="W666" s="7"/>
      <c r="X666" s="7"/>
      <c r="Y666" s="7"/>
      <c r="Z666" s="7"/>
      <c r="AA666" s="7"/>
      <c r="AB666" s="7"/>
      <c r="AC666" s="538">
        <v>1946</v>
      </c>
      <c r="AD666" s="538">
        <v>2605</v>
      </c>
      <c r="AE666" s="538">
        <v>3225</v>
      </c>
      <c r="AF666" s="334">
        <v>3674.3405828386399</v>
      </c>
      <c r="AG666" s="334">
        <v>3951.2180664717503</v>
      </c>
      <c r="AH666" s="334">
        <v>4036.5114947819875</v>
      </c>
      <c r="AI666" s="334">
        <v>4123.6461196018899</v>
      </c>
      <c r="AJ666" s="334">
        <v>4212.6616861340408</v>
      </c>
      <c r="AK666" s="334">
        <v>4303.5987975454609</v>
      </c>
      <c r="AL666" s="334">
        <v>4396.4989334881584</v>
      </c>
      <c r="AM666" s="334">
        <v>4491.4044690194733</v>
      </c>
      <c r="AN666" s="334">
        <v>4588.3586939308489</v>
      </c>
      <c r="AO666" s="334">
        <v>4687.405832493846</v>
      </c>
      <c r="AP666" s="334">
        <v>4788.591063632407</v>
      </c>
      <c r="AQ666" s="334">
        <v>4788.591063632407</v>
      </c>
      <c r="AR666" s="334">
        <v>4788.591063632407</v>
      </c>
      <c r="AS666" s="334">
        <v>4788.591063632407</v>
      </c>
      <c r="AT666" s="2"/>
      <c r="AU666" s="2"/>
    </row>
    <row r="667" spans="1:47" hidden="1" outlineLevel="1">
      <c r="A667" s="310"/>
      <c r="B667" s="309" t="s">
        <v>1087</v>
      </c>
      <c r="C667" s="310" t="s">
        <v>733</v>
      </c>
      <c r="D667" s="310"/>
      <c r="E667" s="310"/>
      <c r="F667" s="310"/>
      <c r="G667" s="310"/>
      <c r="H667" s="310"/>
      <c r="I667" s="310"/>
      <c r="J667" s="310"/>
      <c r="K667" s="311"/>
      <c r="L667" s="311"/>
      <c r="M667" s="311"/>
      <c r="N667" s="311"/>
      <c r="O667" s="311"/>
      <c r="P667" s="311"/>
      <c r="Q667" s="311"/>
      <c r="R667" s="311"/>
      <c r="S667" s="311"/>
      <c r="T667" s="311"/>
      <c r="U667" s="311"/>
      <c r="V667" s="311"/>
      <c r="W667" s="311"/>
      <c r="X667" s="311"/>
      <c r="Y667" s="311"/>
      <c r="Z667" s="311"/>
      <c r="AA667" s="311"/>
      <c r="AB667" s="311"/>
      <c r="AC667" s="311">
        <v>0.54070575159766598</v>
      </c>
      <c r="AD667" s="311">
        <v>0.70291419320021586</v>
      </c>
      <c r="AE667" s="311">
        <v>0.85182250396196513</v>
      </c>
      <c r="AF667" s="623">
        <v>0.95</v>
      </c>
      <c r="AG667" s="623">
        <v>1</v>
      </c>
      <c r="AH667" s="623">
        <v>1</v>
      </c>
      <c r="AI667" s="623">
        <v>1</v>
      </c>
      <c r="AJ667" s="623">
        <v>1</v>
      </c>
      <c r="AK667" s="623">
        <v>1</v>
      </c>
      <c r="AL667" s="623">
        <v>1</v>
      </c>
      <c r="AM667" s="623">
        <v>1</v>
      </c>
      <c r="AN667" s="623">
        <v>1</v>
      </c>
      <c r="AO667" s="623">
        <v>1</v>
      </c>
      <c r="AP667" s="623">
        <v>1</v>
      </c>
      <c r="AQ667" s="623">
        <v>1</v>
      </c>
      <c r="AR667" s="623">
        <v>1</v>
      </c>
      <c r="AS667" s="623">
        <v>1</v>
      </c>
      <c r="AT667" s="313"/>
      <c r="AU667" s="513"/>
    </row>
    <row r="668" spans="1:47" hidden="1" outlineLevel="1">
      <c r="A668" s="298"/>
      <c r="B668" s="2"/>
      <c r="C668" s="18"/>
      <c r="D668" s="18"/>
      <c r="E668" s="18"/>
      <c r="F668" s="18"/>
      <c r="G668" s="18"/>
      <c r="H668" s="18"/>
      <c r="I668" s="18"/>
      <c r="J668" s="18"/>
      <c r="K668" s="7"/>
      <c r="L668" s="7"/>
      <c r="M668" s="7"/>
      <c r="N668" s="7"/>
      <c r="O668" s="7"/>
      <c r="P668" s="7"/>
      <c r="Q668" s="7"/>
      <c r="R668" s="7"/>
      <c r="S668" s="7"/>
      <c r="T668" s="7"/>
      <c r="U668" s="7"/>
      <c r="V668" s="7"/>
      <c r="W668" s="7"/>
      <c r="X668" s="7"/>
      <c r="Y668" s="7"/>
      <c r="Z668" s="7"/>
      <c r="AA668" s="7"/>
      <c r="AB668" s="7"/>
      <c r="AC668" s="7"/>
      <c r="AD668" s="7"/>
      <c r="AE668" s="7"/>
      <c r="AF668" s="7"/>
      <c r="AG668" s="7"/>
      <c r="AH668" s="7"/>
      <c r="AI668" s="7"/>
      <c r="AJ668" s="7"/>
      <c r="AK668" s="7"/>
      <c r="AL668" s="7"/>
      <c r="AM668" s="7"/>
      <c r="AN668" s="7"/>
      <c r="AO668" s="7"/>
      <c r="AP668" s="7"/>
      <c r="AQ668" s="7"/>
      <c r="AR668" s="7"/>
      <c r="AS668" s="7"/>
      <c r="AT668" s="2"/>
      <c r="AU668" s="2"/>
    </row>
    <row r="669" spans="1:47" hidden="1" outlineLevel="1">
      <c r="A669" s="298"/>
      <c r="B669" s="55" t="s">
        <v>684</v>
      </c>
      <c r="C669" s="18" t="s">
        <v>306</v>
      </c>
      <c r="D669" s="18"/>
      <c r="E669" s="18"/>
      <c r="F669" s="18"/>
      <c r="G669" s="18"/>
      <c r="H669" s="18"/>
      <c r="I669" s="18"/>
      <c r="J669" s="18"/>
      <c r="K669" s="7"/>
      <c r="L669" s="7"/>
      <c r="M669" s="7"/>
      <c r="N669" s="7"/>
      <c r="O669" s="7"/>
      <c r="P669" s="7"/>
      <c r="Q669" s="7"/>
      <c r="R669" s="7"/>
      <c r="S669" s="7"/>
      <c r="T669" s="7"/>
      <c r="U669" s="7"/>
      <c r="V669" s="7"/>
      <c r="W669" s="7"/>
      <c r="X669" s="7"/>
      <c r="Y669" s="7"/>
      <c r="Z669" s="7"/>
      <c r="AA669" s="7"/>
      <c r="AB669" s="7"/>
      <c r="AC669" s="538">
        <v>77.37</v>
      </c>
      <c r="AD669" s="334">
        <v>75.062742413871774</v>
      </c>
      <c r="AE669" s="334">
        <v>71.765438690158391</v>
      </c>
      <c r="AF669" s="334">
        <v>68.612976621529612</v>
      </c>
      <c r="AG669" s="334">
        <v>65.598993704920645</v>
      </c>
      <c r="AH669" s="334">
        <v>62.71740692485767</v>
      </c>
      <c r="AI669" s="334">
        <v>59.962400476322109</v>
      </c>
      <c r="AJ669" s="334">
        <v>57.328414026916391</v>
      </c>
      <c r="AK669" s="334">
        <v>54.810131494641091</v>
      </c>
      <c r="AL669" s="334">
        <v>52.402470318633995</v>
      </c>
      <c r="AM669" s="334">
        <v>50.100571201216717</v>
      </c>
      <c r="AN669" s="334">
        <v>47.899788300545474</v>
      </c>
      <c r="AO669" s="334">
        <v>45.795679854072254</v>
      </c>
      <c r="AP669" s="334">
        <v>43.783999213892066</v>
      </c>
      <c r="AQ669" s="334">
        <v>43.783999213892066</v>
      </c>
      <c r="AR669" s="334">
        <v>43.783999213892066</v>
      </c>
      <c r="AS669" s="334">
        <v>43.783999213892066</v>
      </c>
      <c r="AT669" s="2"/>
      <c r="AU669" s="2"/>
    </row>
    <row r="670" spans="1:47" hidden="1" outlineLevel="1">
      <c r="A670" s="310"/>
      <c r="B670" s="322" t="s">
        <v>1099</v>
      </c>
      <c r="C670" s="310" t="s">
        <v>733</v>
      </c>
      <c r="D670" s="310"/>
      <c r="E670" s="310"/>
      <c r="F670" s="310"/>
      <c r="G670" s="310"/>
      <c r="H670" s="310"/>
      <c r="I670" s="310"/>
      <c r="J670" s="310"/>
      <c r="K670" s="311"/>
      <c r="L670" s="311"/>
      <c r="M670" s="311"/>
      <c r="N670" s="311"/>
      <c r="O670" s="311"/>
      <c r="P670" s="311"/>
      <c r="Q670" s="311"/>
      <c r="R670" s="311"/>
      <c r="S670" s="311"/>
      <c r="T670" s="311"/>
      <c r="U670" s="311"/>
      <c r="V670" s="311"/>
      <c r="W670" s="311"/>
      <c r="X670" s="311"/>
      <c r="Y670" s="311"/>
      <c r="Z670" s="311"/>
      <c r="AA670" s="311"/>
      <c r="AB670" s="311"/>
      <c r="AC670" s="311"/>
      <c r="AD670" s="311">
        <v>-2.9821088097818693E-2</v>
      </c>
      <c r="AE670" s="311">
        <v>-4.3927301583695288E-2</v>
      </c>
      <c r="AF670" s="623">
        <v>-4.3927301583695288E-2</v>
      </c>
      <c r="AG670" s="623">
        <v>-4.3927301583695288E-2</v>
      </c>
      <c r="AH670" s="623">
        <v>-4.3927301583695288E-2</v>
      </c>
      <c r="AI670" s="623">
        <v>-4.3927301583695288E-2</v>
      </c>
      <c r="AJ670" s="623">
        <v>-4.3927301583695288E-2</v>
      </c>
      <c r="AK670" s="623">
        <v>-4.3927301583695288E-2</v>
      </c>
      <c r="AL670" s="623">
        <v>-4.3927301583695288E-2</v>
      </c>
      <c r="AM670" s="623">
        <v>-4.3927301583695288E-2</v>
      </c>
      <c r="AN670" s="623">
        <v>-4.3927301583695288E-2</v>
      </c>
      <c r="AO670" s="623">
        <v>-4.3927301583695288E-2</v>
      </c>
      <c r="AP670" s="623">
        <v>-4.3927301583695288E-2</v>
      </c>
      <c r="AQ670" s="623">
        <v>-4.3927301583695288E-2</v>
      </c>
      <c r="AR670" s="623">
        <v>-4.3927301583695288E-2</v>
      </c>
      <c r="AS670" s="623">
        <v>-4.3927301583695288E-2</v>
      </c>
      <c r="AT670" s="313"/>
      <c r="AU670" s="513"/>
    </row>
    <row r="671" spans="1:47" hidden="1" outlineLevel="1">
      <c r="A671" s="298"/>
      <c r="B671" s="2"/>
      <c r="C671" s="18"/>
      <c r="D671" s="18"/>
      <c r="E671" s="18"/>
      <c r="F671" s="18"/>
      <c r="G671" s="18"/>
      <c r="H671" s="18"/>
      <c r="I671" s="18"/>
      <c r="J671" s="18"/>
      <c r="K671" s="7"/>
      <c r="L671" s="7"/>
      <c r="M671" s="7"/>
      <c r="N671" s="7"/>
      <c r="O671" s="7"/>
      <c r="P671" s="7"/>
      <c r="Q671" s="7"/>
      <c r="R671" s="7"/>
      <c r="S671" s="7"/>
      <c r="T671" s="7"/>
      <c r="U671" s="7"/>
      <c r="V671" s="7"/>
      <c r="W671" s="7"/>
      <c r="X671" s="7"/>
      <c r="Y671" s="7"/>
      <c r="Z671" s="7"/>
      <c r="AA671" s="7"/>
      <c r="AB671" s="7"/>
      <c r="AC671" s="7"/>
      <c r="AD671" s="7"/>
      <c r="AE671" s="7"/>
      <c r="AF671" s="7"/>
      <c r="AG671" s="7"/>
      <c r="AH671" s="7"/>
      <c r="AI671" s="7"/>
      <c r="AJ671" s="7"/>
      <c r="AK671" s="7"/>
      <c r="AL671" s="7"/>
      <c r="AM671" s="7"/>
      <c r="AN671" s="7"/>
      <c r="AO671" s="7"/>
      <c r="AP671" s="7"/>
      <c r="AQ671" s="7"/>
      <c r="AR671" s="7"/>
      <c r="AS671" s="7"/>
      <c r="AT671" s="2"/>
      <c r="AU671" s="2"/>
    </row>
    <row r="672" spans="1:47" hidden="1" outlineLevel="1">
      <c r="A672" s="298"/>
      <c r="B672" s="173" t="s">
        <v>731</v>
      </c>
      <c r="C672" s="169" t="s">
        <v>732</v>
      </c>
      <c r="D672" s="169"/>
      <c r="E672" s="169"/>
      <c r="F672" s="169"/>
      <c r="G672" s="169"/>
      <c r="H672" s="169"/>
      <c r="I672" s="169"/>
      <c r="J672" s="169"/>
      <c r="K672" s="26"/>
      <c r="L672" s="26"/>
      <c r="M672" s="26"/>
      <c r="N672" s="26"/>
      <c r="O672" s="26"/>
      <c r="P672" s="27"/>
      <c r="Q672" s="27"/>
      <c r="R672" s="27"/>
      <c r="S672" s="27"/>
      <c r="T672" s="27"/>
      <c r="U672" s="27"/>
      <c r="V672" s="27"/>
      <c r="W672" s="214"/>
      <c r="X672" s="214"/>
      <c r="Y672" s="214"/>
      <c r="Z672" s="214"/>
      <c r="AA672" s="214"/>
      <c r="AB672" s="214"/>
      <c r="AC672" s="553">
        <v>3300</v>
      </c>
      <c r="AD672" s="553">
        <v>3290</v>
      </c>
      <c r="AE672" s="553">
        <v>3226</v>
      </c>
      <c r="AF672" s="335">
        <v>3184.5150885454118</v>
      </c>
      <c r="AG672" s="335">
        <v>3110.3511488309891</v>
      </c>
      <c r="AH672" s="335">
        <v>3037.9144077012893</v>
      </c>
      <c r="AI672" s="335">
        <v>2967.164640554402</v>
      </c>
      <c r="AJ672" s="335">
        <v>2898.0625595762403</v>
      </c>
      <c r="AK672" s="335">
        <v>2830.5697919237518</v>
      </c>
      <c r="AL672" s="335">
        <v>2764.6488584162303</v>
      </c>
      <c r="AM672" s="335">
        <v>2700.2631527228768</v>
      </c>
      <c r="AN672" s="335">
        <v>2637.3769210350597</v>
      </c>
      <c r="AO672" s="335">
        <v>2575.9552422119905</v>
      </c>
      <c r="AP672" s="335">
        <v>2515.9640083887825</v>
      </c>
      <c r="AQ672" s="335">
        <v>2515.9640083887825</v>
      </c>
      <c r="AR672" s="335">
        <v>2515.9640083887825</v>
      </c>
      <c r="AS672" s="335">
        <v>2515.9640083887825</v>
      </c>
      <c r="AT672" s="2"/>
      <c r="AU672" s="2"/>
    </row>
    <row r="673" spans="1:47" hidden="1" outlineLevel="1">
      <c r="A673" s="310"/>
      <c r="B673" s="322" t="s">
        <v>1099</v>
      </c>
      <c r="C673" s="310" t="s">
        <v>733</v>
      </c>
      <c r="D673" s="310"/>
      <c r="E673" s="310"/>
      <c r="F673" s="310"/>
      <c r="G673" s="310"/>
      <c r="H673" s="310"/>
      <c r="I673" s="310"/>
      <c r="J673" s="310"/>
      <c r="K673" s="311"/>
      <c r="L673" s="311"/>
      <c r="M673" s="311"/>
      <c r="N673" s="311"/>
      <c r="O673" s="311"/>
      <c r="P673" s="311"/>
      <c r="Q673" s="312"/>
      <c r="R673" s="312"/>
      <c r="S673" s="312"/>
      <c r="T673" s="312"/>
      <c r="U673" s="312"/>
      <c r="V673" s="312"/>
      <c r="W673" s="313"/>
      <c r="X673" s="313"/>
      <c r="Y673" s="313"/>
      <c r="Z673" s="313"/>
      <c r="AA673" s="313"/>
      <c r="AB673" s="313"/>
      <c r="AC673" s="313"/>
      <c r="AD673" s="313">
        <v>-3.0303030303030498E-3</v>
      </c>
      <c r="AE673" s="313">
        <v>-1.9452887537993901E-2</v>
      </c>
      <c r="AF673" s="313">
        <v>-1.2859550977863621E-2</v>
      </c>
      <c r="AG673" s="313">
        <v>-2.3288927090089118E-2</v>
      </c>
      <c r="AH673" s="313">
        <v>-2.3288927090089118E-2</v>
      </c>
      <c r="AI673" s="313">
        <v>-2.328892709008934E-2</v>
      </c>
      <c r="AJ673" s="313">
        <v>-2.3288927090089007E-2</v>
      </c>
      <c r="AK673" s="313">
        <v>-2.3288927090089229E-2</v>
      </c>
      <c r="AL673" s="313">
        <v>-2.328892709008934E-2</v>
      </c>
      <c r="AM673" s="313">
        <v>-2.3288927090089007E-2</v>
      </c>
      <c r="AN673" s="313">
        <v>-2.3288927090089118E-2</v>
      </c>
      <c r="AO673" s="313">
        <v>-2.3288927090089118E-2</v>
      </c>
      <c r="AP673" s="313">
        <v>-2.3288927090089118E-2</v>
      </c>
      <c r="AQ673" s="313">
        <v>-2.3288927090089118E-2</v>
      </c>
      <c r="AR673" s="313">
        <v>-2.3288927090089118E-2</v>
      </c>
      <c r="AS673" s="313">
        <v>-2.3288927090089118E-2</v>
      </c>
      <c r="AT673" s="313"/>
      <c r="AU673" s="513"/>
    </row>
    <row r="674" spans="1:47" hidden="1" outlineLevel="1">
      <c r="A674" s="298"/>
      <c r="B674" s="2"/>
      <c r="C674" s="18"/>
      <c r="D674" s="18"/>
      <c r="E674" s="18"/>
      <c r="F674" s="18"/>
      <c r="G674" s="18"/>
      <c r="H674" s="18"/>
      <c r="I674" s="18"/>
      <c r="J674" s="18"/>
      <c r="K674" s="2"/>
      <c r="L674" s="2"/>
      <c r="M674" s="2"/>
      <c r="N674" s="2"/>
      <c r="O674" s="2"/>
      <c r="P674" s="2"/>
      <c r="Q674" s="2"/>
      <c r="R674" s="2"/>
      <c r="S674" s="2"/>
      <c r="T674" s="2"/>
      <c r="U674" s="3"/>
      <c r="V674" s="3"/>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row>
    <row r="675" spans="1:47" ht="15.6" hidden="1" outlineLevel="1">
      <c r="A675" s="298"/>
      <c r="B675" s="237" t="s">
        <v>1084</v>
      </c>
      <c r="C675" s="238"/>
      <c r="D675" s="239"/>
      <c r="E675" s="239"/>
      <c r="F675" s="239"/>
      <c r="G675" s="239"/>
      <c r="H675" s="239"/>
      <c r="I675" s="239"/>
      <c r="J675" s="239"/>
      <c r="K675" s="239"/>
      <c r="L675" s="239"/>
      <c r="M675" s="239"/>
      <c r="N675" s="239"/>
      <c r="O675" s="239"/>
      <c r="P675" s="239"/>
      <c r="Q675" s="239"/>
      <c r="R675" s="239"/>
      <c r="S675" s="239"/>
      <c r="T675" s="239"/>
      <c r="U675" s="239"/>
      <c r="V675" s="239"/>
      <c r="W675" s="239"/>
      <c r="X675" s="239"/>
      <c r="Y675" s="239"/>
      <c r="Z675" s="239"/>
      <c r="AA675" s="239"/>
      <c r="AB675" s="239"/>
      <c r="AC675" s="239"/>
      <c r="AD675" s="239"/>
      <c r="AE675" s="239"/>
      <c r="AF675" s="239"/>
      <c r="AG675" s="239"/>
      <c r="AH675" s="239"/>
      <c r="AI675" s="239"/>
      <c r="AJ675" s="239"/>
      <c r="AK675" s="239"/>
      <c r="AL675" s="239"/>
      <c r="AM675" s="239"/>
      <c r="AN675" s="239"/>
      <c r="AO675" s="270"/>
      <c r="AP675" s="240"/>
      <c r="AQ675" s="240"/>
      <c r="AR675" s="240"/>
      <c r="AS675" s="240"/>
      <c r="AT675" s="2"/>
      <c r="AU675" s="2"/>
    </row>
    <row r="676" spans="1:47" hidden="1" outlineLevel="1">
      <c r="A676" s="298"/>
      <c r="B676" s="55"/>
      <c r="C676" s="18"/>
      <c r="D676" s="18"/>
      <c r="E676" s="18"/>
      <c r="F676" s="18"/>
      <c r="G676" s="18"/>
      <c r="H676" s="18"/>
      <c r="I676" s="18"/>
      <c r="J676" s="18"/>
      <c r="K676" s="7"/>
      <c r="L676" s="7"/>
      <c r="M676" s="7"/>
      <c r="N676" s="7"/>
      <c r="O676" s="7"/>
      <c r="P676" s="7"/>
      <c r="Q676" s="7"/>
      <c r="R676" s="7"/>
      <c r="S676" s="7"/>
      <c r="T676" s="7"/>
      <c r="U676" s="7"/>
      <c r="V676" s="7"/>
      <c r="W676" s="7"/>
      <c r="X676" s="7"/>
      <c r="Y676" s="7"/>
      <c r="Z676" s="7"/>
      <c r="AA676" s="7"/>
      <c r="AB676" s="7"/>
      <c r="AC676" s="7"/>
      <c r="AD676" s="7"/>
      <c r="AE676" s="31"/>
      <c r="AF676" s="31"/>
      <c r="AG676" s="31"/>
      <c r="AH676" s="31"/>
      <c r="AI676" s="31"/>
      <c r="AJ676" s="31"/>
      <c r="AK676" s="31"/>
      <c r="AL676" s="31"/>
      <c r="AM676" s="31"/>
      <c r="AN676" s="31"/>
      <c r="AO676" s="31"/>
      <c r="AP676" s="31"/>
      <c r="AQ676" s="31"/>
      <c r="AR676" s="31"/>
      <c r="AS676" s="31"/>
      <c r="AT676" s="2"/>
      <c r="AU676" s="2"/>
    </row>
    <row r="677" spans="1:47" hidden="1" outlineLevel="1">
      <c r="A677" s="298"/>
      <c r="B677" s="55" t="s">
        <v>1082</v>
      </c>
      <c r="C677" s="18" t="s">
        <v>846</v>
      </c>
      <c r="D677" s="18"/>
      <c r="E677" s="18"/>
      <c r="F677" s="18"/>
      <c r="G677" s="18"/>
      <c r="H677" s="18"/>
      <c r="I677" s="18"/>
      <c r="J677" s="18"/>
      <c r="K677" s="7"/>
      <c r="L677" s="7"/>
      <c r="M677" s="7"/>
      <c r="N677" s="7"/>
      <c r="O677" s="7"/>
      <c r="P677" s="7"/>
      <c r="Q677" s="7"/>
      <c r="R677" s="7"/>
      <c r="S677" s="7"/>
      <c r="T677" s="7"/>
      <c r="U677" s="7"/>
      <c r="V677" s="7"/>
      <c r="W677" s="7"/>
      <c r="X677" s="7"/>
      <c r="Y677" s="7"/>
      <c r="Z677" s="7"/>
      <c r="AA677" s="7"/>
      <c r="AB677" s="7"/>
      <c r="AC677" s="532">
        <v>1954</v>
      </c>
      <c r="AD677" s="538">
        <v>1412</v>
      </c>
      <c r="AE677" s="538">
        <v>960</v>
      </c>
      <c r="AF677" s="334">
        <v>652.69121813031165</v>
      </c>
      <c r="AG677" s="334">
        <v>443.75606898378129</v>
      </c>
      <c r="AH677" s="334">
        <v>301.70384293514877</v>
      </c>
      <c r="AI677" s="334">
        <v>205.12442579160256</v>
      </c>
      <c r="AJ677" s="334">
        <v>139.46136597729353</v>
      </c>
      <c r="AK677" s="334">
        <v>94.817925876913449</v>
      </c>
      <c r="AL677" s="334">
        <v>64.465445355408576</v>
      </c>
      <c r="AM677" s="334">
        <v>43.829197975348606</v>
      </c>
      <c r="AN677" s="334">
        <v>29.798888141880074</v>
      </c>
      <c r="AO677" s="334">
        <v>20.259867291929794</v>
      </c>
      <c r="AP677" s="334">
        <v>13.774414022841787</v>
      </c>
      <c r="AQ677" s="334">
        <v>13.774414022841787</v>
      </c>
      <c r="AR677" s="334">
        <v>13.774414022841787</v>
      </c>
      <c r="AS677" s="334">
        <v>13.774414022841787</v>
      </c>
      <c r="AT677" s="2"/>
      <c r="AU677" s="2"/>
    </row>
    <row r="678" spans="1:47" hidden="1" outlineLevel="1">
      <c r="A678" s="310"/>
      <c r="B678" s="322" t="s">
        <v>1099</v>
      </c>
      <c r="C678" s="310" t="s">
        <v>733</v>
      </c>
      <c r="D678" s="310"/>
      <c r="E678" s="310"/>
      <c r="F678" s="310"/>
      <c r="G678" s="310"/>
      <c r="H678" s="310"/>
      <c r="I678" s="310"/>
      <c r="J678" s="310"/>
      <c r="K678" s="311"/>
      <c r="L678" s="311"/>
      <c r="M678" s="311"/>
      <c r="N678" s="311"/>
      <c r="O678" s="311"/>
      <c r="P678" s="311"/>
      <c r="Q678" s="311"/>
      <c r="R678" s="311"/>
      <c r="S678" s="311"/>
      <c r="T678" s="311"/>
      <c r="U678" s="311"/>
      <c r="V678" s="311"/>
      <c r="W678" s="311"/>
      <c r="X678" s="311"/>
      <c r="Y678" s="311"/>
      <c r="Z678" s="311"/>
      <c r="AA678" s="311"/>
      <c r="AB678" s="311"/>
      <c r="AC678" s="311"/>
      <c r="AD678" s="311">
        <v>-0.2773797338792221</v>
      </c>
      <c r="AE678" s="311">
        <v>-0.32011331444759206</v>
      </c>
      <c r="AF678" s="623">
        <v>-0.32011331444759206</v>
      </c>
      <c r="AG678" s="623">
        <v>-0.32011331444759206</v>
      </c>
      <c r="AH678" s="623">
        <v>-0.32011331444759206</v>
      </c>
      <c r="AI678" s="623">
        <v>-0.32011331444759206</v>
      </c>
      <c r="AJ678" s="623">
        <v>-0.32011331444759206</v>
      </c>
      <c r="AK678" s="623">
        <v>-0.32011331444759206</v>
      </c>
      <c r="AL678" s="623">
        <v>-0.32011331444759206</v>
      </c>
      <c r="AM678" s="623">
        <v>-0.32011331444759206</v>
      </c>
      <c r="AN678" s="623">
        <v>-0.32011331444759206</v>
      </c>
      <c r="AO678" s="623">
        <v>-0.32011331444759206</v>
      </c>
      <c r="AP678" s="623">
        <v>-0.32011331444759206</v>
      </c>
      <c r="AQ678" s="623">
        <v>-0.32011331444759206</v>
      </c>
      <c r="AR678" s="623">
        <v>-0.32011331444759206</v>
      </c>
      <c r="AS678" s="623">
        <v>-0.32011331444759206</v>
      </c>
      <c r="AT678" s="313"/>
      <c r="AU678" s="513"/>
    </row>
    <row r="679" spans="1:47" hidden="1" outlineLevel="1">
      <c r="A679" s="298"/>
      <c r="B679" s="55" t="s">
        <v>1083</v>
      </c>
      <c r="C679" s="18" t="s">
        <v>846</v>
      </c>
      <c r="D679" s="18"/>
      <c r="E679" s="18"/>
      <c r="F679" s="18"/>
      <c r="G679" s="18"/>
      <c r="H679" s="18"/>
      <c r="I679" s="18"/>
      <c r="J679" s="18"/>
      <c r="K679" s="7"/>
      <c r="L679" s="7"/>
      <c r="M679" s="7"/>
      <c r="N679" s="7"/>
      <c r="O679" s="7"/>
      <c r="P679" s="7"/>
      <c r="Q679" s="7"/>
      <c r="R679" s="7"/>
      <c r="S679" s="7"/>
      <c r="T679" s="7"/>
      <c r="U679" s="7"/>
      <c r="V679" s="7"/>
      <c r="W679" s="7"/>
      <c r="X679" s="7"/>
      <c r="Y679" s="7"/>
      <c r="Z679" s="7"/>
      <c r="AA679" s="7"/>
      <c r="AB679" s="7"/>
      <c r="AC679" s="334">
        <v>1954</v>
      </c>
      <c r="AD679" s="334">
        <v>1683</v>
      </c>
      <c r="AE679" s="334">
        <v>1186</v>
      </c>
      <c r="AF679" s="334">
        <v>806.34560906515583</v>
      </c>
      <c r="AG679" s="334">
        <v>548.22364355704644</v>
      </c>
      <c r="AH679" s="334">
        <v>372.72995595946503</v>
      </c>
      <c r="AI679" s="334">
        <v>253.41413436337567</v>
      </c>
      <c r="AJ679" s="334">
        <v>172.29289588444806</v>
      </c>
      <c r="AK679" s="334">
        <v>117.13964592710349</v>
      </c>
      <c r="AL679" s="334">
        <v>79.641685616161013</v>
      </c>
      <c r="AM679" s="334">
        <v>54.147321665378591</v>
      </c>
      <c r="AN679" s="334">
        <v>36.814043058614338</v>
      </c>
      <c r="AO679" s="334">
        <v>25.029377716904932</v>
      </c>
      <c r="AP679" s="334">
        <v>17.017140657385792</v>
      </c>
      <c r="AQ679" s="334">
        <v>17.017140657385792</v>
      </c>
      <c r="AR679" s="334">
        <v>17.017140657385792</v>
      </c>
      <c r="AS679" s="334">
        <v>17.017140657385792</v>
      </c>
      <c r="AT679" s="2"/>
      <c r="AU679" s="2"/>
    </row>
    <row r="680" spans="1:47" hidden="1" outlineLevel="1">
      <c r="A680" s="298"/>
      <c r="B680" s="2"/>
      <c r="C680" s="18"/>
      <c r="D680" s="18"/>
      <c r="E680" s="18"/>
      <c r="F680" s="18"/>
      <c r="G680" s="18"/>
      <c r="H680" s="18"/>
      <c r="I680" s="18"/>
      <c r="J680" s="18"/>
      <c r="K680" s="7"/>
      <c r="L680" s="7"/>
      <c r="M680" s="7"/>
      <c r="N680" s="7"/>
      <c r="O680" s="7"/>
      <c r="P680" s="7"/>
      <c r="Q680" s="7"/>
      <c r="R680" s="7"/>
      <c r="S680" s="7"/>
      <c r="T680" s="7"/>
      <c r="U680" s="7"/>
      <c r="V680" s="7"/>
      <c r="W680" s="7"/>
      <c r="X680" s="7"/>
      <c r="Y680" s="7"/>
      <c r="Z680" s="7"/>
      <c r="AA680" s="7"/>
      <c r="AB680" s="7"/>
      <c r="AC680" s="7"/>
      <c r="AD680" s="7"/>
      <c r="AE680" s="7"/>
      <c r="AF680" s="7"/>
      <c r="AG680" s="7"/>
      <c r="AH680" s="7"/>
      <c r="AI680" s="7"/>
      <c r="AJ680" s="7"/>
      <c r="AK680" s="7"/>
      <c r="AL680" s="7"/>
      <c r="AM680" s="7"/>
      <c r="AN680" s="7"/>
      <c r="AO680" s="7"/>
      <c r="AP680" s="7"/>
      <c r="AQ680" s="7"/>
      <c r="AR680" s="7"/>
      <c r="AS680" s="7"/>
      <c r="AT680" s="2"/>
      <c r="AU680" s="2"/>
    </row>
    <row r="681" spans="1:47" hidden="1" outlineLevel="1">
      <c r="A681" s="298"/>
      <c r="B681" s="55" t="s">
        <v>684</v>
      </c>
      <c r="C681" s="18" t="s">
        <v>306</v>
      </c>
      <c r="D681" s="18"/>
      <c r="E681" s="18"/>
      <c r="F681" s="18"/>
      <c r="G681" s="18"/>
      <c r="H681" s="18"/>
      <c r="I681" s="18"/>
      <c r="J681" s="18"/>
      <c r="K681" s="7"/>
      <c r="L681" s="7"/>
      <c r="M681" s="7"/>
      <c r="N681" s="7"/>
      <c r="O681" s="7"/>
      <c r="P681" s="7"/>
      <c r="Q681" s="7"/>
      <c r="R681" s="7"/>
      <c r="S681" s="7"/>
      <c r="T681" s="7"/>
      <c r="U681" s="7"/>
      <c r="V681" s="7"/>
      <c r="W681" s="7"/>
      <c r="X681" s="7"/>
      <c r="Y681" s="7"/>
      <c r="Z681" s="7"/>
      <c r="AA681" s="7"/>
      <c r="AB681" s="7"/>
      <c r="AC681" s="533">
        <v>44.16</v>
      </c>
      <c r="AD681" s="42">
        <v>43.622499504852449</v>
      </c>
      <c r="AE681" s="42">
        <v>42.650365373805514</v>
      </c>
      <c r="AF681" s="334">
        <v>41.699895401838717</v>
      </c>
      <c r="AG681" s="334">
        <v>40.770606799824861</v>
      </c>
      <c r="AH681" s="334">
        <v>39.862027537666918</v>
      </c>
      <c r="AI681" s="334">
        <v>38.973696104531406</v>
      </c>
      <c r="AJ681" s="334">
        <v>38.105161274424951</v>
      </c>
      <c r="AK681" s="334">
        <v>37.255981876995058</v>
      </c>
      <c r="AL681" s="334">
        <v>36.425726573438595</v>
      </c>
      <c r="AM681" s="334">
        <v>35.6139736374042</v>
      </c>
      <c r="AN681" s="334">
        <v>34.820310740777309</v>
      </c>
      <c r="AO681" s="334">
        <v>34.044334744239002</v>
      </c>
      <c r="AP681" s="334">
        <v>33.285651492492271</v>
      </c>
      <c r="AQ681" s="334">
        <v>33.285651492492271</v>
      </c>
      <c r="AR681" s="334">
        <v>33.285651492492271</v>
      </c>
      <c r="AS681" s="334">
        <v>33.285651492492271</v>
      </c>
      <c r="AT681" s="2"/>
      <c r="AU681" s="2"/>
    </row>
    <row r="682" spans="1:47" hidden="1" outlineLevel="1">
      <c r="A682" s="310"/>
      <c r="B682" s="322" t="s">
        <v>1099</v>
      </c>
      <c r="C682" s="310" t="s">
        <v>733</v>
      </c>
      <c r="D682" s="310"/>
      <c r="E682" s="310"/>
      <c r="F682" s="310"/>
      <c r="G682" s="310"/>
      <c r="H682" s="310"/>
      <c r="I682" s="310"/>
      <c r="J682" s="310"/>
      <c r="K682" s="311"/>
      <c r="L682" s="311"/>
      <c r="M682" s="311"/>
      <c r="N682" s="311"/>
      <c r="O682" s="311"/>
      <c r="P682" s="311"/>
      <c r="Q682" s="311"/>
      <c r="R682" s="311"/>
      <c r="S682" s="311"/>
      <c r="T682" s="311"/>
      <c r="U682" s="311"/>
      <c r="V682" s="311"/>
      <c r="W682" s="311"/>
      <c r="X682" s="311"/>
      <c r="Y682" s="311"/>
      <c r="Z682" s="311"/>
      <c r="AA682" s="311"/>
      <c r="AB682" s="311"/>
      <c r="AC682" s="311"/>
      <c r="AD682" s="311">
        <v>-1.2171659763304921E-2</v>
      </c>
      <c r="AE682" s="311">
        <v>-2.2285154268585572E-2</v>
      </c>
      <c r="AF682" s="623">
        <v>-2.2285154268585572E-2</v>
      </c>
      <c r="AG682" s="623">
        <v>-2.2285154268585572E-2</v>
      </c>
      <c r="AH682" s="623">
        <v>-2.2285154268585572E-2</v>
      </c>
      <c r="AI682" s="623">
        <v>-2.2285154268585572E-2</v>
      </c>
      <c r="AJ682" s="623">
        <v>-2.2285154268585572E-2</v>
      </c>
      <c r="AK682" s="623">
        <v>-2.2285154268585572E-2</v>
      </c>
      <c r="AL682" s="623">
        <v>-2.2285154268585572E-2</v>
      </c>
      <c r="AM682" s="623">
        <v>-2.2285154268585572E-2</v>
      </c>
      <c r="AN682" s="623">
        <v>-2.2285154268585572E-2</v>
      </c>
      <c r="AO682" s="623">
        <v>-2.2285154268585572E-2</v>
      </c>
      <c r="AP682" s="623">
        <v>-2.2285154268585572E-2</v>
      </c>
      <c r="AQ682" s="623">
        <v>-2.2285154268585572E-2</v>
      </c>
      <c r="AR682" s="623">
        <v>-2.2285154268585572E-2</v>
      </c>
      <c r="AS682" s="623">
        <v>-2.2285154268585572E-2</v>
      </c>
      <c r="AT682" s="313"/>
      <c r="AU682" s="513"/>
    </row>
    <row r="683" spans="1:47" hidden="1" outlineLevel="1">
      <c r="A683" s="298"/>
      <c r="B683" s="2"/>
      <c r="C683" s="18"/>
      <c r="D683" s="18"/>
      <c r="E683" s="18"/>
      <c r="F683" s="18"/>
      <c r="G683" s="18"/>
      <c r="H683" s="18"/>
      <c r="I683" s="18"/>
      <c r="J683" s="18"/>
      <c r="K683" s="7"/>
      <c r="L683" s="7"/>
      <c r="M683" s="7"/>
      <c r="N683" s="7"/>
      <c r="O683" s="7"/>
      <c r="P683" s="7"/>
      <c r="Q683" s="7"/>
      <c r="R683" s="7"/>
      <c r="S683" s="7"/>
      <c r="T683" s="7"/>
      <c r="U683" s="7"/>
      <c r="V683" s="7"/>
      <c r="W683" s="7"/>
      <c r="X683" s="7"/>
      <c r="Y683" s="7"/>
      <c r="Z683" s="7"/>
      <c r="AA683" s="7"/>
      <c r="AB683" s="7"/>
      <c r="AC683" s="7"/>
      <c r="AD683" s="7"/>
      <c r="AE683" s="7"/>
      <c r="AF683" s="7"/>
      <c r="AG683" s="7"/>
      <c r="AH683" s="7"/>
      <c r="AI683" s="7"/>
      <c r="AJ683" s="7"/>
      <c r="AK683" s="7"/>
      <c r="AL683" s="7"/>
      <c r="AM683" s="7"/>
      <c r="AN683" s="7"/>
      <c r="AO683" s="7"/>
      <c r="AP683" s="7"/>
      <c r="AQ683" s="7"/>
      <c r="AR683" s="7"/>
      <c r="AS683" s="7"/>
      <c r="AT683" s="2"/>
      <c r="AU683" s="2"/>
    </row>
    <row r="684" spans="1:47" hidden="1" outlineLevel="1">
      <c r="A684" s="298"/>
      <c r="B684" s="173" t="s">
        <v>731</v>
      </c>
      <c r="C684" s="169" t="s">
        <v>732</v>
      </c>
      <c r="D684" s="169"/>
      <c r="E684" s="169"/>
      <c r="F684" s="169"/>
      <c r="G684" s="169"/>
      <c r="H684" s="169"/>
      <c r="I684" s="169"/>
      <c r="J684" s="169"/>
      <c r="K684" s="26"/>
      <c r="L684" s="26"/>
      <c r="M684" s="26"/>
      <c r="N684" s="26"/>
      <c r="O684" s="26"/>
      <c r="P684" s="27"/>
      <c r="Q684" s="27"/>
      <c r="R684" s="27"/>
      <c r="S684" s="27"/>
      <c r="T684" s="27"/>
      <c r="U684" s="27"/>
      <c r="V684" s="27"/>
      <c r="W684" s="214"/>
      <c r="X684" s="214"/>
      <c r="Y684" s="214"/>
      <c r="Z684" s="214"/>
      <c r="AA684" s="214"/>
      <c r="AB684" s="214"/>
      <c r="AC684" s="553">
        <v>1186</v>
      </c>
      <c r="AD684" s="553">
        <v>881</v>
      </c>
      <c r="AE684" s="553">
        <v>607</v>
      </c>
      <c r="AF684" s="335">
        <v>326.60586630879232</v>
      </c>
      <c r="AG684" s="335">
        <v>217.10645044288444</v>
      </c>
      <c r="AH684" s="335">
        <v>144.31832274361003</v>
      </c>
      <c r="AI684" s="335">
        <v>95.933484413021063</v>
      </c>
      <c r="AJ684" s="335">
        <v>63.770374105396449</v>
      </c>
      <c r="AK684" s="335">
        <v>42.390419137014575</v>
      </c>
      <c r="AL684" s="335">
        <v>28.178408231412714</v>
      </c>
      <c r="AM684" s="335">
        <v>18.731182814911616</v>
      </c>
      <c r="AN684" s="335">
        <v>12.451278537959139</v>
      </c>
      <c r="AO684" s="335">
        <v>8.2768044475238014</v>
      </c>
      <c r="AP684" s="335">
        <v>5.5018841361313227</v>
      </c>
      <c r="AQ684" s="335">
        <v>5.5018841361313227</v>
      </c>
      <c r="AR684" s="335">
        <v>5.5018841361313227</v>
      </c>
      <c r="AS684" s="335">
        <v>5.5018841361313227</v>
      </c>
      <c r="AT684" s="2"/>
      <c r="AU684" s="2"/>
    </row>
    <row r="685" spans="1:47" hidden="1" outlineLevel="1">
      <c r="A685" s="310"/>
      <c r="B685" s="322" t="s">
        <v>1099</v>
      </c>
      <c r="C685" s="310" t="s">
        <v>733</v>
      </c>
      <c r="D685" s="310"/>
      <c r="E685" s="310"/>
      <c r="F685" s="310"/>
      <c r="G685" s="310"/>
      <c r="H685" s="310"/>
      <c r="I685" s="310"/>
      <c r="J685" s="310"/>
      <c r="K685" s="311"/>
      <c r="L685" s="311"/>
      <c r="M685" s="311"/>
      <c r="N685" s="311"/>
      <c r="O685" s="311"/>
      <c r="P685" s="311"/>
      <c r="Q685" s="312"/>
      <c r="R685" s="312"/>
      <c r="S685" s="312"/>
      <c r="T685" s="312"/>
      <c r="U685" s="312"/>
      <c r="V685" s="312"/>
      <c r="W685" s="313"/>
      <c r="X685" s="313"/>
      <c r="Y685" s="313"/>
      <c r="Z685" s="313"/>
      <c r="AA685" s="313"/>
      <c r="AB685" s="313"/>
      <c r="AC685" s="313"/>
      <c r="AD685" s="313">
        <v>-0.25716694772344018</v>
      </c>
      <c r="AE685" s="313">
        <v>-0.31101021566401821</v>
      </c>
      <c r="AF685" s="313">
        <v>-0.46193432239078691</v>
      </c>
      <c r="AG685" s="313">
        <v>-0.33526469412028481</v>
      </c>
      <c r="AH685" s="313">
        <v>-0.33526469412028481</v>
      </c>
      <c r="AI685" s="313">
        <v>-0.33526469412028481</v>
      </c>
      <c r="AJ685" s="313">
        <v>-0.33526469412028481</v>
      </c>
      <c r="AK685" s="313">
        <v>-0.33526469412028481</v>
      </c>
      <c r="AL685" s="313">
        <v>-0.33526469412028481</v>
      </c>
      <c r="AM685" s="313">
        <v>-0.33526469412028481</v>
      </c>
      <c r="AN685" s="313">
        <v>-0.3352646941202847</v>
      </c>
      <c r="AO685" s="313">
        <v>-0.33526469412028481</v>
      </c>
      <c r="AP685" s="313">
        <v>-0.33526469412028459</v>
      </c>
      <c r="AQ685" s="313">
        <v>-0.33526469412028459</v>
      </c>
      <c r="AR685" s="313">
        <v>-0.33526469412028459</v>
      </c>
      <c r="AS685" s="313">
        <v>-0.33526469412028459</v>
      </c>
      <c r="AT685" s="313"/>
      <c r="AU685" s="513"/>
    </row>
    <row r="686" spans="1:47" hidden="1" outlineLevel="1">
      <c r="A686" s="298"/>
      <c r="B686" s="2"/>
      <c r="C686" s="18"/>
      <c r="D686" s="18"/>
      <c r="E686" s="18"/>
      <c r="F686" s="18"/>
      <c r="G686" s="18"/>
      <c r="H686" s="18"/>
      <c r="I686" s="18"/>
      <c r="J686" s="18"/>
      <c r="K686" s="2"/>
      <c r="L686" s="2"/>
      <c r="M686" s="2"/>
      <c r="N686" s="2"/>
      <c r="O686" s="2"/>
      <c r="P686" s="2"/>
      <c r="Q686" s="2"/>
      <c r="R686" s="2"/>
      <c r="S686" s="2"/>
      <c r="T686" s="2"/>
      <c r="U686" s="3"/>
      <c r="V686" s="3"/>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row>
    <row r="687" spans="1:47" ht="15.6" hidden="1" outlineLevel="1">
      <c r="A687" s="298"/>
      <c r="B687" s="237" t="s">
        <v>1085</v>
      </c>
      <c r="C687" s="238"/>
      <c r="D687" s="239"/>
      <c r="E687" s="239"/>
      <c r="F687" s="239"/>
      <c r="G687" s="239"/>
      <c r="H687" s="239"/>
      <c r="I687" s="239"/>
      <c r="J687" s="239"/>
      <c r="K687" s="239"/>
      <c r="L687" s="239"/>
      <c r="M687" s="239"/>
      <c r="N687" s="239"/>
      <c r="O687" s="239"/>
      <c r="P687" s="239"/>
      <c r="Q687" s="239"/>
      <c r="R687" s="239"/>
      <c r="S687" s="239"/>
      <c r="T687" s="239"/>
      <c r="U687" s="239"/>
      <c r="V687" s="239"/>
      <c r="W687" s="239"/>
      <c r="X687" s="239"/>
      <c r="Y687" s="239"/>
      <c r="Z687" s="239"/>
      <c r="AA687" s="239"/>
      <c r="AB687" s="239"/>
      <c r="AC687" s="239"/>
      <c r="AD687" s="239"/>
      <c r="AE687" s="239"/>
      <c r="AF687" s="239"/>
      <c r="AG687" s="239"/>
      <c r="AH687" s="239"/>
      <c r="AI687" s="239"/>
      <c r="AJ687" s="239"/>
      <c r="AK687" s="239"/>
      <c r="AL687" s="239"/>
      <c r="AM687" s="239"/>
      <c r="AN687" s="239"/>
      <c r="AO687" s="270"/>
      <c r="AP687" s="240"/>
      <c r="AQ687" s="240"/>
      <c r="AR687" s="240"/>
      <c r="AS687" s="240"/>
      <c r="AT687" s="2"/>
      <c r="AU687" s="2"/>
    </row>
    <row r="688" spans="1:47" hidden="1" outlineLevel="1">
      <c r="A688" s="298"/>
      <c r="B688" s="55"/>
      <c r="C688" s="18"/>
      <c r="D688" s="18"/>
      <c r="E688" s="18"/>
      <c r="F688" s="18"/>
      <c r="G688" s="18"/>
      <c r="H688" s="18"/>
      <c r="I688" s="18"/>
      <c r="J688" s="18"/>
      <c r="K688" s="7"/>
      <c r="L688" s="7"/>
      <c r="M688" s="7"/>
      <c r="N688" s="7"/>
      <c r="O688" s="7"/>
      <c r="P688" s="7"/>
      <c r="Q688" s="7"/>
      <c r="R688" s="7"/>
      <c r="S688" s="7"/>
      <c r="T688" s="7"/>
      <c r="U688" s="7"/>
      <c r="V688" s="7"/>
      <c r="W688" s="7"/>
      <c r="X688" s="7"/>
      <c r="Y688" s="7"/>
      <c r="Z688" s="7"/>
      <c r="AA688" s="7"/>
      <c r="AB688" s="7"/>
      <c r="AC688" s="7"/>
      <c r="AD688" s="7"/>
      <c r="AE688" s="31"/>
      <c r="AF688" s="31"/>
      <c r="AG688" s="31"/>
      <c r="AH688" s="31"/>
      <c r="AI688" s="31"/>
      <c r="AJ688" s="31"/>
      <c r="AK688" s="31"/>
      <c r="AL688" s="31"/>
      <c r="AM688" s="31"/>
      <c r="AN688" s="31"/>
      <c r="AO688" s="31"/>
      <c r="AP688" s="31"/>
      <c r="AQ688" s="31"/>
      <c r="AR688" s="31"/>
      <c r="AS688" s="31"/>
      <c r="AT688" s="2"/>
      <c r="AU688" s="2"/>
    </row>
    <row r="689" spans="1:47" hidden="1" outlineLevel="1">
      <c r="A689" s="298"/>
      <c r="B689" s="173" t="s">
        <v>731</v>
      </c>
      <c r="C689" s="169" t="s">
        <v>732</v>
      </c>
      <c r="D689" s="169"/>
      <c r="E689" s="169"/>
      <c r="F689" s="169"/>
      <c r="G689" s="169"/>
      <c r="H689" s="169"/>
      <c r="I689" s="169"/>
      <c r="J689" s="169"/>
      <c r="K689" s="26"/>
      <c r="L689" s="26"/>
      <c r="M689" s="26"/>
      <c r="N689" s="26"/>
      <c r="O689" s="26"/>
      <c r="P689" s="27"/>
      <c r="Q689" s="27"/>
      <c r="R689" s="27"/>
      <c r="S689" s="27"/>
      <c r="T689" s="27"/>
      <c r="U689" s="27"/>
      <c r="V689" s="27"/>
      <c r="W689" s="214"/>
      <c r="X689" s="214"/>
      <c r="Y689" s="214"/>
      <c r="Z689" s="214"/>
      <c r="AA689" s="214"/>
      <c r="AB689" s="214"/>
      <c r="AC689" s="553">
        <v>269</v>
      </c>
      <c r="AD689" s="553">
        <v>247</v>
      </c>
      <c r="AE689" s="553">
        <v>201</v>
      </c>
      <c r="AF689" s="335">
        <v>190.95</v>
      </c>
      <c r="AG689" s="335">
        <v>181.40249999999997</v>
      </c>
      <c r="AH689" s="335">
        <v>172.33237499999996</v>
      </c>
      <c r="AI689" s="335">
        <v>163.71575624999994</v>
      </c>
      <c r="AJ689" s="335">
        <v>155.52996843749995</v>
      </c>
      <c r="AK689" s="335">
        <v>147.75347001562494</v>
      </c>
      <c r="AL689" s="335">
        <v>140.36579651484368</v>
      </c>
      <c r="AM689" s="335">
        <v>133.34750668910149</v>
      </c>
      <c r="AN689" s="335">
        <v>126.68013135464641</v>
      </c>
      <c r="AO689" s="335">
        <v>120.34612478691407</v>
      </c>
      <c r="AP689" s="335">
        <v>114.32881854756836</v>
      </c>
      <c r="AQ689" s="335">
        <v>114.32881854756836</v>
      </c>
      <c r="AR689" s="335">
        <v>114.32881854756836</v>
      </c>
      <c r="AS689" s="335">
        <v>114.32881854756836</v>
      </c>
      <c r="AT689" s="2"/>
      <c r="AU689" s="2"/>
    </row>
    <row r="690" spans="1:47" hidden="1" outlineLevel="1">
      <c r="A690" s="310"/>
      <c r="B690" s="322" t="s">
        <v>1099</v>
      </c>
      <c r="C690" s="310" t="s">
        <v>733</v>
      </c>
      <c r="D690" s="310"/>
      <c r="E690" s="310"/>
      <c r="F690" s="310"/>
      <c r="G690" s="310"/>
      <c r="H690" s="310"/>
      <c r="I690" s="310"/>
      <c r="J690" s="310"/>
      <c r="K690" s="311"/>
      <c r="L690" s="311"/>
      <c r="M690" s="311"/>
      <c r="N690" s="311"/>
      <c r="O690" s="311"/>
      <c r="P690" s="311"/>
      <c r="Q690" s="311"/>
      <c r="R690" s="311"/>
      <c r="S690" s="311"/>
      <c r="T690" s="311"/>
      <c r="U690" s="311"/>
      <c r="V690" s="311"/>
      <c r="W690" s="311"/>
      <c r="X690" s="311"/>
      <c r="Y690" s="311"/>
      <c r="Z690" s="311"/>
      <c r="AA690" s="311"/>
      <c r="AB690" s="311"/>
      <c r="AC690" s="311"/>
      <c r="AD690" s="311">
        <v>-8.1784386617100413E-2</v>
      </c>
      <c r="AE690" s="311">
        <v>-0.18623481781376516</v>
      </c>
      <c r="AF690" s="623">
        <v>-0.05</v>
      </c>
      <c r="AG690" s="623">
        <v>-0.05</v>
      </c>
      <c r="AH690" s="623">
        <v>-0.05</v>
      </c>
      <c r="AI690" s="623">
        <v>-0.05</v>
      </c>
      <c r="AJ690" s="623">
        <v>-0.05</v>
      </c>
      <c r="AK690" s="623">
        <v>-0.05</v>
      </c>
      <c r="AL690" s="623">
        <v>-0.05</v>
      </c>
      <c r="AM690" s="623">
        <v>-0.05</v>
      </c>
      <c r="AN690" s="623">
        <v>-0.05</v>
      </c>
      <c r="AO690" s="623">
        <v>-0.05</v>
      </c>
      <c r="AP690" s="623">
        <v>-0.05</v>
      </c>
      <c r="AQ690" s="623">
        <v>-0.05</v>
      </c>
      <c r="AR690" s="623">
        <v>-0.05</v>
      </c>
      <c r="AS690" s="623">
        <v>-0.05</v>
      </c>
      <c r="AT690" s="313"/>
      <c r="AU690" s="513"/>
    </row>
    <row r="691" spans="1:47" hidden="1" outlineLevel="1">
      <c r="A691" s="298"/>
      <c r="B691" s="2"/>
      <c r="C691" s="18"/>
      <c r="D691" s="18"/>
      <c r="E691" s="18"/>
      <c r="F691" s="18"/>
      <c r="G691" s="18"/>
      <c r="H691" s="18"/>
      <c r="I691" s="18"/>
      <c r="J691" s="18"/>
      <c r="K691" s="2"/>
      <c r="L691" s="2"/>
      <c r="M691" s="2"/>
      <c r="N691" s="2"/>
      <c r="O691" s="2"/>
      <c r="P691" s="2"/>
      <c r="Q691" s="2"/>
      <c r="R691" s="2"/>
      <c r="S691" s="2"/>
      <c r="T691" s="2"/>
      <c r="U691" s="3"/>
      <c r="V691" s="3"/>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row>
    <row r="692" spans="1:47" ht="15.6" hidden="1" outlineLevel="1">
      <c r="A692" s="298"/>
      <c r="B692" s="237" t="s">
        <v>1178</v>
      </c>
      <c r="C692" s="238"/>
      <c r="D692" s="239"/>
      <c r="E692" s="239"/>
      <c r="F692" s="239"/>
      <c r="G692" s="239"/>
      <c r="H692" s="239"/>
      <c r="I692" s="239"/>
      <c r="J692" s="239"/>
      <c r="K692" s="239"/>
      <c r="L692" s="239"/>
      <c r="M692" s="239"/>
      <c r="N692" s="239"/>
      <c r="O692" s="239"/>
      <c r="P692" s="239"/>
      <c r="Q692" s="239"/>
      <c r="R692" s="239"/>
      <c r="S692" s="239"/>
      <c r="T692" s="239"/>
      <c r="U692" s="239"/>
      <c r="V692" s="239"/>
      <c r="W692" s="239"/>
      <c r="X692" s="239"/>
      <c r="Y692" s="239"/>
      <c r="Z692" s="239"/>
      <c r="AA692" s="239"/>
      <c r="AB692" s="239"/>
      <c r="AC692" s="239"/>
      <c r="AD692" s="239"/>
      <c r="AE692" s="239"/>
      <c r="AF692" s="239"/>
      <c r="AG692" s="239"/>
      <c r="AH692" s="239"/>
      <c r="AI692" s="239"/>
      <c r="AJ692" s="239"/>
      <c r="AK692" s="239"/>
      <c r="AL692" s="239"/>
      <c r="AM692" s="239"/>
      <c r="AN692" s="239"/>
      <c r="AO692" s="270"/>
      <c r="AP692" s="240"/>
      <c r="AQ692" s="240"/>
      <c r="AR692" s="240"/>
      <c r="AS692" s="240"/>
      <c r="AT692" s="2"/>
      <c r="AU692" s="2"/>
    </row>
    <row r="693" spans="1:47" hidden="1" outlineLevel="1">
      <c r="A693" s="298"/>
      <c r="B693" s="55"/>
      <c r="C693" s="18"/>
      <c r="D693" s="18"/>
      <c r="E693" s="18"/>
      <c r="F693" s="18"/>
      <c r="G693" s="18"/>
      <c r="H693" s="18"/>
      <c r="I693" s="18"/>
      <c r="J693" s="18"/>
      <c r="K693" s="7"/>
      <c r="L693" s="7"/>
      <c r="M693" s="7"/>
      <c r="N693" s="7"/>
      <c r="O693" s="7"/>
      <c r="P693" s="7"/>
      <c r="Q693" s="7"/>
      <c r="R693" s="7"/>
      <c r="S693" s="7"/>
      <c r="T693" s="7"/>
      <c r="U693" s="7"/>
      <c r="V693" s="7"/>
      <c r="W693" s="7"/>
      <c r="X693" s="7"/>
      <c r="Y693" s="7"/>
      <c r="Z693" s="7"/>
      <c r="AA693" s="7"/>
      <c r="AB693" s="7"/>
      <c r="AC693" s="7"/>
      <c r="AD693" s="7"/>
      <c r="AE693" s="31"/>
      <c r="AF693" s="31"/>
      <c r="AG693" s="31"/>
      <c r="AH693" s="31"/>
      <c r="AI693" s="31"/>
      <c r="AJ693" s="31"/>
      <c r="AK693" s="31"/>
      <c r="AL693" s="31"/>
      <c r="AM693" s="31"/>
      <c r="AN693" s="31"/>
      <c r="AO693" s="31"/>
      <c r="AP693" s="31"/>
      <c r="AQ693" s="31"/>
      <c r="AR693" s="31"/>
      <c r="AS693" s="31"/>
      <c r="AT693" s="2"/>
      <c r="AU693" s="2"/>
    </row>
    <row r="694" spans="1:47" hidden="1" outlineLevel="1">
      <c r="A694" s="298"/>
      <c r="B694" s="173" t="s">
        <v>731</v>
      </c>
      <c r="C694" s="169" t="s">
        <v>732</v>
      </c>
      <c r="D694" s="169"/>
      <c r="E694" s="169"/>
      <c r="F694" s="169"/>
      <c r="G694" s="169"/>
      <c r="H694" s="169"/>
      <c r="I694" s="169"/>
      <c r="J694" s="169"/>
      <c r="K694" s="26"/>
      <c r="L694" s="26"/>
      <c r="M694" s="26"/>
      <c r="N694" s="26"/>
      <c r="O694" s="26"/>
      <c r="P694" s="27"/>
      <c r="Q694" s="27"/>
      <c r="R694" s="27"/>
      <c r="S694" s="27"/>
      <c r="T694" s="27"/>
      <c r="U694" s="27"/>
      <c r="V694" s="27"/>
      <c r="W694" s="214"/>
      <c r="X694" s="214"/>
      <c r="Y694" s="214"/>
      <c r="Z694" s="214"/>
      <c r="AA694" s="214"/>
      <c r="AB694" s="214"/>
      <c r="AC694" s="554"/>
      <c r="AD694" s="553"/>
      <c r="AE694" s="553">
        <v>-25</v>
      </c>
      <c r="AF694" s="335">
        <v>-25</v>
      </c>
      <c r="AG694" s="335">
        <v>-25</v>
      </c>
      <c r="AH694" s="335">
        <v>-25</v>
      </c>
      <c r="AI694" s="335">
        <v>-25</v>
      </c>
      <c r="AJ694" s="335">
        <v>-25</v>
      </c>
      <c r="AK694" s="335">
        <v>-25</v>
      </c>
      <c r="AL694" s="335">
        <v>-25</v>
      </c>
      <c r="AM694" s="335">
        <v>-25</v>
      </c>
      <c r="AN694" s="335">
        <v>-25</v>
      </c>
      <c r="AO694" s="335">
        <v>-25</v>
      </c>
      <c r="AP694" s="335">
        <v>-25</v>
      </c>
      <c r="AQ694" s="335">
        <v>-25</v>
      </c>
      <c r="AR694" s="335">
        <v>-25</v>
      </c>
      <c r="AS694" s="335">
        <v>-25</v>
      </c>
      <c r="AT694" s="2"/>
      <c r="AU694" s="2"/>
    </row>
    <row r="695" spans="1:47" hidden="1" outlineLevel="1">
      <c r="A695" s="310"/>
      <c r="B695" s="322" t="s">
        <v>1099</v>
      </c>
      <c r="C695" s="310" t="s">
        <v>733</v>
      </c>
      <c r="D695" s="310"/>
      <c r="E695" s="310"/>
      <c r="F695" s="310"/>
      <c r="G695" s="310"/>
      <c r="H695" s="310"/>
      <c r="I695" s="310"/>
      <c r="J695" s="310"/>
      <c r="K695" s="311"/>
      <c r="L695" s="311"/>
      <c r="M695" s="311"/>
      <c r="N695" s="311"/>
      <c r="O695" s="311"/>
      <c r="P695" s="311"/>
      <c r="Q695" s="311"/>
      <c r="R695" s="311"/>
      <c r="S695" s="311"/>
      <c r="T695" s="311"/>
      <c r="U695" s="311"/>
      <c r="V695" s="311"/>
      <c r="W695" s="311"/>
      <c r="X695" s="311"/>
      <c r="Y695" s="311"/>
      <c r="Z695" s="311"/>
      <c r="AA695" s="311"/>
      <c r="AB695" s="311"/>
      <c r="AC695" s="311"/>
      <c r="AD695" s="311"/>
      <c r="AE695" s="311"/>
      <c r="AF695" s="623">
        <v>0</v>
      </c>
      <c r="AG695" s="623">
        <v>0</v>
      </c>
      <c r="AH695" s="623">
        <v>0</v>
      </c>
      <c r="AI695" s="623">
        <v>0</v>
      </c>
      <c r="AJ695" s="623">
        <v>0</v>
      </c>
      <c r="AK695" s="623">
        <v>0</v>
      </c>
      <c r="AL695" s="623">
        <v>0</v>
      </c>
      <c r="AM695" s="623">
        <v>0</v>
      </c>
      <c r="AN695" s="623">
        <v>0</v>
      </c>
      <c r="AO695" s="623">
        <v>0</v>
      </c>
      <c r="AP695" s="623">
        <v>0</v>
      </c>
      <c r="AQ695" s="623">
        <v>0</v>
      </c>
      <c r="AR695" s="623">
        <v>0</v>
      </c>
      <c r="AS695" s="623">
        <v>0</v>
      </c>
      <c r="AT695" s="313"/>
      <c r="AU695" s="513"/>
    </row>
    <row r="696" spans="1:47" hidden="1" outlineLevel="1">
      <c r="A696" s="298"/>
      <c r="B696" s="55"/>
      <c r="C696" s="18"/>
      <c r="D696" s="18"/>
      <c r="E696" s="18"/>
      <c r="F696" s="18"/>
      <c r="G696" s="18"/>
      <c r="H696" s="18"/>
      <c r="I696" s="18"/>
      <c r="J696" s="18"/>
      <c r="K696" s="7"/>
      <c r="L696" s="7"/>
      <c r="M696" s="7"/>
      <c r="N696" s="7"/>
      <c r="O696" s="7"/>
      <c r="P696" s="7"/>
      <c r="Q696" s="7"/>
      <c r="R696" s="7"/>
      <c r="S696" s="7"/>
      <c r="T696" s="7"/>
      <c r="U696" s="7"/>
      <c r="V696" s="7"/>
      <c r="W696" s="7"/>
      <c r="X696" s="7"/>
      <c r="Y696" s="7"/>
      <c r="Z696" s="7"/>
      <c r="AA696" s="7"/>
      <c r="AB696" s="7"/>
      <c r="AC696" s="7"/>
      <c r="AD696" s="7"/>
      <c r="AE696" s="31"/>
      <c r="AF696" s="31"/>
      <c r="AG696" s="31"/>
      <c r="AH696" s="31"/>
      <c r="AI696" s="31"/>
      <c r="AJ696" s="31"/>
      <c r="AK696" s="31"/>
      <c r="AL696" s="31"/>
      <c r="AM696" s="31"/>
      <c r="AN696" s="31"/>
      <c r="AO696" s="31"/>
      <c r="AP696" s="31"/>
      <c r="AQ696" s="31"/>
      <c r="AR696" s="31"/>
      <c r="AS696" s="31"/>
      <c r="AT696" s="2"/>
      <c r="AU696" s="2"/>
    </row>
    <row r="697" spans="1:47" ht="18" hidden="1" outlineLevel="1">
      <c r="A697" s="299" t="s">
        <v>1163</v>
      </c>
      <c r="B697" s="740" t="s">
        <v>1266</v>
      </c>
      <c r="C697" s="741"/>
      <c r="D697" s="742"/>
      <c r="E697" s="742"/>
      <c r="F697" s="742"/>
      <c r="G697" s="742"/>
      <c r="H697" s="742"/>
      <c r="I697" s="742"/>
      <c r="J697" s="742"/>
      <c r="K697" s="742"/>
      <c r="L697" s="742"/>
      <c r="M697" s="742"/>
      <c r="N697" s="742"/>
      <c r="O697" s="742"/>
      <c r="P697" s="742"/>
      <c r="Q697" s="742"/>
      <c r="R697" s="742"/>
      <c r="S697" s="742"/>
      <c r="T697" s="742"/>
      <c r="U697" s="742"/>
      <c r="V697" s="742"/>
      <c r="W697" s="742"/>
      <c r="X697" s="742"/>
      <c r="Y697" s="742"/>
      <c r="Z697" s="742"/>
      <c r="AA697" s="742"/>
      <c r="AB697" s="742"/>
      <c r="AC697" s="742"/>
      <c r="AD697" s="742"/>
      <c r="AE697" s="742"/>
      <c r="AF697" s="742"/>
      <c r="AG697" s="742"/>
      <c r="AH697" s="742"/>
      <c r="AI697" s="742"/>
      <c r="AJ697" s="742"/>
      <c r="AK697" s="742"/>
      <c r="AL697" s="742"/>
      <c r="AM697" s="742"/>
      <c r="AN697" s="742"/>
      <c r="AO697" s="742"/>
      <c r="AP697" s="742"/>
      <c r="AQ697" s="742"/>
      <c r="AR697" s="742"/>
      <c r="AS697" s="742"/>
      <c r="AT697" s="2"/>
      <c r="AU697" s="2"/>
    </row>
    <row r="698" spans="1:47" hidden="1" outlineLevel="1">
      <c r="A698" s="298"/>
      <c r="B698" s="6"/>
      <c r="C698" s="21"/>
      <c r="D698" s="21"/>
      <c r="E698" s="21"/>
      <c r="F698" s="21"/>
      <c r="G698" s="21"/>
      <c r="H698" s="21"/>
      <c r="I698" s="21"/>
      <c r="J698" s="21"/>
      <c r="K698" s="34"/>
      <c r="L698" s="34"/>
      <c r="M698" s="34"/>
      <c r="N698" s="34"/>
      <c r="O698" s="34"/>
      <c r="P698" s="34"/>
      <c r="Q698" s="34"/>
      <c r="R698" s="34"/>
      <c r="S698" s="34"/>
      <c r="T698" s="34"/>
      <c r="U698" s="34"/>
      <c r="V698" s="34"/>
      <c r="W698" s="34"/>
      <c r="X698" s="34"/>
      <c r="Y698" s="34"/>
      <c r="Z698" s="34"/>
      <c r="AA698" s="34"/>
      <c r="AB698" s="34"/>
      <c r="AC698" s="34"/>
      <c r="AD698" s="34"/>
      <c r="AE698" s="34"/>
      <c r="AF698" s="34"/>
      <c r="AG698" s="34"/>
      <c r="AH698" s="34"/>
      <c r="AI698" s="34"/>
      <c r="AJ698" s="34"/>
      <c r="AK698" s="34"/>
      <c r="AL698" s="34"/>
      <c r="AM698" s="34"/>
      <c r="AN698" s="34"/>
      <c r="AO698" s="34"/>
      <c r="AP698" s="34"/>
      <c r="AQ698" s="34"/>
      <c r="AR698" s="34"/>
      <c r="AS698" s="34"/>
      <c r="AT698" s="2"/>
      <c r="AU698" s="2"/>
    </row>
    <row r="699" spans="1:47" ht="15.6" hidden="1" outlineLevel="1">
      <c r="A699" s="298"/>
      <c r="B699" s="237" t="s">
        <v>1180</v>
      </c>
      <c r="C699" s="238"/>
      <c r="D699" s="239"/>
      <c r="E699" s="239"/>
      <c r="F699" s="239"/>
      <c r="G699" s="239"/>
      <c r="H699" s="239"/>
      <c r="I699" s="239"/>
      <c r="J699" s="239"/>
      <c r="K699" s="239"/>
      <c r="L699" s="239"/>
      <c r="M699" s="239"/>
      <c r="N699" s="239"/>
      <c r="O699" s="239"/>
      <c r="P699" s="239"/>
      <c r="Q699" s="239"/>
      <c r="R699" s="239"/>
      <c r="S699" s="239"/>
      <c r="T699" s="239"/>
      <c r="U699" s="239"/>
      <c r="V699" s="239"/>
      <c r="W699" s="239"/>
      <c r="X699" s="239"/>
      <c r="Y699" s="239"/>
      <c r="Z699" s="239"/>
      <c r="AA699" s="239"/>
      <c r="AB699" s="239"/>
      <c r="AC699" s="239"/>
      <c r="AD699" s="239"/>
      <c r="AE699" s="239"/>
      <c r="AF699" s="239"/>
      <c r="AG699" s="239"/>
      <c r="AH699" s="239"/>
      <c r="AI699" s="239"/>
      <c r="AJ699" s="239"/>
      <c r="AK699" s="239"/>
      <c r="AL699" s="239"/>
      <c r="AM699" s="239"/>
      <c r="AN699" s="239"/>
      <c r="AO699" s="270"/>
      <c r="AP699" s="240"/>
      <c r="AQ699" s="240"/>
      <c r="AR699" s="240"/>
      <c r="AS699" s="240"/>
      <c r="AT699" s="2"/>
      <c r="AU699" s="2"/>
    </row>
    <row r="700" spans="1:47" hidden="1" outlineLevel="1">
      <c r="A700" s="298"/>
      <c r="B700" s="6"/>
      <c r="C700" s="21"/>
      <c r="D700" s="21"/>
      <c r="E700" s="21"/>
      <c r="F700" s="21"/>
      <c r="G700" s="21"/>
      <c r="H700" s="21"/>
      <c r="I700" s="21"/>
      <c r="J700" s="21"/>
      <c r="K700" s="34"/>
      <c r="L700" s="34"/>
      <c r="M700" s="34"/>
      <c r="N700" s="34"/>
      <c r="O700" s="34"/>
      <c r="P700" s="34"/>
      <c r="Q700" s="34"/>
      <c r="R700" s="34"/>
      <c r="S700" s="34"/>
      <c r="T700" s="34"/>
      <c r="U700" s="34"/>
      <c r="V700" s="34"/>
      <c r="W700" s="34"/>
      <c r="X700" s="34"/>
      <c r="Y700" s="34"/>
      <c r="Z700" s="34"/>
      <c r="AA700" s="34"/>
      <c r="AB700" s="34"/>
      <c r="AC700" s="34"/>
      <c r="AD700" s="34"/>
      <c r="AE700" s="34"/>
      <c r="AF700" s="34"/>
      <c r="AG700" s="34"/>
      <c r="AH700" s="34"/>
      <c r="AI700" s="34"/>
      <c r="AJ700" s="34"/>
      <c r="AK700" s="34"/>
      <c r="AL700" s="34"/>
      <c r="AM700" s="34"/>
      <c r="AN700" s="34"/>
      <c r="AO700" s="34"/>
      <c r="AP700" s="34"/>
      <c r="AQ700" s="34"/>
      <c r="AR700" s="34"/>
      <c r="AS700" s="34"/>
      <c r="AT700" s="2"/>
      <c r="AU700" s="2"/>
    </row>
    <row r="701" spans="1:47" hidden="1" outlineLevel="1">
      <c r="A701" s="298"/>
      <c r="B701" s="340" t="s">
        <v>1183</v>
      </c>
      <c r="C701" s="169" t="s">
        <v>732</v>
      </c>
      <c r="D701" s="169"/>
      <c r="E701" s="169"/>
      <c r="F701" s="169"/>
      <c r="G701" s="169"/>
      <c r="H701" s="169"/>
      <c r="I701" s="169"/>
      <c r="J701" s="169"/>
      <c r="K701" s="27"/>
      <c r="L701" s="27"/>
      <c r="M701" s="27"/>
      <c r="N701" s="555"/>
      <c r="O701" s="555"/>
      <c r="P701" s="555"/>
      <c r="Q701" s="555"/>
      <c r="R701" s="555"/>
      <c r="S701" s="555"/>
      <c r="T701" s="555"/>
      <c r="U701" s="555"/>
      <c r="V701" s="555"/>
      <c r="W701" s="554"/>
      <c r="X701" s="554"/>
      <c r="Y701" s="554"/>
      <c r="Z701" s="554"/>
      <c r="AA701" s="554"/>
      <c r="AB701" s="554"/>
      <c r="AC701" s="552">
        <v>1284</v>
      </c>
      <c r="AD701" s="552">
        <v>1218</v>
      </c>
      <c r="AE701" s="552">
        <v>1151</v>
      </c>
      <c r="AF701" s="278">
        <v>1087.6855500821018</v>
      </c>
      <c r="AG701" s="278">
        <v>1027.8539147327581</v>
      </c>
      <c r="AH701" s="278">
        <v>971.31351055616142</v>
      </c>
      <c r="AI701" s="278">
        <v>990.73978076728463</v>
      </c>
      <c r="AJ701" s="278">
        <v>1010.5545763826303</v>
      </c>
      <c r="AK701" s="278">
        <v>1030.7656679102829</v>
      </c>
      <c r="AL701" s="278">
        <v>1051.3809812684885</v>
      </c>
      <c r="AM701" s="278">
        <v>1072.4086008938584</v>
      </c>
      <c r="AN701" s="278">
        <v>1093.8567729117356</v>
      </c>
      <c r="AO701" s="278">
        <v>1115.7339083699703</v>
      </c>
      <c r="AP701" s="278">
        <v>1138.0485865373698</v>
      </c>
      <c r="AQ701" s="278">
        <v>1138.0485865373698</v>
      </c>
      <c r="AR701" s="278">
        <v>1138.0485865373698</v>
      </c>
      <c r="AS701" s="278">
        <v>1138.0485865373698</v>
      </c>
      <c r="AT701" s="2"/>
      <c r="AU701" s="2"/>
    </row>
    <row r="702" spans="1:47" hidden="1" outlineLevel="1">
      <c r="A702" s="308"/>
      <c r="B702" s="322" t="s">
        <v>1099</v>
      </c>
      <c r="C702" s="310" t="s">
        <v>733</v>
      </c>
      <c r="D702" s="310"/>
      <c r="E702" s="310"/>
      <c r="F702" s="310"/>
      <c r="G702" s="310"/>
      <c r="H702" s="310"/>
      <c r="I702" s="310"/>
      <c r="J702" s="310"/>
      <c r="K702" s="311"/>
      <c r="L702" s="311"/>
      <c r="M702" s="311"/>
      <c r="N702" s="311"/>
      <c r="O702" s="311"/>
      <c r="P702" s="311"/>
      <c r="Q702" s="311"/>
      <c r="R702" s="311"/>
      <c r="S702" s="311"/>
      <c r="T702" s="311"/>
      <c r="U702" s="311"/>
      <c r="V702" s="311"/>
      <c r="W702" s="311"/>
      <c r="X702" s="311"/>
      <c r="Y702" s="311"/>
      <c r="Z702" s="311"/>
      <c r="AA702" s="311"/>
      <c r="AB702" s="311"/>
      <c r="AC702" s="311"/>
      <c r="AD702" s="311">
        <v>-5.1401869158878455E-2</v>
      </c>
      <c r="AE702" s="316">
        <v>-5.5008210180623962E-2</v>
      </c>
      <c r="AF702" s="623">
        <v>-5.5008210180623962E-2</v>
      </c>
      <c r="AG702" s="623">
        <v>-5.5008210180623962E-2</v>
      </c>
      <c r="AH702" s="623">
        <v>-5.5008210180623962E-2</v>
      </c>
      <c r="AI702" s="623">
        <v>0.02</v>
      </c>
      <c r="AJ702" s="623">
        <v>0.02</v>
      </c>
      <c r="AK702" s="623">
        <v>0.02</v>
      </c>
      <c r="AL702" s="623">
        <v>0.02</v>
      </c>
      <c r="AM702" s="623">
        <v>0.02</v>
      </c>
      <c r="AN702" s="623">
        <v>0.02</v>
      </c>
      <c r="AO702" s="623">
        <v>0.02</v>
      </c>
      <c r="AP702" s="623">
        <v>0.02</v>
      </c>
      <c r="AQ702" s="623">
        <v>0.02</v>
      </c>
      <c r="AR702" s="623">
        <v>0.02</v>
      </c>
      <c r="AS702" s="623">
        <v>0.02</v>
      </c>
      <c r="AT702" s="312"/>
      <c r="AU702" s="514"/>
    </row>
    <row r="703" spans="1:47" hidden="1" outlineLevel="1">
      <c r="A703" s="298"/>
      <c r="B703" s="6"/>
      <c r="C703" s="21"/>
      <c r="D703" s="21"/>
      <c r="E703" s="21"/>
      <c r="F703" s="21"/>
      <c r="G703" s="21"/>
      <c r="H703" s="21"/>
      <c r="I703" s="21"/>
      <c r="J703" s="21"/>
      <c r="K703" s="34"/>
      <c r="L703" s="34"/>
      <c r="M703" s="34"/>
      <c r="N703" s="34"/>
      <c r="O703" s="34"/>
      <c r="P703" s="34"/>
      <c r="Q703" s="34"/>
      <c r="R703" s="34"/>
      <c r="S703" s="34"/>
      <c r="T703" s="34"/>
      <c r="U703" s="34"/>
      <c r="V703" s="34"/>
      <c r="W703" s="34"/>
      <c r="X703" s="34"/>
      <c r="Y703" s="34"/>
      <c r="Z703" s="34"/>
      <c r="AA703" s="34"/>
      <c r="AB703" s="34"/>
      <c r="AC703" s="34"/>
      <c r="AD703" s="34"/>
      <c r="AE703" s="34"/>
      <c r="AF703" s="34"/>
      <c r="AG703" s="34"/>
      <c r="AH703" s="34"/>
      <c r="AI703" s="34"/>
      <c r="AJ703" s="34"/>
      <c r="AK703" s="34"/>
      <c r="AL703" s="34"/>
      <c r="AM703" s="34"/>
      <c r="AN703" s="34"/>
      <c r="AO703" s="34"/>
      <c r="AP703" s="34"/>
      <c r="AQ703" s="34"/>
      <c r="AR703" s="34"/>
      <c r="AS703" s="34"/>
      <c r="AT703" s="2"/>
      <c r="AU703" s="2"/>
    </row>
    <row r="704" spans="1:47" ht="15.6" hidden="1" outlineLevel="1">
      <c r="A704" s="298"/>
      <c r="B704" s="237" t="s">
        <v>1181</v>
      </c>
      <c r="C704" s="238"/>
      <c r="D704" s="239"/>
      <c r="E704" s="239"/>
      <c r="F704" s="239"/>
      <c r="G704" s="239"/>
      <c r="H704" s="239"/>
      <c r="I704" s="239"/>
      <c r="J704" s="239"/>
      <c r="K704" s="239"/>
      <c r="L704" s="239"/>
      <c r="M704" s="239"/>
      <c r="N704" s="239"/>
      <c r="O704" s="239"/>
      <c r="P704" s="239"/>
      <c r="Q704" s="239"/>
      <c r="R704" s="239"/>
      <c r="S704" s="239"/>
      <c r="T704" s="239"/>
      <c r="U704" s="239"/>
      <c r="V704" s="239"/>
      <c r="W704" s="239"/>
      <c r="X704" s="239"/>
      <c r="Y704" s="239"/>
      <c r="Z704" s="239"/>
      <c r="AA704" s="239"/>
      <c r="AB704" s="239"/>
      <c r="AC704" s="239"/>
      <c r="AD704" s="239"/>
      <c r="AE704" s="239"/>
      <c r="AF704" s="239"/>
      <c r="AG704" s="239"/>
      <c r="AH704" s="239"/>
      <c r="AI704" s="239"/>
      <c r="AJ704" s="239"/>
      <c r="AK704" s="239"/>
      <c r="AL704" s="239"/>
      <c r="AM704" s="239"/>
      <c r="AN704" s="239"/>
      <c r="AO704" s="270"/>
      <c r="AP704" s="240"/>
      <c r="AQ704" s="240"/>
      <c r="AR704" s="240"/>
      <c r="AS704" s="240"/>
      <c r="AT704" s="2"/>
      <c r="AU704" s="2"/>
    </row>
    <row r="705" spans="1:47" hidden="1" outlineLevel="1">
      <c r="A705" s="298"/>
      <c r="B705" s="6"/>
      <c r="C705" s="21"/>
      <c r="D705" s="21"/>
      <c r="E705" s="21"/>
      <c r="F705" s="21"/>
      <c r="G705" s="21"/>
      <c r="H705" s="21"/>
      <c r="I705" s="21"/>
      <c r="J705" s="21"/>
      <c r="K705" s="34"/>
      <c r="L705" s="34"/>
      <c r="M705" s="34"/>
      <c r="N705" s="34"/>
      <c r="O705" s="34"/>
      <c r="P705" s="34"/>
      <c r="Q705" s="34"/>
      <c r="R705" s="34"/>
      <c r="S705" s="34"/>
      <c r="T705" s="34"/>
      <c r="U705" s="34"/>
      <c r="V705" s="34"/>
      <c r="W705" s="34"/>
      <c r="X705" s="34"/>
      <c r="Y705" s="34"/>
      <c r="Z705" s="34"/>
      <c r="AA705" s="34"/>
      <c r="AB705" s="34"/>
      <c r="AC705" s="34"/>
      <c r="AD705" s="34"/>
      <c r="AE705" s="34"/>
      <c r="AF705" s="34"/>
      <c r="AG705" s="34"/>
      <c r="AH705" s="34"/>
      <c r="AI705" s="34"/>
      <c r="AJ705" s="34"/>
      <c r="AK705" s="34"/>
      <c r="AL705" s="34"/>
      <c r="AM705" s="34"/>
      <c r="AN705" s="34"/>
      <c r="AO705" s="34"/>
      <c r="AP705" s="34"/>
      <c r="AQ705" s="34"/>
      <c r="AR705" s="34"/>
      <c r="AS705" s="34"/>
      <c r="AT705" s="2"/>
      <c r="AU705" s="2"/>
    </row>
    <row r="706" spans="1:47" hidden="1" outlineLevel="1">
      <c r="A706" s="298"/>
      <c r="B706" s="340" t="s">
        <v>1184</v>
      </c>
      <c r="C706" s="169" t="s">
        <v>732</v>
      </c>
      <c r="D706" s="169"/>
      <c r="E706" s="169"/>
      <c r="F706" s="169"/>
      <c r="G706" s="169"/>
      <c r="H706" s="169"/>
      <c r="I706" s="169"/>
      <c r="J706" s="169"/>
      <c r="K706" s="27"/>
      <c r="L706" s="27"/>
      <c r="M706" s="27"/>
      <c r="N706" s="555"/>
      <c r="O706" s="555"/>
      <c r="P706" s="555"/>
      <c r="Q706" s="555"/>
      <c r="R706" s="555"/>
      <c r="S706" s="555"/>
      <c r="T706" s="555"/>
      <c r="U706" s="555"/>
      <c r="V706" s="555"/>
      <c r="W706" s="554"/>
      <c r="X706" s="554"/>
      <c r="Y706" s="554"/>
      <c r="Z706" s="554"/>
      <c r="AA706" s="554"/>
      <c r="AB706" s="554"/>
      <c r="AC706" s="552">
        <v>733</v>
      </c>
      <c r="AD706" s="552">
        <v>618</v>
      </c>
      <c r="AE706" s="552">
        <v>431</v>
      </c>
      <c r="AF706" s="278">
        <v>366.34999999999997</v>
      </c>
      <c r="AG706" s="278">
        <v>311.39749999999998</v>
      </c>
      <c r="AH706" s="278">
        <v>264.68787499999996</v>
      </c>
      <c r="AI706" s="278">
        <v>224.98469374999996</v>
      </c>
      <c r="AJ706" s="278">
        <v>191.23698968749997</v>
      </c>
      <c r="AK706" s="278">
        <v>162.55144123437498</v>
      </c>
      <c r="AL706" s="278">
        <v>138.16872504921872</v>
      </c>
      <c r="AM706" s="278">
        <v>117.44341629183592</v>
      </c>
      <c r="AN706" s="278">
        <v>99.826903848060525</v>
      </c>
      <c r="AO706" s="278">
        <v>84.852868270851445</v>
      </c>
      <c r="AP706" s="278">
        <v>72.124938030223731</v>
      </c>
      <c r="AQ706" s="278">
        <v>72.124938030223731</v>
      </c>
      <c r="AR706" s="278">
        <v>72.124938030223731</v>
      </c>
      <c r="AS706" s="278">
        <v>72.124938030223731</v>
      </c>
      <c r="AT706" s="2"/>
      <c r="AU706" s="2"/>
    </row>
    <row r="707" spans="1:47" hidden="1" outlineLevel="1">
      <c r="A707" s="308"/>
      <c r="B707" s="322" t="s">
        <v>1099</v>
      </c>
      <c r="C707" s="310" t="s">
        <v>733</v>
      </c>
      <c r="D707" s="310"/>
      <c r="E707" s="310"/>
      <c r="F707" s="310"/>
      <c r="G707" s="310"/>
      <c r="H707" s="310"/>
      <c r="I707" s="310"/>
      <c r="J707" s="310"/>
      <c r="K707" s="311"/>
      <c r="L707" s="311"/>
      <c r="M707" s="311"/>
      <c r="N707" s="311"/>
      <c r="O707" s="311"/>
      <c r="P707" s="311"/>
      <c r="Q707" s="311"/>
      <c r="R707" s="311"/>
      <c r="S707" s="311"/>
      <c r="T707" s="311"/>
      <c r="U707" s="311"/>
      <c r="V707" s="311"/>
      <c r="W707" s="311"/>
      <c r="X707" s="311"/>
      <c r="Y707" s="311"/>
      <c r="Z707" s="311"/>
      <c r="AA707" s="311"/>
      <c r="AB707" s="311"/>
      <c r="AC707" s="311"/>
      <c r="AD707" s="311">
        <v>-0.15688949522510232</v>
      </c>
      <c r="AE707" s="316">
        <v>-0.30258899676375406</v>
      </c>
      <c r="AF707" s="623">
        <v>-0.15</v>
      </c>
      <c r="AG707" s="623">
        <v>-0.15</v>
      </c>
      <c r="AH707" s="623">
        <v>-0.15</v>
      </c>
      <c r="AI707" s="623">
        <v>-0.15</v>
      </c>
      <c r="AJ707" s="623">
        <v>-0.15</v>
      </c>
      <c r="AK707" s="623">
        <v>-0.15</v>
      </c>
      <c r="AL707" s="623">
        <v>-0.15</v>
      </c>
      <c r="AM707" s="623">
        <v>-0.15</v>
      </c>
      <c r="AN707" s="623">
        <v>-0.15</v>
      </c>
      <c r="AO707" s="623">
        <v>-0.15</v>
      </c>
      <c r="AP707" s="623">
        <v>-0.15</v>
      </c>
      <c r="AQ707" s="623">
        <v>-0.15</v>
      </c>
      <c r="AR707" s="623">
        <v>-0.15</v>
      </c>
      <c r="AS707" s="623">
        <v>-0.15</v>
      </c>
      <c r="AT707" s="312"/>
      <c r="AU707" s="514"/>
    </row>
    <row r="708" spans="1:47" hidden="1" outlineLevel="1">
      <c r="A708" s="298"/>
      <c r="B708" s="6"/>
      <c r="C708" s="21"/>
      <c r="D708" s="21"/>
      <c r="E708" s="21"/>
      <c r="F708" s="21"/>
      <c r="G708" s="21"/>
      <c r="H708" s="21"/>
      <c r="I708" s="21"/>
      <c r="J708" s="21"/>
      <c r="K708" s="34"/>
      <c r="L708" s="34"/>
      <c r="M708" s="34"/>
      <c r="N708" s="34"/>
      <c r="O708" s="34"/>
      <c r="P708" s="34"/>
      <c r="Q708" s="34"/>
      <c r="R708" s="34"/>
      <c r="S708" s="34"/>
      <c r="T708" s="34"/>
      <c r="U708" s="34"/>
      <c r="V708" s="34"/>
      <c r="W708" s="34"/>
      <c r="X708" s="34"/>
      <c r="Y708" s="34"/>
      <c r="Z708" s="34"/>
      <c r="AA708" s="34"/>
      <c r="AB708" s="34"/>
      <c r="AC708" s="34"/>
      <c r="AD708" s="34"/>
      <c r="AE708" s="34"/>
      <c r="AF708" s="34"/>
      <c r="AG708" s="34"/>
      <c r="AH708" s="34"/>
      <c r="AI708" s="34"/>
      <c r="AJ708" s="34"/>
      <c r="AK708" s="34"/>
      <c r="AL708" s="34"/>
      <c r="AM708" s="34"/>
      <c r="AN708" s="34"/>
      <c r="AO708" s="34"/>
      <c r="AP708" s="34"/>
      <c r="AQ708" s="34"/>
      <c r="AR708" s="34"/>
      <c r="AS708" s="34"/>
      <c r="AT708" s="2"/>
      <c r="AU708" s="2"/>
    </row>
    <row r="709" spans="1:47" ht="15.6" hidden="1" outlineLevel="1">
      <c r="A709" s="298"/>
      <c r="B709" s="237" t="s">
        <v>1182</v>
      </c>
      <c r="C709" s="238"/>
      <c r="D709" s="239"/>
      <c r="E709" s="239"/>
      <c r="F709" s="239"/>
      <c r="G709" s="239"/>
      <c r="H709" s="239"/>
      <c r="I709" s="239"/>
      <c r="J709" s="239"/>
      <c r="K709" s="239"/>
      <c r="L709" s="239"/>
      <c r="M709" s="239"/>
      <c r="N709" s="239"/>
      <c r="O709" s="239"/>
      <c r="P709" s="239"/>
      <c r="Q709" s="239"/>
      <c r="R709" s="239"/>
      <c r="S709" s="239"/>
      <c r="T709" s="239"/>
      <c r="U709" s="239"/>
      <c r="V709" s="239"/>
      <c r="W709" s="239"/>
      <c r="X709" s="239"/>
      <c r="Y709" s="239"/>
      <c r="Z709" s="239"/>
      <c r="AA709" s="239"/>
      <c r="AB709" s="239"/>
      <c r="AC709" s="239"/>
      <c r="AD709" s="239"/>
      <c r="AE709" s="239"/>
      <c r="AF709" s="239"/>
      <c r="AG709" s="239"/>
      <c r="AH709" s="239"/>
      <c r="AI709" s="239"/>
      <c r="AJ709" s="239"/>
      <c r="AK709" s="239"/>
      <c r="AL709" s="239"/>
      <c r="AM709" s="239"/>
      <c r="AN709" s="239"/>
      <c r="AO709" s="270"/>
      <c r="AP709" s="240"/>
      <c r="AQ709" s="240"/>
      <c r="AR709" s="240"/>
      <c r="AS709" s="240"/>
      <c r="AT709" s="2"/>
      <c r="AU709" s="2"/>
    </row>
    <row r="710" spans="1:47" hidden="1" outlineLevel="1">
      <c r="A710" s="298"/>
      <c r="B710" s="6"/>
      <c r="C710" s="21"/>
      <c r="D710" s="21"/>
      <c r="E710" s="21"/>
      <c r="F710" s="21"/>
      <c r="G710" s="21"/>
      <c r="H710" s="21"/>
      <c r="I710" s="21"/>
      <c r="J710" s="21"/>
      <c r="K710" s="34"/>
      <c r="L710" s="34"/>
      <c r="M710" s="34"/>
      <c r="N710" s="34"/>
      <c r="O710" s="34"/>
      <c r="P710" s="34"/>
      <c r="Q710" s="34"/>
      <c r="R710" s="34"/>
      <c r="S710" s="34"/>
      <c r="T710" s="34"/>
      <c r="U710" s="34"/>
      <c r="V710" s="34"/>
      <c r="W710" s="34"/>
      <c r="X710" s="34"/>
      <c r="Y710" s="34"/>
      <c r="Z710" s="34"/>
      <c r="AA710" s="34"/>
      <c r="AB710" s="34"/>
      <c r="AC710" s="34"/>
      <c r="AD710" s="34"/>
      <c r="AE710" s="34"/>
      <c r="AF710" s="34"/>
      <c r="AG710" s="34"/>
      <c r="AH710" s="34"/>
      <c r="AI710" s="34"/>
      <c r="AJ710" s="34"/>
      <c r="AK710" s="34"/>
      <c r="AL710" s="34"/>
      <c r="AM710" s="34"/>
      <c r="AN710" s="34"/>
      <c r="AO710" s="34"/>
      <c r="AP710" s="34"/>
      <c r="AQ710" s="34"/>
      <c r="AR710" s="34"/>
      <c r="AS710" s="34"/>
      <c r="AT710" s="2"/>
      <c r="AU710" s="2"/>
    </row>
    <row r="711" spans="1:47" hidden="1" outlineLevel="1">
      <c r="A711" s="298"/>
      <c r="B711" s="340" t="s">
        <v>1185</v>
      </c>
      <c r="C711" s="169" t="s">
        <v>732</v>
      </c>
      <c r="D711" s="169"/>
      <c r="E711" s="169"/>
      <c r="F711" s="169"/>
      <c r="G711" s="169"/>
      <c r="H711" s="169"/>
      <c r="I711" s="169"/>
      <c r="J711" s="169"/>
      <c r="K711" s="27"/>
      <c r="L711" s="27"/>
      <c r="M711" s="27"/>
      <c r="N711" s="555"/>
      <c r="O711" s="555"/>
      <c r="P711" s="555"/>
      <c r="Q711" s="555"/>
      <c r="R711" s="555"/>
      <c r="S711" s="555"/>
      <c r="T711" s="555"/>
      <c r="U711" s="555"/>
      <c r="V711" s="555"/>
      <c r="W711" s="554"/>
      <c r="X711" s="554"/>
      <c r="Y711" s="554"/>
      <c r="Z711" s="554"/>
      <c r="AA711" s="554"/>
      <c r="AB711" s="554"/>
      <c r="AC711" s="552">
        <v>120</v>
      </c>
      <c r="AD711" s="552">
        <v>114</v>
      </c>
      <c r="AE711" s="552">
        <v>103</v>
      </c>
      <c r="AF711" s="278">
        <v>93.061403508771932</v>
      </c>
      <c r="AG711" s="278">
        <v>84.081794398276401</v>
      </c>
      <c r="AH711" s="278">
        <v>75.968638798442711</v>
      </c>
      <c r="AI711" s="278">
        <v>68.638331545961407</v>
      </c>
      <c r="AJ711" s="278">
        <v>62.01533464240373</v>
      </c>
      <c r="AK711" s="278">
        <v>56.031398843575303</v>
      </c>
      <c r="AL711" s="278">
        <v>50.624860358668919</v>
      </c>
      <c r="AM711" s="278">
        <v>45.740005411779812</v>
      </c>
      <c r="AN711" s="278">
        <v>41.32649611766071</v>
      </c>
      <c r="AO711" s="278">
        <v>37.338851755430291</v>
      </c>
      <c r="AP711" s="278">
        <v>33.735980094818601</v>
      </c>
      <c r="AQ711" s="278">
        <v>33.735980094818601</v>
      </c>
      <c r="AR711" s="278">
        <v>33.735980094818601</v>
      </c>
      <c r="AS711" s="278">
        <v>33.735980094818601</v>
      </c>
      <c r="AT711" s="2"/>
      <c r="AU711" s="2"/>
    </row>
    <row r="712" spans="1:47" hidden="1" outlineLevel="1">
      <c r="A712" s="308"/>
      <c r="B712" s="322" t="s">
        <v>1099</v>
      </c>
      <c r="C712" s="310" t="s">
        <v>733</v>
      </c>
      <c r="D712" s="310"/>
      <c r="E712" s="310"/>
      <c r="F712" s="310"/>
      <c r="G712" s="310"/>
      <c r="H712" s="310"/>
      <c r="I712" s="310"/>
      <c r="J712" s="310"/>
      <c r="K712" s="311"/>
      <c r="L712" s="311"/>
      <c r="M712" s="311"/>
      <c r="N712" s="311"/>
      <c r="O712" s="311"/>
      <c r="P712" s="311"/>
      <c r="Q712" s="311"/>
      <c r="R712" s="311"/>
      <c r="S712" s="311"/>
      <c r="T712" s="311"/>
      <c r="U712" s="311"/>
      <c r="V712" s="311"/>
      <c r="W712" s="311"/>
      <c r="X712" s="311"/>
      <c r="Y712" s="311"/>
      <c r="Z712" s="311"/>
      <c r="AA712" s="311"/>
      <c r="AB712" s="311"/>
      <c r="AC712" s="311"/>
      <c r="AD712" s="311">
        <v>-5.0000000000000044E-2</v>
      </c>
      <c r="AE712" s="316">
        <v>-9.6491228070175405E-2</v>
      </c>
      <c r="AF712" s="623">
        <v>-9.6491228070175405E-2</v>
      </c>
      <c r="AG712" s="623">
        <v>-9.6491228070175405E-2</v>
      </c>
      <c r="AH712" s="623">
        <v>-9.6491228070175405E-2</v>
      </c>
      <c r="AI712" s="623">
        <v>-9.6491228070175405E-2</v>
      </c>
      <c r="AJ712" s="623">
        <v>-9.6491228070175405E-2</v>
      </c>
      <c r="AK712" s="623">
        <v>-9.6491228070175405E-2</v>
      </c>
      <c r="AL712" s="623">
        <v>-9.6491228070175405E-2</v>
      </c>
      <c r="AM712" s="623">
        <v>-9.6491228070175405E-2</v>
      </c>
      <c r="AN712" s="623">
        <v>-9.6491228070175405E-2</v>
      </c>
      <c r="AO712" s="623">
        <v>-9.6491228070175405E-2</v>
      </c>
      <c r="AP712" s="623">
        <v>-9.6491228070175405E-2</v>
      </c>
      <c r="AQ712" s="623">
        <v>-9.6491228070175405E-2</v>
      </c>
      <c r="AR712" s="623">
        <v>-9.6491228070175405E-2</v>
      </c>
      <c r="AS712" s="623">
        <v>-9.6491228070175405E-2</v>
      </c>
      <c r="AT712" s="312"/>
      <c r="AU712" s="514"/>
    </row>
    <row r="713" spans="1:47" hidden="1" outlineLevel="1">
      <c r="A713" s="298"/>
      <c r="B713" s="6"/>
      <c r="C713" s="21"/>
      <c r="D713" s="21"/>
      <c r="E713" s="21"/>
      <c r="F713" s="21"/>
      <c r="G713" s="21"/>
      <c r="H713" s="21"/>
      <c r="I713" s="21"/>
      <c r="J713" s="21"/>
      <c r="K713" s="34"/>
      <c r="L713" s="34"/>
      <c r="M713" s="34"/>
      <c r="N713" s="34"/>
      <c r="O713" s="34"/>
      <c r="P713" s="34"/>
      <c r="Q713" s="34"/>
      <c r="R713" s="34"/>
      <c r="S713" s="34"/>
      <c r="T713" s="34"/>
      <c r="U713" s="34"/>
      <c r="V713" s="34"/>
      <c r="W713" s="34"/>
      <c r="X713" s="34"/>
      <c r="Y713" s="34"/>
      <c r="Z713" s="34"/>
      <c r="AA713" s="34"/>
      <c r="AB713" s="34"/>
      <c r="AC713" s="34"/>
      <c r="AD713" s="34"/>
      <c r="AE713" s="34"/>
      <c r="AF713" s="34"/>
      <c r="AG713" s="34"/>
      <c r="AH713" s="34"/>
      <c r="AI713" s="34"/>
      <c r="AJ713" s="34"/>
      <c r="AK713" s="34"/>
      <c r="AL713" s="34"/>
      <c r="AM713" s="34"/>
      <c r="AN713" s="34"/>
      <c r="AO713" s="34"/>
      <c r="AP713" s="34"/>
      <c r="AQ713" s="34"/>
      <c r="AR713" s="34"/>
      <c r="AS713" s="34"/>
      <c r="AT713" s="2"/>
      <c r="AU713" s="2"/>
    </row>
    <row r="714" spans="1:47" ht="18" hidden="1" outlineLevel="1">
      <c r="A714" s="299" t="s">
        <v>1163</v>
      </c>
      <c r="B714" s="740" t="s">
        <v>1301</v>
      </c>
      <c r="C714" s="741"/>
      <c r="D714" s="742"/>
      <c r="E714" s="742"/>
      <c r="F714" s="742"/>
      <c r="G714" s="742"/>
      <c r="H714" s="742"/>
      <c r="I714" s="742"/>
      <c r="J714" s="742"/>
      <c r="K714" s="742"/>
      <c r="L714" s="742"/>
      <c r="M714" s="742"/>
      <c r="N714" s="742"/>
      <c r="O714" s="742"/>
      <c r="P714" s="742"/>
      <c r="Q714" s="742"/>
      <c r="R714" s="742"/>
      <c r="S714" s="742"/>
      <c r="T714" s="742"/>
      <c r="U714" s="742"/>
      <c r="V714" s="742"/>
      <c r="W714" s="742"/>
      <c r="X714" s="742"/>
      <c r="Y714" s="742"/>
      <c r="Z714" s="742"/>
      <c r="AA714" s="742"/>
      <c r="AB714" s="742"/>
      <c r="AC714" s="742"/>
      <c r="AD714" s="742"/>
      <c r="AE714" s="742"/>
      <c r="AF714" s="742"/>
      <c r="AG714" s="742"/>
      <c r="AH714" s="742"/>
      <c r="AI714" s="742"/>
      <c r="AJ714" s="742"/>
      <c r="AK714" s="742"/>
      <c r="AL714" s="742"/>
      <c r="AM714" s="742"/>
      <c r="AN714" s="742"/>
      <c r="AO714" s="742"/>
      <c r="AP714" s="742"/>
      <c r="AQ714" s="742"/>
      <c r="AR714" s="742"/>
      <c r="AS714" s="742"/>
      <c r="AT714" s="2"/>
      <c r="AU714" s="2"/>
    </row>
    <row r="715" spans="1:47" hidden="1" outlineLevel="1">
      <c r="A715" s="298"/>
      <c r="B715" s="2"/>
      <c r="C715" s="18"/>
      <c r="D715" s="18"/>
      <c r="E715" s="18"/>
      <c r="F715" s="18"/>
      <c r="G715" s="18"/>
      <c r="H715" s="18"/>
      <c r="I715" s="18"/>
      <c r="J715" s="18"/>
      <c r="K715" s="7"/>
      <c r="L715" s="7"/>
      <c r="M715" s="7"/>
      <c r="N715" s="7"/>
      <c r="O715" s="7"/>
      <c r="P715" s="7"/>
      <c r="Q715" s="7"/>
      <c r="R715" s="7"/>
      <c r="S715" s="7"/>
      <c r="T715" s="7"/>
      <c r="U715" s="7"/>
      <c r="V715" s="7"/>
      <c r="W715" s="7"/>
      <c r="X715" s="7"/>
      <c r="Y715" s="7"/>
      <c r="Z715" s="7"/>
      <c r="AA715" s="7"/>
      <c r="AB715" s="7"/>
      <c r="AC715" s="7"/>
      <c r="AD715" s="7"/>
      <c r="AE715" s="7"/>
      <c r="AF715" s="7"/>
      <c r="AG715" s="7"/>
      <c r="AH715" s="7"/>
      <c r="AI715" s="7"/>
      <c r="AJ715" s="7"/>
      <c r="AK715" s="7"/>
      <c r="AL715" s="7"/>
      <c r="AM715" s="7"/>
      <c r="AN715" s="7"/>
      <c r="AO715" s="7"/>
      <c r="AP715" s="7"/>
      <c r="AQ715" s="7"/>
      <c r="AR715" s="7"/>
      <c r="AS715" s="7"/>
      <c r="AT715" s="2"/>
      <c r="AU715" s="2"/>
    </row>
    <row r="716" spans="1:47" hidden="1" outlineLevel="1">
      <c r="A716" s="298"/>
      <c r="B716" s="55"/>
      <c r="C716" s="18"/>
      <c r="D716" s="18"/>
      <c r="E716" s="18"/>
      <c r="F716" s="18"/>
      <c r="G716" s="18"/>
      <c r="H716" s="18"/>
      <c r="I716" s="18"/>
      <c r="J716" s="18"/>
      <c r="K716" s="7"/>
      <c r="L716" s="7"/>
      <c r="M716" s="7"/>
      <c r="N716" s="7"/>
      <c r="O716" s="7"/>
      <c r="P716" s="7"/>
      <c r="Q716" s="7"/>
      <c r="R716" s="7"/>
      <c r="S716" s="7"/>
      <c r="T716" s="7"/>
      <c r="U716" s="7"/>
      <c r="V716" s="7"/>
      <c r="W716" s="7"/>
      <c r="X716" s="7"/>
      <c r="Y716" s="7"/>
      <c r="Z716" s="7"/>
      <c r="AA716" s="7"/>
      <c r="AB716" s="7"/>
      <c r="AC716" s="7"/>
      <c r="AD716" s="7"/>
      <c r="AE716" s="7"/>
      <c r="AF716" s="7"/>
      <c r="AG716" s="7"/>
      <c r="AH716" s="7"/>
      <c r="AI716" s="7"/>
      <c r="AJ716" s="7"/>
      <c r="AK716" s="7"/>
      <c r="AL716" s="7"/>
      <c r="AM716" s="7"/>
      <c r="AN716" s="7"/>
      <c r="AO716" s="7"/>
      <c r="AP716" s="7"/>
      <c r="AQ716" s="7"/>
      <c r="AR716" s="7"/>
      <c r="AS716" s="7"/>
      <c r="AT716" s="2"/>
      <c r="AU716" s="514"/>
    </row>
    <row r="717" spans="1:47" hidden="1" outlineLevel="1">
      <c r="A717" s="298"/>
      <c r="B717" s="9" t="s">
        <v>1297</v>
      </c>
      <c r="C717" s="21" t="s">
        <v>732</v>
      </c>
      <c r="D717" s="18"/>
      <c r="E717" s="18"/>
      <c r="F717" s="18"/>
      <c r="G717" s="18"/>
      <c r="H717" s="18"/>
      <c r="I717" s="18"/>
      <c r="J717" s="18"/>
      <c r="K717" s="7"/>
      <c r="L717" s="7"/>
      <c r="M717" s="7"/>
      <c r="N717" s="7"/>
      <c r="O717" s="7"/>
      <c r="P717" s="7"/>
      <c r="Q717" s="7"/>
      <c r="R717" s="7"/>
      <c r="S717" s="7"/>
      <c r="T717" s="7"/>
      <c r="U717" s="7"/>
      <c r="V717" s="7"/>
      <c r="W717" s="550">
        <v>127</v>
      </c>
      <c r="X717" s="550">
        <v>111</v>
      </c>
      <c r="Y717" s="550">
        <v>103</v>
      </c>
      <c r="Z717" s="550">
        <v>79</v>
      </c>
      <c r="AA717" s="550">
        <v>70</v>
      </c>
      <c r="AB717" s="550">
        <v>83</v>
      </c>
      <c r="AC717" s="550">
        <v>95</v>
      </c>
      <c r="AD717" s="550">
        <v>84</v>
      </c>
      <c r="AE717" s="550">
        <v>49</v>
      </c>
      <c r="AF717" s="60">
        <v>40.833333333333336</v>
      </c>
      <c r="AG717" s="60">
        <v>34.027777777777779</v>
      </c>
      <c r="AH717" s="60">
        <v>28.356481481481488</v>
      </c>
      <c r="AI717" s="60">
        <v>23.630401234567909</v>
      </c>
      <c r="AJ717" s="60">
        <v>19.69200102880659</v>
      </c>
      <c r="AK717" s="60">
        <v>16.410000857338826</v>
      </c>
      <c r="AL717" s="60">
        <v>13.675000714449022</v>
      </c>
      <c r="AM717" s="60">
        <v>11.395833928707518</v>
      </c>
      <c r="AN717" s="60">
        <v>9.496528273922932</v>
      </c>
      <c r="AO717" s="60">
        <v>7.9137735616024436</v>
      </c>
      <c r="AP717" s="60">
        <v>6.59481130133537</v>
      </c>
      <c r="AQ717" s="60">
        <v>6.59481130133537</v>
      </c>
      <c r="AR717" s="60">
        <v>6.59481130133537</v>
      </c>
      <c r="AS717" s="60">
        <v>6.59481130133537</v>
      </c>
      <c r="AT717" s="2"/>
      <c r="AU717" s="515" t="s">
        <v>1299</v>
      </c>
    </row>
    <row r="718" spans="1:47" hidden="1" outlineLevel="1">
      <c r="A718" s="308"/>
      <c r="B718" s="325" t="s">
        <v>1099</v>
      </c>
      <c r="C718" s="310" t="s">
        <v>733</v>
      </c>
      <c r="D718" s="310"/>
      <c r="E718" s="310"/>
      <c r="F718" s="310"/>
      <c r="G718" s="310"/>
      <c r="H718" s="310"/>
      <c r="I718" s="310"/>
      <c r="J718" s="310"/>
      <c r="K718" s="311"/>
      <c r="L718" s="311"/>
      <c r="M718" s="311"/>
      <c r="N718" s="311"/>
      <c r="O718" s="311"/>
      <c r="P718" s="311"/>
      <c r="Q718" s="311"/>
      <c r="R718" s="311"/>
      <c r="S718" s="311"/>
      <c r="T718" s="311"/>
      <c r="U718" s="311"/>
      <c r="V718" s="311"/>
      <c r="W718" s="528"/>
      <c r="X718" s="311">
        <v>-0.12598425196850394</v>
      </c>
      <c r="Y718" s="311">
        <v>-7.2072072072072113E-2</v>
      </c>
      <c r="Z718" s="311">
        <v>-0.23300970873786409</v>
      </c>
      <c r="AA718" s="311">
        <v>-0.11392405063291144</v>
      </c>
      <c r="AB718" s="311">
        <v>0.18571428571428572</v>
      </c>
      <c r="AC718" s="311">
        <v>0.14457831325301207</v>
      </c>
      <c r="AD718" s="311">
        <v>-0.11578947368421055</v>
      </c>
      <c r="AE718" s="311">
        <v>-0.41666666666666663</v>
      </c>
      <c r="AF718" s="621">
        <v>-0.16666666666666663</v>
      </c>
      <c r="AG718" s="621">
        <v>-0.16666666666666663</v>
      </c>
      <c r="AH718" s="621">
        <v>-0.16666666666666652</v>
      </c>
      <c r="AI718" s="621">
        <v>-0.16666666666666663</v>
      </c>
      <c r="AJ718" s="621">
        <v>-0.16666666666666663</v>
      </c>
      <c r="AK718" s="621">
        <v>-0.16666666666666663</v>
      </c>
      <c r="AL718" s="621">
        <v>-0.16666666666666663</v>
      </c>
      <c r="AM718" s="621">
        <v>-0.16666666666666663</v>
      </c>
      <c r="AN718" s="621">
        <v>-0.16666666666666663</v>
      </c>
      <c r="AO718" s="621">
        <v>-0.16666666666666663</v>
      </c>
      <c r="AP718" s="621">
        <v>-0.16666666666666663</v>
      </c>
      <c r="AQ718" s="621">
        <v>-0.16666666666666663</v>
      </c>
      <c r="AR718" s="621">
        <v>-0.16666666666666663</v>
      </c>
      <c r="AS718" s="621">
        <v>-0.16666666666666663</v>
      </c>
      <c r="AT718" s="312"/>
      <c r="AU718" s="514"/>
    </row>
    <row r="719" spans="1:47" hidden="1" outlineLevel="1">
      <c r="A719" s="298"/>
      <c r="B719" s="9"/>
      <c r="C719" s="18"/>
      <c r="D719" s="18"/>
      <c r="E719" s="18"/>
      <c r="F719" s="18"/>
      <c r="G719" s="18"/>
      <c r="H719" s="18"/>
      <c r="I719" s="18"/>
      <c r="J719" s="18"/>
      <c r="K719" s="7"/>
      <c r="L719" s="7"/>
      <c r="M719" s="7"/>
      <c r="N719" s="7"/>
      <c r="O719" s="7"/>
      <c r="P719" s="7"/>
      <c r="Q719" s="7"/>
      <c r="R719" s="7"/>
      <c r="S719" s="7"/>
      <c r="T719" s="7"/>
      <c r="U719" s="7"/>
      <c r="V719" s="7"/>
      <c r="W719" s="7"/>
      <c r="X719" s="7"/>
      <c r="Y719" s="7"/>
      <c r="Z719" s="7"/>
      <c r="AA719" s="7"/>
      <c r="AB719" s="7"/>
      <c r="AC719" s="7"/>
      <c r="AD719" s="7"/>
      <c r="AE719" s="7"/>
      <c r="AF719" s="7"/>
      <c r="AG719" s="7"/>
      <c r="AH719" s="7"/>
      <c r="AI719" s="7"/>
      <c r="AJ719" s="7"/>
      <c r="AK719" s="7"/>
      <c r="AL719" s="7"/>
      <c r="AM719" s="7"/>
      <c r="AN719" s="7"/>
      <c r="AO719" s="7"/>
      <c r="AP719" s="7"/>
      <c r="AQ719" s="7"/>
      <c r="AR719" s="7"/>
      <c r="AS719" s="7"/>
      <c r="AT719" s="2"/>
      <c r="AU719" s="514"/>
    </row>
    <row r="720" spans="1:47" hidden="1" outlineLevel="1">
      <c r="A720" s="298"/>
      <c r="B720" s="9" t="s">
        <v>1289</v>
      </c>
      <c r="C720" s="21" t="s">
        <v>732</v>
      </c>
      <c r="D720" s="21"/>
      <c r="E720" s="21"/>
      <c r="F720" s="21"/>
      <c r="G720" s="21"/>
      <c r="H720" s="21"/>
      <c r="I720" s="21"/>
      <c r="J720" s="21"/>
      <c r="K720" s="7"/>
      <c r="L720" s="7"/>
      <c r="M720" s="534">
        <v>10</v>
      </c>
      <c r="N720" s="534">
        <v>20</v>
      </c>
      <c r="O720" s="534">
        <v>40</v>
      </c>
      <c r="P720" s="534">
        <v>50</v>
      </c>
      <c r="Q720" s="534">
        <v>60</v>
      </c>
      <c r="R720" s="534">
        <v>70</v>
      </c>
      <c r="S720" s="534">
        <v>77</v>
      </c>
      <c r="T720" s="534">
        <v>76</v>
      </c>
      <c r="U720" s="534">
        <v>85</v>
      </c>
      <c r="V720" s="524">
        <v>102</v>
      </c>
      <c r="W720" s="535">
        <v>118</v>
      </c>
      <c r="X720" s="535">
        <v>120</v>
      </c>
      <c r="Y720" s="535">
        <v>120</v>
      </c>
      <c r="Z720" s="535">
        <v>118</v>
      </c>
      <c r="AA720" s="535">
        <v>110</v>
      </c>
      <c r="AB720" s="535">
        <v>104</v>
      </c>
      <c r="AC720" s="535">
        <v>60</v>
      </c>
      <c r="AD720" s="535">
        <v>35</v>
      </c>
      <c r="AE720" s="535">
        <v>48</v>
      </c>
      <c r="AF720" s="30">
        <v>43.2</v>
      </c>
      <c r="AG720" s="30">
        <v>38.880000000000003</v>
      </c>
      <c r="AH720" s="30">
        <v>34.992000000000004</v>
      </c>
      <c r="AI720" s="30">
        <v>31.492800000000006</v>
      </c>
      <c r="AJ720" s="30">
        <v>28.343520000000005</v>
      </c>
      <c r="AK720" s="30">
        <v>25.509168000000006</v>
      </c>
      <c r="AL720" s="30">
        <v>22.958251200000007</v>
      </c>
      <c r="AM720" s="30">
        <v>20.662426080000007</v>
      </c>
      <c r="AN720" s="30">
        <v>18.596183472000007</v>
      </c>
      <c r="AO720" s="30">
        <v>16.736565124800006</v>
      </c>
      <c r="AP720" s="30">
        <v>15.062908612320005</v>
      </c>
      <c r="AQ720" s="30">
        <v>15.062908612320005</v>
      </c>
      <c r="AR720" s="30">
        <v>15.062908612320005</v>
      </c>
      <c r="AS720" s="30">
        <v>15.062908612320005</v>
      </c>
      <c r="AT720" s="2"/>
      <c r="AU720" s="515" t="s">
        <v>1298</v>
      </c>
    </row>
    <row r="721" spans="1:47" hidden="1" outlineLevel="1">
      <c r="A721" s="308"/>
      <c r="B721" s="325" t="s">
        <v>1099</v>
      </c>
      <c r="C721" s="310" t="s">
        <v>733</v>
      </c>
      <c r="D721" s="310"/>
      <c r="E721" s="310"/>
      <c r="F721" s="310"/>
      <c r="G721" s="310"/>
      <c r="H721" s="310"/>
      <c r="I721" s="310"/>
      <c r="J721" s="310"/>
      <c r="K721" s="311"/>
      <c r="L721" s="311"/>
      <c r="M721" s="311"/>
      <c r="N721" s="311"/>
      <c r="O721" s="311"/>
      <c r="P721" s="311"/>
      <c r="Q721" s="311"/>
      <c r="R721" s="311"/>
      <c r="S721" s="311"/>
      <c r="T721" s="312">
        <v>-1.2987012987012991E-2</v>
      </c>
      <c r="U721" s="312">
        <v>0.11842105263157898</v>
      </c>
      <c r="V721" s="313">
        <v>0.19999999999999996</v>
      </c>
      <c r="W721" s="313">
        <v>0.15686274509803932</v>
      </c>
      <c r="X721" s="313">
        <v>1.6949152542372836E-2</v>
      </c>
      <c r="Y721" s="313">
        <v>0</v>
      </c>
      <c r="Z721" s="313">
        <v>-1.6666666666666718E-2</v>
      </c>
      <c r="AA721" s="313">
        <v>-6.7796610169491567E-2</v>
      </c>
      <c r="AB721" s="313">
        <v>-5.4545454545454564E-2</v>
      </c>
      <c r="AC721" s="313">
        <v>-0.42307692307692313</v>
      </c>
      <c r="AD721" s="313">
        <v>-0.41666666666666663</v>
      </c>
      <c r="AE721" s="743">
        <v>0.37142857142857144</v>
      </c>
      <c r="AF721" s="621">
        <v>-0.1</v>
      </c>
      <c r="AG721" s="621">
        <v>-0.1</v>
      </c>
      <c r="AH721" s="621">
        <v>-0.1</v>
      </c>
      <c r="AI721" s="621">
        <v>-0.1</v>
      </c>
      <c r="AJ721" s="621">
        <v>-0.1</v>
      </c>
      <c r="AK721" s="621">
        <v>-0.1</v>
      </c>
      <c r="AL721" s="621">
        <v>-0.1</v>
      </c>
      <c r="AM721" s="621">
        <v>-0.1</v>
      </c>
      <c r="AN721" s="621">
        <v>-0.1</v>
      </c>
      <c r="AO721" s="621">
        <v>-0.1</v>
      </c>
      <c r="AP721" s="621">
        <v>-0.1</v>
      </c>
      <c r="AQ721" s="621">
        <v>-0.1</v>
      </c>
      <c r="AR721" s="621">
        <v>-0.1</v>
      </c>
      <c r="AS721" s="621">
        <v>-0.1</v>
      </c>
      <c r="AT721" s="312"/>
      <c r="AU721" s="514"/>
    </row>
    <row r="722" spans="1:47" hidden="1" outlineLevel="1">
      <c r="A722" s="298"/>
      <c r="B722" s="9"/>
      <c r="C722" s="18"/>
      <c r="D722" s="18"/>
      <c r="E722" s="18"/>
      <c r="F722" s="18"/>
      <c r="G722" s="18"/>
      <c r="H722" s="18"/>
      <c r="I722" s="18"/>
      <c r="J722" s="18"/>
      <c r="K722" s="7"/>
      <c r="L722" s="7"/>
      <c r="M722" s="7"/>
      <c r="N722" s="7"/>
      <c r="O722" s="7"/>
      <c r="P722" s="7"/>
      <c r="Q722" s="7"/>
      <c r="R722" s="7"/>
      <c r="S722" s="7"/>
      <c r="T722" s="7"/>
      <c r="U722" s="7"/>
      <c r="V722" s="7"/>
      <c r="W722" s="7"/>
      <c r="X722" s="7"/>
      <c r="Y722" s="7"/>
      <c r="Z722" s="7"/>
      <c r="AA722" s="7"/>
      <c r="AB722" s="7"/>
      <c r="AC722" s="7"/>
      <c r="AD722" s="7"/>
      <c r="AE722" s="7"/>
      <c r="AF722" s="7"/>
      <c r="AG722" s="7"/>
      <c r="AH722" s="7"/>
      <c r="AI722" s="7"/>
      <c r="AJ722" s="7"/>
      <c r="AK722" s="7"/>
      <c r="AL722" s="7"/>
      <c r="AM722" s="7"/>
      <c r="AN722" s="7"/>
      <c r="AO722" s="7"/>
      <c r="AP722" s="7"/>
      <c r="AQ722" s="7"/>
      <c r="AR722" s="7"/>
      <c r="AS722" s="7"/>
      <c r="AT722" s="2"/>
      <c r="AU722" s="514"/>
    </row>
    <row r="723" spans="1:47" ht="15.6" hidden="1" outlineLevel="1">
      <c r="A723" s="298"/>
      <c r="B723" s="237" t="s">
        <v>639</v>
      </c>
      <c r="C723" s="238"/>
      <c r="D723" s="239"/>
      <c r="E723" s="239"/>
      <c r="F723" s="239"/>
      <c r="G723" s="239"/>
      <c r="H723" s="239"/>
      <c r="I723" s="239"/>
      <c r="J723" s="239"/>
      <c r="K723" s="239"/>
      <c r="L723" s="239"/>
      <c r="M723" s="239"/>
      <c r="N723" s="239"/>
      <c r="O723" s="239"/>
      <c r="P723" s="239"/>
      <c r="Q723" s="239"/>
      <c r="R723" s="239"/>
      <c r="S723" s="239"/>
      <c r="T723" s="239"/>
      <c r="U723" s="239"/>
      <c r="V723" s="239"/>
      <c r="W723" s="239"/>
      <c r="X723" s="239"/>
      <c r="Y723" s="239"/>
      <c r="Z723" s="239"/>
      <c r="AA723" s="239"/>
      <c r="AB723" s="239"/>
      <c r="AC723" s="239"/>
      <c r="AD723" s="239"/>
      <c r="AE723" s="239"/>
      <c r="AF723" s="239"/>
      <c r="AG723" s="239"/>
      <c r="AH723" s="239"/>
      <c r="AI723" s="239"/>
      <c r="AJ723" s="239"/>
      <c r="AK723" s="239"/>
      <c r="AL723" s="239"/>
      <c r="AM723" s="239"/>
      <c r="AN723" s="239"/>
      <c r="AO723" s="270"/>
      <c r="AP723" s="240"/>
      <c r="AQ723" s="240"/>
      <c r="AR723" s="240"/>
      <c r="AS723" s="240"/>
      <c r="AT723" s="2"/>
      <c r="AU723" s="2"/>
    </row>
    <row r="724" spans="1:47" hidden="1" outlineLevel="1">
      <c r="A724" s="298"/>
      <c r="B724" s="6"/>
      <c r="C724" s="18"/>
      <c r="D724" s="18"/>
      <c r="E724" s="18"/>
      <c r="F724" s="18"/>
      <c r="G724" s="18"/>
      <c r="H724" s="18"/>
      <c r="I724" s="18"/>
      <c r="J724" s="18"/>
      <c r="K724" s="7"/>
      <c r="L724" s="7"/>
      <c r="M724" s="7"/>
      <c r="N724" s="7"/>
      <c r="O724" s="7"/>
      <c r="P724" s="7"/>
      <c r="Q724" s="7"/>
      <c r="R724" s="7"/>
      <c r="S724" s="7"/>
      <c r="T724" s="7"/>
      <c r="U724" s="7"/>
      <c r="V724" s="7"/>
      <c r="W724" s="7"/>
      <c r="X724" s="7"/>
      <c r="Y724" s="7"/>
      <c r="Z724" s="7"/>
      <c r="AA724" s="7"/>
      <c r="AB724" s="7"/>
      <c r="AC724" s="7"/>
      <c r="AD724" s="7"/>
      <c r="AE724" s="7"/>
      <c r="AF724" s="7"/>
      <c r="AG724" s="7"/>
      <c r="AH724" s="7"/>
      <c r="AI724" s="7"/>
      <c r="AJ724" s="7"/>
      <c r="AK724" s="7"/>
      <c r="AL724" s="7"/>
      <c r="AM724" s="7"/>
      <c r="AN724" s="7"/>
      <c r="AO724" s="7"/>
      <c r="AP724" s="7"/>
      <c r="AQ724" s="7"/>
      <c r="AR724" s="7"/>
      <c r="AS724" s="7"/>
      <c r="AT724" s="2"/>
      <c r="AU724" s="2"/>
    </row>
    <row r="725" spans="1:47" hidden="1" outlineLevel="1">
      <c r="A725" s="298"/>
      <c r="B725" s="242" t="s">
        <v>1094</v>
      </c>
      <c r="C725" s="18"/>
      <c r="D725" s="18"/>
      <c r="E725" s="18"/>
      <c r="F725" s="18"/>
      <c r="G725" s="18"/>
      <c r="H725" s="18"/>
      <c r="I725" s="18"/>
      <c r="J725" s="18"/>
      <c r="K725" s="7"/>
      <c r="L725" s="7"/>
      <c r="M725" s="7"/>
      <c r="N725" s="7"/>
      <c r="O725" s="7"/>
      <c r="P725" s="7"/>
      <c r="Q725" s="7"/>
      <c r="R725" s="7"/>
      <c r="S725" s="7"/>
      <c r="T725" s="7"/>
      <c r="U725" s="7"/>
      <c r="V725" s="7"/>
      <c r="W725" s="7"/>
      <c r="X725" s="7"/>
      <c r="Y725" s="7"/>
      <c r="Z725" s="7"/>
      <c r="AA725" s="7"/>
      <c r="AB725" s="7"/>
      <c r="AC725" s="7"/>
      <c r="AD725" s="7"/>
      <c r="AE725" s="7"/>
      <c r="AF725" s="7"/>
      <c r="AG725" s="7"/>
      <c r="AH725" s="7"/>
      <c r="AI725" s="7"/>
      <c r="AJ725" s="7"/>
      <c r="AK725" s="7"/>
      <c r="AL725" s="7"/>
      <c r="AM725" s="7"/>
      <c r="AN725" s="7"/>
      <c r="AO725" s="7"/>
      <c r="AP725" s="7"/>
      <c r="AQ725" s="7"/>
      <c r="AR725" s="7"/>
      <c r="AS725" s="7"/>
      <c r="AT725" s="2"/>
      <c r="AU725" s="2"/>
    </row>
    <row r="726" spans="1:47" hidden="1" outlineLevel="1">
      <c r="A726" s="298"/>
      <c r="B726" s="6"/>
      <c r="C726" s="18"/>
      <c r="D726" s="18"/>
      <c r="E726" s="18"/>
      <c r="F726" s="18"/>
      <c r="G726" s="18"/>
      <c r="H726" s="18"/>
      <c r="I726" s="18"/>
      <c r="J726" s="18"/>
      <c r="K726" s="7"/>
      <c r="L726" s="7"/>
      <c r="M726" s="7"/>
      <c r="N726" s="7"/>
      <c r="O726" s="7"/>
      <c r="P726" s="7"/>
      <c r="Q726" s="7"/>
      <c r="R726" s="7"/>
      <c r="S726" s="7"/>
      <c r="T726" s="7"/>
      <c r="U726" s="7"/>
      <c r="V726" s="7"/>
      <c r="W726" s="7"/>
      <c r="X726" s="7"/>
      <c r="Y726" s="7"/>
      <c r="Z726" s="7"/>
      <c r="AA726" s="7"/>
      <c r="AB726" s="7"/>
      <c r="AC726" s="7"/>
      <c r="AD726" s="7"/>
      <c r="AE726" s="7"/>
      <c r="AF726" s="7"/>
      <c r="AG726" s="7"/>
      <c r="AH726" s="7"/>
      <c r="AI726" s="7"/>
      <c r="AJ726" s="7"/>
      <c r="AK726" s="7"/>
      <c r="AL726" s="7"/>
      <c r="AM726" s="7"/>
      <c r="AN726" s="7"/>
      <c r="AO726" s="7"/>
      <c r="AP726" s="7"/>
      <c r="AQ726" s="7"/>
      <c r="AR726" s="7"/>
      <c r="AS726" s="7"/>
      <c r="AT726" s="2"/>
      <c r="AU726" s="2"/>
    </row>
    <row r="727" spans="1:47" hidden="1" outlineLevel="1">
      <c r="A727" s="298"/>
      <c r="B727" s="173" t="s">
        <v>662</v>
      </c>
      <c r="C727" s="169" t="s">
        <v>732</v>
      </c>
      <c r="D727" s="169"/>
      <c r="E727" s="169"/>
      <c r="F727" s="169"/>
      <c r="G727" s="169"/>
      <c r="H727" s="169"/>
      <c r="I727" s="169"/>
      <c r="J727" s="169"/>
      <c r="K727" s="26"/>
      <c r="L727" s="26"/>
      <c r="M727" s="26"/>
      <c r="N727" s="214">
        <v>23</v>
      </c>
      <c r="O727" s="214">
        <v>154</v>
      </c>
      <c r="P727" s="214">
        <v>263</v>
      </c>
      <c r="Q727" s="214">
        <v>320</v>
      </c>
      <c r="R727" s="214">
        <v>344</v>
      </c>
      <c r="S727" s="214">
        <v>426</v>
      </c>
      <c r="T727" s="214">
        <v>467</v>
      </c>
      <c r="U727" s="214">
        <v>512</v>
      </c>
      <c r="V727" s="214">
        <v>624</v>
      </c>
      <c r="W727" s="214">
        <v>646</v>
      </c>
      <c r="X727" s="214">
        <v>666</v>
      </c>
      <c r="Y727" s="214">
        <v>699</v>
      </c>
      <c r="Z727" s="214">
        <v>734</v>
      </c>
      <c r="AA727" s="214">
        <v>794</v>
      </c>
      <c r="AB727" s="214">
        <v>852</v>
      </c>
      <c r="AC727" s="214">
        <v>764</v>
      </c>
      <c r="AD727" s="214">
        <v>713</v>
      </c>
      <c r="AE727" s="214">
        <v>677</v>
      </c>
      <c r="AF727" s="214">
        <v>0</v>
      </c>
      <c r="AG727" s="214">
        <v>0</v>
      </c>
      <c r="AH727" s="214">
        <v>0</v>
      </c>
      <c r="AI727" s="214">
        <v>0</v>
      </c>
      <c r="AJ727" s="214">
        <v>0</v>
      </c>
      <c r="AK727" s="214">
        <v>0</v>
      </c>
      <c r="AL727" s="214">
        <v>0</v>
      </c>
      <c r="AM727" s="214">
        <v>0</v>
      </c>
      <c r="AN727" s="214">
        <v>0</v>
      </c>
      <c r="AO727" s="214">
        <v>0</v>
      </c>
      <c r="AP727" s="214">
        <v>0</v>
      </c>
      <c r="AQ727" s="214">
        <v>0</v>
      </c>
      <c r="AR727" s="214">
        <v>0</v>
      </c>
      <c r="AS727" s="214">
        <v>0</v>
      </c>
      <c r="AT727" s="2"/>
      <c r="AU727" s="2"/>
    </row>
    <row r="728" spans="1:47" hidden="1" outlineLevel="1">
      <c r="A728" s="308"/>
      <c r="B728" s="322" t="s">
        <v>1099</v>
      </c>
      <c r="C728" s="310" t="s">
        <v>733</v>
      </c>
      <c r="D728" s="310"/>
      <c r="E728" s="310"/>
      <c r="F728" s="310"/>
      <c r="G728" s="310"/>
      <c r="H728" s="310"/>
      <c r="I728" s="310"/>
      <c r="J728" s="310"/>
      <c r="K728" s="311"/>
      <c r="L728" s="311"/>
      <c r="M728" s="311"/>
      <c r="N728" s="311"/>
      <c r="O728" s="311"/>
      <c r="P728" s="311">
        <v>0.70779220779220786</v>
      </c>
      <c r="Q728" s="311">
        <v>0.21673003802281365</v>
      </c>
      <c r="R728" s="311">
        <v>7.4999999999999956E-2</v>
      </c>
      <c r="S728" s="311">
        <v>0.23837209302325579</v>
      </c>
      <c r="T728" s="311">
        <v>9.6244131455399007E-2</v>
      </c>
      <c r="U728" s="311">
        <v>9.6359743040685286E-2</v>
      </c>
      <c r="V728" s="311">
        <v>0.21875</v>
      </c>
      <c r="W728" s="311">
        <v>3.5256410256410353E-2</v>
      </c>
      <c r="X728" s="311">
        <v>3.0959752321981338E-2</v>
      </c>
      <c r="Y728" s="311">
        <v>4.9549549549549488E-2</v>
      </c>
      <c r="Z728" s="311">
        <v>5.0071530758226013E-2</v>
      </c>
      <c r="AA728" s="311">
        <v>8.1743869209809361E-2</v>
      </c>
      <c r="AB728" s="311">
        <v>7.3047858942065558E-2</v>
      </c>
      <c r="AC728" s="311">
        <v>-0.10328638497652587</v>
      </c>
      <c r="AD728" s="311">
        <v>-6.6753926701570654E-2</v>
      </c>
      <c r="AE728" s="311">
        <v>-5.0490883590462832E-2</v>
      </c>
      <c r="AF728" s="311">
        <v>-1</v>
      </c>
      <c r="AG728" s="311"/>
      <c r="AH728" s="311"/>
      <c r="AI728" s="311"/>
      <c r="AJ728" s="311"/>
      <c r="AK728" s="311"/>
      <c r="AL728" s="311"/>
      <c r="AM728" s="311"/>
      <c r="AN728" s="311"/>
      <c r="AO728" s="311"/>
      <c r="AP728" s="311"/>
      <c r="AQ728" s="311"/>
      <c r="AR728" s="311"/>
      <c r="AS728" s="311"/>
      <c r="AT728" s="312"/>
      <c r="AU728" s="514"/>
    </row>
    <row r="729" spans="1:47" ht="14.4" hidden="1" outlineLevel="1" thickBot="1">
      <c r="A729" s="298"/>
      <c r="B729" s="76"/>
      <c r="C729" s="78"/>
      <c r="D729" s="78"/>
      <c r="E729" s="78"/>
      <c r="F729" s="78"/>
      <c r="G729" s="78"/>
      <c r="H729" s="78"/>
      <c r="I729" s="78"/>
      <c r="J729" s="78"/>
      <c r="K729" s="108"/>
      <c r="L729" s="108"/>
      <c r="M729" s="108"/>
      <c r="N729" s="108"/>
      <c r="O729" s="108"/>
      <c r="P729" s="108"/>
      <c r="Q729" s="108"/>
      <c r="R729" s="108"/>
      <c r="S729" s="108"/>
      <c r="T729" s="108"/>
      <c r="U729" s="108"/>
      <c r="V729" s="108"/>
      <c r="W729" s="108"/>
      <c r="X729" s="108"/>
      <c r="Y729" s="108"/>
      <c r="Z729" s="108"/>
      <c r="AA729" s="108"/>
      <c r="AB729" s="108"/>
      <c r="AC729" s="108"/>
      <c r="AD729" s="108"/>
      <c r="AE729" s="108"/>
      <c r="AF729" s="108"/>
      <c r="AG729" s="108"/>
      <c r="AH729" s="108"/>
      <c r="AI729" s="108"/>
      <c r="AJ729" s="108"/>
      <c r="AK729" s="108"/>
      <c r="AL729" s="108"/>
      <c r="AM729" s="108"/>
      <c r="AN729" s="108"/>
      <c r="AO729" s="108"/>
      <c r="AP729" s="108"/>
      <c r="AQ729" s="108"/>
      <c r="AR729" s="108"/>
      <c r="AS729" s="108"/>
      <c r="AT729" s="2"/>
      <c r="AU729" s="2"/>
    </row>
    <row r="730" spans="1:47" hidden="1" outlineLevel="1">
      <c r="A730" s="298"/>
      <c r="B730" s="2"/>
      <c r="C730" s="18"/>
      <c r="D730" s="18"/>
      <c r="E730" s="18"/>
      <c r="F730" s="18"/>
      <c r="G730" s="18"/>
      <c r="H730" s="18"/>
      <c r="I730" s="18"/>
      <c r="J730" s="18"/>
      <c r="K730" s="7"/>
      <c r="L730" s="7"/>
      <c r="M730" s="7"/>
      <c r="N730" s="7"/>
      <c r="O730" s="7"/>
      <c r="P730" s="7"/>
      <c r="Q730" s="7"/>
      <c r="R730" s="7"/>
      <c r="S730" s="7"/>
      <c r="T730" s="7"/>
      <c r="U730" s="7"/>
      <c r="V730" s="7"/>
      <c r="W730" s="7"/>
      <c r="X730" s="7"/>
      <c r="Y730" s="7"/>
      <c r="Z730" s="7"/>
      <c r="AA730" s="7"/>
      <c r="AB730" s="7"/>
      <c r="AC730" s="7"/>
      <c r="AD730" s="7"/>
      <c r="AE730" s="7"/>
      <c r="AF730" s="7"/>
      <c r="AG730" s="7"/>
      <c r="AH730" s="7"/>
      <c r="AI730" s="7"/>
      <c r="AJ730" s="7"/>
      <c r="AK730" s="7"/>
      <c r="AL730" s="7"/>
      <c r="AM730" s="7"/>
      <c r="AN730" s="7"/>
      <c r="AO730" s="7"/>
      <c r="AP730" s="7"/>
      <c r="AQ730" s="7"/>
      <c r="AR730" s="7"/>
      <c r="AS730" s="7"/>
      <c r="AT730" s="2"/>
      <c r="AU730" s="2"/>
    </row>
    <row r="731" spans="1:47" ht="15.6" hidden="1" outlineLevel="1">
      <c r="A731" s="298"/>
      <c r="B731" s="237" t="s">
        <v>1095</v>
      </c>
      <c r="C731" s="238"/>
      <c r="D731" s="239"/>
      <c r="E731" s="239"/>
      <c r="F731" s="239"/>
      <c r="G731" s="239"/>
      <c r="H731" s="239"/>
      <c r="I731" s="239"/>
      <c r="J731" s="239"/>
      <c r="K731" s="239"/>
      <c r="L731" s="239"/>
      <c r="M731" s="239"/>
      <c r="N731" s="239"/>
      <c r="O731" s="239"/>
      <c r="P731" s="239"/>
      <c r="Q731" s="239"/>
      <c r="R731" s="239"/>
      <c r="S731" s="239"/>
      <c r="T731" s="239"/>
      <c r="U731" s="239"/>
      <c r="V731" s="239"/>
      <c r="W731" s="239"/>
      <c r="X731" s="239"/>
      <c r="Y731" s="239"/>
      <c r="Z731" s="239"/>
      <c r="AA731" s="239"/>
      <c r="AB731" s="239"/>
      <c r="AC731" s="239"/>
      <c r="AD731" s="239"/>
      <c r="AE731" s="239"/>
      <c r="AF731" s="239"/>
      <c r="AG731" s="239"/>
      <c r="AH731" s="239"/>
      <c r="AI731" s="239"/>
      <c r="AJ731" s="239"/>
      <c r="AK731" s="239"/>
      <c r="AL731" s="239"/>
      <c r="AM731" s="239"/>
      <c r="AN731" s="239"/>
      <c r="AO731" s="270"/>
      <c r="AP731" s="240"/>
      <c r="AQ731" s="240"/>
      <c r="AR731" s="240"/>
      <c r="AS731" s="240"/>
      <c r="AT731" s="2"/>
      <c r="AU731" s="2"/>
    </row>
    <row r="732" spans="1:47" hidden="1" outlineLevel="1">
      <c r="A732" s="298"/>
      <c r="B732" s="2"/>
      <c r="C732" s="18"/>
      <c r="D732" s="18"/>
      <c r="E732" s="18"/>
      <c r="F732" s="18"/>
      <c r="G732" s="18"/>
      <c r="H732" s="18"/>
      <c r="I732" s="18"/>
      <c r="J732" s="18"/>
      <c r="K732" s="7"/>
      <c r="L732" s="7"/>
      <c r="M732" s="7"/>
      <c r="N732" s="7"/>
      <c r="O732" s="7"/>
      <c r="P732" s="7"/>
      <c r="Q732" s="7"/>
      <c r="R732" s="7"/>
      <c r="S732" s="7"/>
      <c r="T732" s="7"/>
      <c r="U732" s="7"/>
      <c r="V732" s="7"/>
      <c r="W732" s="7"/>
      <c r="X732" s="7"/>
      <c r="Y732" s="7"/>
      <c r="Z732" s="7"/>
      <c r="AA732" s="7"/>
      <c r="AB732" s="7"/>
      <c r="AC732" s="7"/>
      <c r="AD732" s="7"/>
      <c r="AE732" s="7"/>
      <c r="AF732" s="7"/>
      <c r="AG732" s="7"/>
      <c r="AH732" s="7"/>
      <c r="AI732" s="7"/>
      <c r="AJ732" s="7"/>
      <c r="AK732" s="7"/>
      <c r="AL732" s="7"/>
      <c r="AM732" s="7"/>
      <c r="AN732" s="7"/>
      <c r="AO732" s="7"/>
      <c r="AP732" s="7"/>
      <c r="AQ732" s="7"/>
      <c r="AR732" s="7"/>
      <c r="AS732" s="7"/>
      <c r="AT732" s="2"/>
      <c r="AU732" s="2"/>
    </row>
    <row r="733" spans="1:47" hidden="1" outlineLevel="1">
      <c r="A733" s="298"/>
      <c r="B733" s="173" t="s">
        <v>765</v>
      </c>
      <c r="C733" s="169" t="s">
        <v>732</v>
      </c>
      <c r="D733" s="169"/>
      <c r="E733" s="169"/>
      <c r="F733" s="169"/>
      <c r="G733" s="169"/>
      <c r="H733" s="169"/>
      <c r="I733" s="169"/>
      <c r="J733" s="169"/>
      <c r="K733" s="26"/>
      <c r="L733" s="26"/>
      <c r="M733" s="26"/>
      <c r="N733" s="26"/>
      <c r="O733" s="26"/>
      <c r="P733" s="555">
        <v>10</v>
      </c>
      <c r="Q733" s="555">
        <v>30</v>
      </c>
      <c r="R733" s="555">
        <v>40</v>
      </c>
      <c r="S733" s="555">
        <v>52</v>
      </c>
      <c r="T733" s="555">
        <v>76</v>
      </c>
      <c r="U733" s="555">
        <v>83</v>
      </c>
      <c r="V733" s="555">
        <v>99</v>
      </c>
      <c r="W733" s="554">
        <v>100</v>
      </c>
      <c r="X733" s="554">
        <v>69</v>
      </c>
      <c r="Y733" s="554">
        <v>60</v>
      </c>
      <c r="Z733" s="214">
        <v>54</v>
      </c>
      <c r="AA733" s="214">
        <v>51.3</v>
      </c>
      <c r="AB733" s="214">
        <v>49.760999999999996</v>
      </c>
      <c r="AC733" s="214">
        <v>48.268169999999998</v>
      </c>
      <c r="AD733" s="214">
        <v>49.233533399999999</v>
      </c>
      <c r="AE733" s="214">
        <v>50.218204067999999</v>
      </c>
      <c r="AF733" s="214">
        <v>51.222568149360001</v>
      </c>
      <c r="AG733" s="214">
        <v>52.247019512347201</v>
      </c>
      <c r="AH733" s="214">
        <v>53.291959902594144</v>
      </c>
      <c r="AI733" s="214">
        <v>54.357799100646027</v>
      </c>
      <c r="AJ733" s="214">
        <v>55.44495508265895</v>
      </c>
      <c r="AK733" s="214">
        <v>56.553854184312129</v>
      </c>
      <c r="AL733" s="214">
        <v>57.684931267998373</v>
      </c>
      <c r="AM733" s="214">
        <v>58.838629893358338</v>
      </c>
      <c r="AN733" s="214">
        <v>60.015402491225508</v>
      </c>
      <c r="AO733" s="214">
        <v>61.215710541050022</v>
      </c>
      <c r="AP733" s="214">
        <v>62.440024751871022</v>
      </c>
      <c r="AQ733" s="214">
        <v>62.440024751871022</v>
      </c>
      <c r="AR733" s="214">
        <v>62.440024751871022</v>
      </c>
      <c r="AS733" s="214">
        <v>62.440024751871022</v>
      </c>
      <c r="AT733" s="2"/>
      <c r="AU733" s="2" t="s">
        <v>1098</v>
      </c>
    </row>
    <row r="734" spans="1:47" hidden="1" outlineLevel="1">
      <c r="A734" s="308"/>
      <c r="B734" s="322" t="s">
        <v>1099</v>
      </c>
      <c r="C734" s="310" t="s">
        <v>733</v>
      </c>
      <c r="D734" s="310"/>
      <c r="E734" s="310"/>
      <c r="F734" s="310"/>
      <c r="G734" s="310"/>
      <c r="H734" s="310"/>
      <c r="I734" s="310"/>
      <c r="J734" s="310"/>
      <c r="K734" s="311"/>
      <c r="L734" s="311"/>
      <c r="M734" s="311"/>
      <c r="N734" s="311"/>
      <c r="O734" s="311"/>
      <c r="P734" s="311"/>
      <c r="Q734" s="312">
        <v>2</v>
      </c>
      <c r="R734" s="312">
        <v>0.33333333333333326</v>
      </c>
      <c r="S734" s="312">
        <v>0.30000000000000004</v>
      </c>
      <c r="T734" s="312">
        <v>0.46153846153846145</v>
      </c>
      <c r="U734" s="312">
        <v>9.210526315789469E-2</v>
      </c>
      <c r="V734" s="312">
        <v>0.19277108433734935</v>
      </c>
      <c r="W734" s="313">
        <v>1.0101010101010166E-2</v>
      </c>
      <c r="X734" s="313">
        <v>-0.31000000000000005</v>
      </c>
      <c r="Y734" s="743">
        <v>-0.13043478260869568</v>
      </c>
      <c r="Z734" s="542">
        <v>-0.1</v>
      </c>
      <c r="AA734" s="542">
        <v>-0.05</v>
      </c>
      <c r="AB734" s="542">
        <v>-0.03</v>
      </c>
      <c r="AC734" s="542">
        <v>-0.03</v>
      </c>
      <c r="AD734" s="542">
        <v>0.02</v>
      </c>
      <c r="AE734" s="320">
        <v>0.02</v>
      </c>
      <c r="AF734" s="320">
        <v>0.02</v>
      </c>
      <c r="AG734" s="320">
        <v>0.02</v>
      </c>
      <c r="AH734" s="320">
        <v>0.02</v>
      </c>
      <c r="AI734" s="320">
        <v>0.02</v>
      </c>
      <c r="AJ734" s="320">
        <v>0.02</v>
      </c>
      <c r="AK734" s="320">
        <v>0.02</v>
      </c>
      <c r="AL734" s="320">
        <v>0.02</v>
      </c>
      <c r="AM734" s="320">
        <v>0.02</v>
      </c>
      <c r="AN734" s="320">
        <v>0.02</v>
      </c>
      <c r="AO734" s="321">
        <v>0.02</v>
      </c>
      <c r="AP734" s="321">
        <v>0.02</v>
      </c>
      <c r="AQ734" s="321">
        <v>0.02</v>
      </c>
      <c r="AR734" s="321">
        <v>0.02</v>
      </c>
      <c r="AS734" s="321">
        <v>0.02</v>
      </c>
      <c r="AT734" s="312"/>
      <c r="AU734" s="514"/>
    </row>
    <row r="735" spans="1:47" ht="14.4" hidden="1" outlineLevel="1" thickBot="1">
      <c r="A735" s="298"/>
      <c r="B735" s="76"/>
      <c r="C735" s="78"/>
      <c r="D735" s="78"/>
      <c r="E735" s="78"/>
      <c r="F735" s="78"/>
      <c r="G735" s="78"/>
      <c r="H735" s="78"/>
      <c r="I735" s="78"/>
      <c r="J735" s="78"/>
      <c r="K735" s="108"/>
      <c r="L735" s="108"/>
      <c r="M735" s="108"/>
      <c r="N735" s="108"/>
      <c r="O735" s="108"/>
      <c r="P735" s="108"/>
      <c r="Q735" s="108"/>
      <c r="R735" s="108"/>
      <c r="S735" s="108"/>
      <c r="T735" s="108"/>
      <c r="U735" s="108"/>
      <c r="V735" s="108"/>
      <c r="W735" s="108"/>
      <c r="X735" s="108"/>
      <c r="Y735" s="108"/>
      <c r="Z735" s="108"/>
      <c r="AA735" s="108"/>
      <c r="AB735" s="108"/>
      <c r="AC735" s="108"/>
      <c r="AD735" s="108"/>
      <c r="AE735" s="108"/>
      <c r="AF735" s="108"/>
      <c r="AG735" s="108"/>
      <c r="AH735" s="108"/>
      <c r="AI735" s="108"/>
      <c r="AJ735" s="108"/>
      <c r="AK735" s="108"/>
      <c r="AL735" s="108"/>
      <c r="AM735" s="108"/>
      <c r="AN735" s="108"/>
      <c r="AO735" s="108"/>
      <c r="AP735" s="108"/>
      <c r="AQ735" s="108"/>
      <c r="AR735" s="108"/>
      <c r="AS735" s="108"/>
      <c r="AT735" s="2"/>
      <c r="AU735" s="2"/>
    </row>
    <row r="736" spans="1:47" hidden="1" outlineLevel="1">
      <c r="A736" s="298"/>
      <c r="B736" s="2"/>
      <c r="C736" s="18"/>
      <c r="D736" s="18"/>
      <c r="E736" s="18"/>
      <c r="F736" s="18"/>
      <c r="G736" s="18"/>
      <c r="H736" s="18"/>
      <c r="I736" s="18"/>
      <c r="J736" s="18"/>
      <c r="K736" s="7"/>
      <c r="L736" s="7"/>
      <c r="M736" s="7"/>
      <c r="N736" s="7"/>
      <c r="O736" s="7"/>
      <c r="P736" s="7"/>
      <c r="Q736" s="7"/>
      <c r="R736" s="7"/>
      <c r="S736" s="7"/>
      <c r="T736" s="7"/>
      <c r="U736" s="7"/>
      <c r="V736" s="7"/>
      <c r="W736" s="7"/>
      <c r="X736" s="7"/>
      <c r="Y736" s="7"/>
      <c r="Z736" s="7"/>
      <c r="AA736" s="7"/>
      <c r="AB736" s="7"/>
      <c r="AC736" s="7"/>
      <c r="AD736" s="7"/>
      <c r="AE736" s="7"/>
      <c r="AF736" s="7"/>
      <c r="AG736" s="7"/>
      <c r="AH736" s="7"/>
      <c r="AI736" s="7"/>
      <c r="AJ736" s="7"/>
      <c r="AK736" s="7"/>
      <c r="AL736" s="7"/>
      <c r="AM736" s="7"/>
      <c r="AN736" s="7"/>
      <c r="AO736" s="7"/>
      <c r="AP736" s="7"/>
      <c r="AQ736" s="7"/>
      <c r="AR736" s="7"/>
      <c r="AS736" s="7"/>
      <c r="AT736" s="2"/>
      <c r="AU736" s="2"/>
    </row>
    <row r="737" spans="1:47" ht="15.6" hidden="1" outlineLevel="1">
      <c r="A737" s="298"/>
      <c r="B737" s="237" t="s">
        <v>1096</v>
      </c>
      <c r="C737" s="238"/>
      <c r="D737" s="239"/>
      <c r="E737" s="239"/>
      <c r="F737" s="239"/>
      <c r="G737" s="239"/>
      <c r="H737" s="239"/>
      <c r="I737" s="239"/>
      <c r="J737" s="239"/>
      <c r="K737" s="239"/>
      <c r="L737" s="239"/>
      <c r="M737" s="239"/>
      <c r="N737" s="239"/>
      <c r="O737" s="239"/>
      <c r="P737" s="239"/>
      <c r="Q737" s="239"/>
      <c r="R737" s="239"/>
      <c r="S737" s="239"/>
      <c r="T737" s="239"/>
      <c r="U737" s="239"/>
      <c r="V737" s="239"/>
      <c r="W737" s="239"/>
      <c r="X737" s="239"/>
      <c r="Y737" s="239"/>
      <c r="Z737" s="239"/>
      <c r="AA737" s="239"/>
      <c r="AB737" s="239"/>
      <c r="AC737" s="239"/>
      <c r="AD737" s="239"/>
      <c r="AE737" s="239"/>
      <c r="AF737" s="239"/>
      <c r="AG737" s="239"/>
      <c r="AH737" s="239"/>
      <c r="AI737" s="239"/>
      <c r="AJ737" s="239"/>
      <c r="AK737" s="239"/>
      <c r="AL737" s="239"/>
      <c r="AM737" s="239"/>
      <c r="AN737" s="239"/>
      <c r="AO737" s="270"/>
      <c r="AP737" s="240"/>
      <c r="AQ737" s="240"/>
      <c r="AR737" s="240"/>
      <c r="AS737" s="240"/>
      <c r="AT737" s="2"/>
      <c r="AU737" s="2"/>
    </row>
    <row r="738" spans="1:47" hidden="1" outlineLevel="1">
      <c r="A738" s="298"/>
      <c r="B738" s="6"/>
      <c r="C738" s="18"/>
      <c r="D738" s="18"/>
      <c r="E738" s="18"/>
      <c r="F738" s="18"/>
      <c r="G738" s="18"/>
      <c r="H738" s="18"/>
      <c r="I738" s="18"/>
      <c r="J738" s="18"/>
      <c r="K738" s="7"/>
      <c r="L738" s="7"/>
      <c r="M738" s="7"/>
      <c r="N738" s="7"/>
      <c r="O738" s="7"/>
      <c r="P738" s="7"/>
      <c r="Q738" s="7"/>
      <c r="R738" s="7"/>
      <c r="S738" s="7"/>
      <c r="T738" s="7"/>
      <c r="U738" s="7"/>
      <c r="V738" s="7"/>
      <c r="W738" s="7"/>
      <c r="X738" s="7"/>
      <c r="Y738" s="7"/>
      <c r="Z738" s="7"/>
      <c r="AA738" s="7"/>
      <c r="AB738" s="7"/>
      <c r="AC738" s="7"/>
      <c r="AD738" s="7"/>
      <c r="AE738" s="7"/>
      <c r="AF738" s="7"/>
      <c r="AG738" s="7"/>
      <c r="AH738" s="7"/>
      <c r="AI738" s="7"/>
      <c r="AJ738" s="7"/>
      <c r="AK738" s="7"/>
      <c r="AL738" s="7"/>
      <c r="AM738" s="7"/>
      <c r="AN738" s="7"/>
      <c r="AO738" s="7"/>
      <c r="AP738" s="7"/>
      <c r="AQ738" s="7"/>
      <c r="AR738" s="7"/>
      <c r="AS738" s="7"/>
      <c r="AT738" s="2"/>
      <c r="AU738" s="2"/>
    </row>
    <row r="739" spans="1:47" hidden="1" outlineLevel="1">
      <c r="A739" s="298"/>
      <c r="B739" s="6" t="s">
        <v>279</v>
      </c>
      <c r="C739" s="18"/>
      <c r="D739" s="18"/>
      <c r="E739" s="18"/>
      <c r="F739" s="18"/>
      <c r="G739" s="18"/>
      <c r="H739" s="18"/>
      <c r="I739" s="18"/>
      <c r="J739" s="18"/>
      <c r="K739" s="7"/>
      <c r="L739" s="7"/>
      <c r="M739" s="7"/>
      <c r="N739" s="7"/>
      <c r="O739" s="7"/>
      <c r="P739" s="7"/>
      <c r="Q739" s="7"/>
      <c r="R739" s="7"/>
      <c r="S739" s="7"/>
      <c r="T739" s="7"/>
      <c r="U739" s="7"/>
      <c r="V739" s="7"/>
      <c r="W739" s="7"/>
      <c r="X739" s="7"/>
      <c r="Y739" s="7"/>
      <c r="Z739" s="7"/>
      <c r="AA739" s="7"/>
      <c r="AB739" s="7"/>
      <c r="AC739" s="7"/>
      <c r="AD739" s="7"/>
      <c r="AE739" s="7"/>
      <c r="AF739" s="7"/>
      <c r="AG739" s="7"/>
      <c r="AH739" s="7"/>
      <c r="AI739" s="7"/>
      <c r="AJ739" s="7"/>
      <c r="AK739" s="7"/>
      <c r="AL739" s="7"/>
      <c r="AM739" s="7"/>
      <c r="AN739" s="7"/>
      <c r="AO739" s="7"/>
      <c r="AP739" s="7"/>
      <c r="AQ739" s="7"/>
      <c r="AR739" s="7"/>
      <c r="AS739" s="7"/>
      <c r="AT739" s="2"/>
      <c r="AU739" s="2"/>
    </row>
    <row r="740" spans="1:47" hidden="1" outlineLevel="1">
      <c r="A740" s="298"/>
      <c r="B740" s="55" t="s">
        <v>280</v>
      </c>
      <c r="C740" s="18" t="s">
        <v>281</v>
      </c>
      <c r="D740" s="18"/>
      <c r="E740" s="18"/>
      <c r="F740" s="18"/>
      <c r="G740" s="18"/>
      <c r="H740" s="18"/>
      <c r="I740" s="18"/>
      <c r="J740" s="18"/>
      <c r="K740" s="7"/>
      <c r="L740" s="532">
        <v>937</v>
      </c>
      <c r="M740" s="532">
        <v>905</v>
      </c>
      <c r="N740" s="532">
        <v>937</v>
      </c>
      <c r="O740" s="532">
        <v>970</v>
      </c>
      <c r="P740" s="532">
        <v>1108</v>
      </c>
      <c r="Q740" s="532">
        <v>1084</v>
      </c>
      <c r="R740" s="532">
        <v>1079</v>
      </c>
      <c r="S740" s="532">
        <v>1084</v>
      </c>
      <c r="T740" s="532">
        <v>1090</v>
      </c>
      <c r="U740" s="532">
        <v>1014</v>
      </c>
      <c r="V740" s="532">
        <v>853</v>
      </c>
      <c r="W740" s="31">
        <v>581.74599999999998</v>
      </c>
      <c r="X740" s="31">
        <v>432.81902399999996</v>
      </c>
      <c r="Y740" s="31">
        <v>216.40951199999998</v>
      </c>
      <c r="Z740" s="7">
        <v>151.48665839999998</v>
      </c>
      <c r="AA740" s="7">
        <v>75.743329199999991</v>
      </c>
      <c r="AB740" s="7">
        <v>22.722998759999999</v>
      </c>
      <c r="AC740" s="7">
        <v>6.8168996280000007</v>
      </c>
      <c r="AD740" s="7">
        <v>6.8168996280000007</v>
      </c>
      <c r="AE740" s="7">
        <v>6.8168996280000007</v>
      </c>
      <c r="AF740" s="7">
        <v>6.8168996280000007</v>
      </c>
      <c r="AG740" s="7">
        <v>6.8168996280000007</v>
      </c>
      <c r="AH740" s="7">
        <v>6.8168996280000007</v>
      </c>
      <c r="AI740" s="7">
        <v>6.8168996280000007</v>
      </c>
      <c r="AJ740" s="7">
        <v>6.8168996280000007</v>
      </c>
      <c r="AK740" s="7">
        <v>6.8168996280000007</v>
      </c>
      <c r="AL740" s="7">
        <v>6.8168996280000007</v>
      </c>
      <c r="AM740" s="7">
        <v>6.8168996280000007</v>
      </c>
      <c r="AN740" s="7">
        <v>6.8168996280000007</v>
      </c>
      <c r="AO740" s="7">
        <v>6.8168996280000007</v>
      </c>
      <c r="AP740" s="7">
        <v>6.8168996280000007</v>
      </c>
      <c r="AQ740" s="7">
        <v>6.8168996280000007</v>
      </c>
      <c r="AR740" s="7">
        <v>6.8168996280000007</v>
      </c>
      <c r="AS740" s="7">
        <v>6.8168996280000007</v>
      </c>
      <c r="AT740" s="2"/>
      <c r="AU740" s="2"/>
    </row>
    <row r="741" spans="1:47" hidden="1" outlineLevel="1">
      <c r="A741" s="298"/>
      <c r="B741" s="241" t="s">
        <v>1099</v>
      </c>
      <c r="C741" s="18" t="s">
        <v>733</v>
      </c>
      <c r="D741" s="18"/>
      <c r="E741" s="18"/>
      <c r="F741" s="18"/>
      <c r="G741" s="18"/>
      <c r="H741" s="18"/>
      <c r="I741" s="18"/>
      <c r="J741" s="18"/>
      <c r="K741" s="7"/>
      <c r="L741" s="7"/>
      <c r="M741" s="29">
        <v>-3.4151547491995782E-2</v>
      </c>
      <c r="N741" s="29">
        <v>3.5359116022099402E-2</v>
      </c>
      <c r="O741" s="29">
        <v>3.5218783351120608E-2</v>
      </c>
      <c r="P741" s="29">
        <v>0.14226804123711334</v>
      </c>
      <c r="Q741" s="29">
        <v>-2.166064981949456E-2</v>
      </c>
      <c r="R741" s="29">
        <v>-4.6125461254612476E-3</v>
      </c>
      <c r="S741" s="29">
        <v>4.633920296570837E-3</v>
      </c>
      <c r="T741" s="111">
        <v>5.5350553505535416E-3</v>
      </c>
      <c r="U741" s="29">
        <v>-6.9724770642201839E-2</v>
      </c>
      <c r="V741" s="29">
        <v>-0.15877712031558189</v>
      </c>
      <c r="W741" s="532">
        <v>-0.318</v>
      </c>
      <c r="X741" s="556">
        <v>-0.25600000000000001</v>
      </c>
      <c r="Y741" s="557">
        <v>-0.5</v>
      </c>
      <c r="Z741" s="557">
        <v>-0.3</v>
      </c>
      <c r="AA741" s="557">
        <v>-0.5</v>
      </c>
      <c r="AB741" s="557">
        <v>-0.7</v>
      </c>
      <c r="AC741" s="557">
        <v>-0.7</v>
      </c>
      <c r="AD741" s="230"/>
      <c r="AE741" s="230"/>
      <c r="AF741" s="230"/>
      <c r="AG741" s="230"/>
      <c r="AH741" s="230"/>
      <c r="AI741" s="230"/>
      <c r="AJ741" s="230"/>
      <c r="AK741" s="230"/>
      <c r="AL741" s="230"/>
      <c r="AM741" s="230"/>
      <c r="AN741" s="230"/>
      <c r="AO741" s="231"/>
      <c r="AP741" s="231"/>
      <c r="AQ741" s="231"/>
      <c r="AR741" s="231"/>
      <c r="AS741" s="231"/>
      <c r="AT741" s="2"/>
      <c r="AU741" s="2"/>
    </row>
    <row r="742" spans="1:47" hidden="1" outlineLevel="1">
      <c r="A742" s="298"/>
      <c r="B742" s="2"/>
      <c r="C742" s="18"/>
      <c r="D742" s="18"/>
      <c r="E742" s="18"/>
      <c r="F742" s="18"/>
      <c r="G742" s="18"/>
      <c r="H742" s="18"/>
      <c r="I742" s="18"/>
      <c r="J742" s="18"/>
      <c r="K742" s="7"/>
      <c r="L742" s="7"/>
      <c r="M742" s="7"/>
      <c r="N742" s="7"/>
      <c r="O742" s="7"/>
      <c r="P742" s="7"/>
      <c r="Q742" s="7"/>
      <c r="R742" s="7"/>
      <c r="S742" s="7"/>
      <c r="T742" s="7"/>
      <c r="U742" s="7"/>
      <c r="V742" s="7"/>
      <c r="W742" s="7"/>
      <c r="X742" s="7"/>
      <c r="Y742" s="7"/>
      <c r="Z742" s="7"/>
      <c r="AA742" s="7"/>
      <c r="AB742" s="7"/>
      <c r="AC742" s="7"/>
      <c r="AD742" s="7"/>
      <c r="AE742" s="7"/>
      <c r="AF742" s="7"/>
      <c r="AG742" s="7"/>
      <c r="AH742" s="7"/>
      <c r="AI742" s="7"/>
      <c r="AJ742" s="7"/>
      <c r="AK742" s="7"/>
      <c r="AL742" s="7"/>
      <c r="AM742" s="7"/>
      <c r="AN742" s="7"/>
      <c r="AO742" s="7"/>
      <c r="AP742" s="7"/>
      <c r="AQ742" s="7"/>
      <c r="AR742" s="7"/>
      <c r="AS742" s="7"/>
      <c r="AT742" s="2"/>
      <c r="AU742" s="2"/>
    </row>
    <row r="743" spans="1:47" hidden="1" outlineLevel="1">
      <c r="A743" s="298"/>
      <c r="B743" s="55" t="s">
        <v>282</v>
      </c>
      <c r="C743" s="18" t="s">
        <v>281</v>
      </c>
      <c r="D743" s="18"/>
      <c r="E743" s="18"/>
      <c r="F743" s="18"/>
      <c r="G743" s="18"/>
      <c r="H743" s="18"/>
      <c r="I743" s="18"/>
      <c r="J743" s="18"/>
      <c r="K743" s="7"/>
      <c r="L743" s="7">
        <v>0</v>
      </c>
      <c r="M743" s="7">
        <v>0</v>
      </c>
      <c r="N743" s="7">
        <v>0</v>
      </c>
      <c r="O743" s="7">
        <v>0</v>
      </c>
      <c r="P743" s="7">
        <v>0</v>
      </c>
      <c r="Q743" s="7">
        <v>88</v>
      </c>
      <c r="R743" s="7">
        <v>124</v>
      </c>
      <c r="S743" s="7">
        <v>189</v>
      </c>
      <c r="T743" s="7">
        <v>216</v>
      </c>
      <c r="U743" s="7">
        <v>249</v>
      </c>
      <c r="V743" s="7">
        <v>266</v>
      </c>
      <c r="W743" s="31">
        <v>277.96999999999997</v>
      </c>
      <c r="X743" s="31">
        <v>286.3091</v>
      </c>
      <c r="Y743" s="31">
        <v>294.89837299999999</v>
      </c>
      <c r="Z743" s="31">
        <v>309.64329164999998</v>
      </c>
      <c r="AA743" s="31">
        <v>325.12545623249997</v>
      </c>
      <c r="AB743" s="31">
        <v>341.381729044125</v>
      </c>
      <c r="AC743" s="31">
        <v>358.45081549633124</v>
      </c>
      <c r="AD743" s="31">
        <v>358.45081549633124</v>
      </c>
      <c r="AE743" s="31">
        <v>358.45081549633124</v>
      </c>
      <c r="AF743" s="31">
        <v>351.28179918640461</v>
      </c>
      <c r="AG743" s="31">
        <v>344.25616320267653</v>
      </c>
      <c r="AH743" s="31">
        <v>337.37103993862297</v>
      </c>
      <c r="AI743" s="31">
        <v>330.62361913985052</v>
      </c>
      <c r="AJ743" s="31">
        <v>324.0111467570535</v>
      </c>
      <c r="AK743" s="31">
        <v>317.53092382191244</v>
      </c>
      <c r="AL743" s="31">
        <v>311.18030534547421</v>
      </c>
      <c r="AM743" s="31">
        <v>304.95669923856474</v>
      </c>
      <c r="AN743" s="31">
        <v>298.85756525379344</v>
      </c>
      <c r="AO743" s="31">
        <v>292.88041394871755</v>
      </c>
      <c r="AP743" s="31">
        <v>287.02280566974321</v>
      </c>
      <c r="AQ743" s="31">
        <v>287.02280566974321</v>
      </c>
      <c r="AR743" s="31">
        <v>287.02280566974321</v>
      </c>
      <c r="AS743" s="31">
        <v>287.02280566974321</v>
      </c>
      <c r="AT743" s="2"/>
      <c r="AU743" s="2"/>
    </row>
    <row r="744" spans="1:47" hidden="1" outlineLevel="1">
      <c r="A744" s="298"/>
      <c r="B744" s="241" t="s">
        <v>1099</v>
      </c>
      <c r="C744" s="18" t="s">
        <v>733</v>
      </c>
      <c r="D744" s="18"/>
      <c r="E744" s="18"/>
      <c r="F744" s="18"/>
      <c r="G744" s="18"/>
      <c r="H744" s="18"/>
      <c r="I744" s="18"/>
      <c r="J744" s="18"/>
      <c r="K744" s="7"/>
      <c r="L744" s="7"/>
      <c r="M744" s="29"/>
      <c r="N744" s="29"/>
      <c r="O744" s="29"/>
      <c r="P744" s="29"/>
      <c r="Q744" s="29"/>
      <c r="R744" s="29">
        <v>0.40909090909090917</v>
      </c>
      <c r="S744" s="29">
        <v>0.52419354838709675</v>
      </c>
      <c r="T744" s="29">
        <v>0.14285714285714279</v>
      </c>
      <c r="U744" s="29">
        <v>0.15277777777777768</v>
      </c>
      <c r="V744" s="29">
        <v>6.8273092369477872E-2</v>
      </c>
      <c r="W744" s="556">
        <v>4.4999999999999998E-2</v>
      </c>
      <c r="X744" s="557">
        <v>0.03</v>
      </c>
      <c r="Y744" s="557">
        <v>0.03</v>
      </c>
      <c r="Z744" s="557">
        <v>0.05</v>
      </c>
      <c r="AA744" s="557">
        <v>0.05</v>
      </c>
      <c r="AB744" s="557">
        <v>0.05</v>
      </c>
      <c r="AC744" s="557">
        <v>0.05</v>
      </c>
      <c r="AD744" s="557">
        <v>0</v>
      </c>
      <c r="AE744" s="230">
        <v>0</v>
      </c>
      <c r="AF744" s="557">
        <v>-0.02</v>
      </c>
      <c r="AG744" s="230">
        <v>-0.02</v>
      </c>
      <c r="AH744" s="230">
        <v>-0.02</v>
      </c>
      <c r="AI744" s="230">
        <v>-0.02</v>
      </c>
      <c r="AJ744" s="230">
        <v>-0.02</v>
      </c>
      <c r="AK744" s="230">
        <v>-0.02</v>
      </c>
      <c r="AL744" s="230">
        <v>-0.02</v>
      </c>
      <c r="AM744" s="230">
        <v>-0.02</v>
      </c>
      <c r="AN744" s="230">
        <v>-0.02</v>
      </c>
      <c r="AO744" s="231">
        <v>-0.02</v>
      </c>
      <c r="AP744" s="231">
        <v>-0.02</v>
      </c>
      <c r="AQ744" s="231">
        <v>-0.02</v>
      </c>
      <c r="AR744" s="231">
        <v>-0.02</v>
      </c>
      <c r="AS744" s="231">
        <v>-0.02</v>
      </c>
      <c r="AT744" s="2"/>
      <c r="AU744" s="2"/>
    </row>
    <row r="745" spans="1:47" hidden="1" outlineLevel="1">
      <c r="A745" s="298"/>
      <c r="B745" s="6"/>
      <c r="C745" s="18"/>
      <c r="D745" s="18"/>
      <c r="E745" s="18"/>
      <c r="F745" s="18"/>
      <c r="G745" s="18"/>
      <c r="H745" s="18"/>
      <c r="I745" s="18"/>
      <c r="J745" s="18"/>
      <c r="K745" s="7"/>
      <c r="L745" s="7"/>
      <c r="M745" s="7"/>
      <c r="N745" s="7"/>
      <c r="O745" s="7"/>
      <c r="P745" s="7"/>
      <c r="Q745" s="7"/>
      <c r="R745" s="7"/>
      <c r="S745" s="7"/>
      <c r="T745" s="7"/>
      <c r="U745" s="7"/>
      <c r="V745" s="7"/>
      <c r="W745" s="7"/>
      <c r="X745" s="7"/>
      <c r="Y745" s="7"/>
      <c r="Z745" s="7"/>
      <c r="AA745" s="7"/>
      <c r="AB745" s="7"/>
      <c r="AC745" s="7"/>
      <c r="AD745" s="7"/>
      <c r="AE745" s="7"/>
      <c r="AF745" s="7"/>
      <c r="AG745" s="7"/>
      <c r="AH745" s="7"/>
      <c r="AI745" s="7"/>
      <c r="AJ745" s="7"/>
      <c r="AK745" s="7"/>
      <c r="AL745" s="7"/>
      <c r="AM745" s="7"/>
      <c r="AN745" s="7"/>
      <c r="AO745" s="7"/>
      <c r="AP745" s="7"/>
      <c r="AQ745" s="7"/>
      <c r="AR745" s="7"/>
      <c r="AS745" s="7"/>
      <c r="AT745" s="2"/>
      <c r="AU745" s="2"/>
    </row>
    <row r="746" spans="1:47" hidden="1" outlineLevel="1">
      <c r="A746" s="298"/>
      <c r="B746" s="55" t="s">
        <v>283</v>
      </c>
      <c r="C746" s="18" t="s">
        <v>281</v>
      </c>
      <c r="D746" s="18"/>
      <c r="E746" s="18"/>
      <c r="F746" s="18"/>
      <c r="G746" s="18"/>
      <c r="H746" s="18"/>
      <c r="I746" s="18"/>
      <c r="J746" s="18"/>
      <c r="K746" s="7"/>
      <c r="L746" s="56">
        <v>937</v>
      </c>
      <c r="M746" s="56">
        <v>905</v>
      </c>
      <c r="N746" s="56">
        <v>937</v>
      </c>
      <c r="O746" s="56">
        <v>970</v>
      </c>
      <c r="P746" s="56">
        <v>1108</v>
      </c>
      <c r="Q746" s="56">
        <v>1172</v>
      </c>
      <c r="R746" s="56">
        <v>1203</v>
      </c>
      <c r="S746" s="56">
        <v>1282</v>
      </c>
      <c r="T746" s="56">
        <v>1315</v>
      </c>
      <c r="U746" s="56">
        <v>1278</v>
      </c>
      <c r="V746" s="56">
        <v>1119</v>
      </c>
      <c r="W746" s="56">
        <v>859.71599999999989</v>
      </c>
      <c r="X746" s="56">
        <v>719.12812399999996</v>
      </c>
      <c r="Y746" s="56">
        <v>511.30788499999994</v>
      </c>
      <c r="Z746" s="56">
        <v>461.12995004999993</v>
      </c>
      <c r="AA746" s="56">
        <v>400.86878543249998</v>
      </c>
      <c r="AB746" s="56">
        <v>364.10472780412499</v>
      </c>
      <c r="AC746" s="56">
        <v>365.26771512433123</v>
      </c>
      <c r="AD746" s="56">
        <v>365.26771512433123</v>
      </c>
      <c r="AE746" s="56">
        <v>365.26771512433123</v>
      </c>
      <c r="AF746" s="56">
        <v>358.0986988144046</v>
      </c>
      <c r="AG746" s="56">
        <v>351.07306283067652</v>
      </c>
      <c r="AH746" s="56">
        <v>344.18793956662296</v>
      </c>
      <c r="AI746" s="56">
        <v>337.44051876785051</v>
      </c>
      <c r="AJ746" s="56">
        <v>330.82804638505348</v>
      </c>
      <c r="AK746" s="56">
        <v>324.34782344991243</v>
      </c>
      <c r="AL746" s="56">
        <v>317.9972049734742</v>
      </c>
      <c r="AM746" s="56">
        <v>311.77359886656473</v>
      </c>
      <c r="AN746" s="56">
        <v>305.67446488179343</v>
      </c>
      <c r="AO746" s="56">
        <v>299.69731357671753</v>
      </c>
      <c r="AP746" s="56">
        <v>293.83970529774319</v>
      </c>
      <c r="AQ746" s="56">
        <v>293.83970529774319</v>
      </c>
      <c r="AR746" s="56">
        <v>293.83970529774319</v>
      </c>
      <c r="AS746" s="56">
        <v>293.83970529774319</v>
      </c>
      <c r="AT746" s="2"/>
      <c r="AU746" s="2"/>
    </row>
    <row r="747" spans="1:47" hidden="1" outlineLevel="1">
      <c r="A747" s="298"/>
      <c r="B747" s="241" t="s">
        <v>1099</v>
      </c>
      <c r="C747" s="18" t="s">
        <v>733</v>
      </c>
      <c r="D747" s="18"/>
      <c r="E747" s="18"/>
      <c r="F747" s="18"/>
      <c r="G747" s="18"/>
      <c r="H747" s="18"/>
      <c r="I747" s="18"/>
      <c r="J747" s="18"/>
      <c r="K747" s="7"/>
      <c r="L747" s="7"/>
      <c r="M747" s="29">
        <v>-3.4151547491995782E-2</v>
      </c>
      <c r="N747" s="29">
        <v>3.5359116022099402E-2</v>
      </c>
      <c r="O747" s="29">
        <v>3.5218783351120608E-2</v>
      </c>
      <c r="P747" s="29">
        <v>0.14226804123711334</v>
      </c>
      <c r="Q747" s="29">
        <v>5.7761732851985492E-2</v>
      </c>
      <c r="R747" s="29">
        <v>2.6450511945392385E-2</v>
      </c>
      <c r="S747" s="29">
        <v>6.5669160432252793E-2</v>
      </c>
      <c r="T747" s="29">
        <v>2.5741029641185742E-2</v>
      </c>
      <c r="U747" s="29">
        <v>-2.8136882129277563E-2</v>
      </c>
      <c r="V747" s="29">
        <v>-0.12441314553990612</v>
      </c>
      <c r="W747" s="29">
        <v>-0.23171045576407512</v>
      </c>
      <c r="X747" s="29">
        <v>-0.16352827677977377</v>
      </c>
      <c r="Y747" s="29">
        <v>-0.28898916905661176</v>
      </c>
      <c r="Z747" s="29">
        <v>-9.8136438772110868E-2</v>
      </c>
      <c r="AA747" s="29">
        <v>-0.13068152396296506</v>
      </c>
      <c r="AB747" s="29">
        <v>-9.171095122487527E-2</v>
      </c>
      <c r="AC747" s="29">
        <v>3.1941011236522598E-3</v>
      </c>
      <c r="AD747" s="29">
        <v>0</v>
      </c>
      <c r="AE747" s="29">
        <v>0</v>
      </c>
      <c r="AF747" s="29">
        <v>-1.9626745023130221E-2</v>
      </c>
      <c r="AG747" s="29">
        <v>-1.9619272583197289E-2</v>
      </c>
      <c r="AH747" s="29">
        <v>-1.9611653507504379E-2</v>
      </c>
      <c r="AI747" s="29">
        <v>-1.9603885038122826E-2</v>
      </c>
      <c r="AJ747" s="29">
        <v>-1.9595964370082708E-2</v>
      </c>
      <c r="AK747" s="29">
        <v>-1.958788865076655E-2</v>
      </c>
      <c r="AL747" s="29">
        <v>-1.9579654979306249E-2</v>
      </c>
      <c r="AM747" s="29">
        <v>-1.9571260405979451E-2</v>
      </c>
      <c r="AN747" s="29">
        <v>-1.9562701931607918E-2</v>
      </c>
      <c r="AO747" s="29">
        <v>-1.9553976506959114E-2</v>
      </c>
      <c r="AP747" s="29">
        <v>-1.9545081032149136E-2</v>
      </c>
      <c r="AQ747" s="29">
        <v>-1.9545081032149136E-2</v>
      </c>
      <c r="AR747" s="29">
        <v>-1.9545081032149136E-2</v>
      </c>
      <c r="AS747" s="29">
        <v>-1.9545081032149136E-2</v>
      </c>
      <c r="AT747" s="2"/>
      <c r="AU747" s="2"/>
    </row>
    <row r="748" spans="1:47" hidden="1" outlineLevel="1">
      <c r="A748" s="298"/>
      <c r="B748" s="2"/>
      <c r="C748" s="18"/>
      <c r="D748" s="18"/>
      <c r="E748" s="18"/>
      <c r="F748" s="18"/>
      <c r="G748" s="18"/>
      <c r="H748" s="18"/>
      <c r="I748" s="18"/>
      <c r="J748" s="18"/>
      <c r="K748" s="7"/>
      <c r="L748" s="7"/>
      <c r="M748" s="7"/>
      <c r="N748" s="7"/>
      <c r="O748" s="7"/>
      <c r="P748" s="7"/>
      <c r="Q748" s="7"/>
      <c r="R748" s="7"/>
      <c r="S748" s="7"/>
      <c r="T748" s="7"/>
      <c r="U748" s="7"/>
      <c r="V748" s="7"/>
      <c r="W748" s="7"/>
      <c r="X748" s="7"/>
      <c r="Y748" s="7"/>
      <c r="Z748" s="7"/>
      <c r="AA748" s="7"/>
      <c r="AB748" s="7"/>
      <c r="AC748" s="7"/>
      <c r="AD748" s="7"/>
      <c r="AE748" s="7"/>
      <c r="AF748" s="7"/>
      <c r="AG748" s="7"/>
      <c r="AH748" s="7"/>
      <c r="AI748" s="7"/>
      <c r="AJ748" s="7"/>
      <c r="AK748" s="7"/>
      <c r="AL748" s="7"/>
      <c r="AM748" s="7"/>
      <c r="AN748" s="7"/>
      <c r="AO748" s="7"/>
      <c r="AP748" s="7"/>
      <c r="AQ748" s="7"/>
      <c r="AR748" s="7"/>
      <c r="AS748" s="7"/>
      <c r="AT748" s="2"/>
      <c r="AU748" s="2"/>
    </row>
    <row r="749" spans="1:47" hidden="1" outlineLevel="1">
      <c r="A749" s="298"/>
      <c r="B749" s="6" t="s">
        <v>284</v>
      </c>
      <c r="C749" s="18"/>
      <c r="D749" s="18"/>
      <c r="E749" s="18"/>
      <c r="F749" s="18"/>
      <c r="G749" s="18"/>
      <c r="H749" s="18"/>
      <c r="I749" s="18"/>
      <c r="J749" s="18"/>
      <c r="K749" s="7"/>
      <c r="L749" s="7"/>
      <c r="M749" s="7"/>
      <c r="N749" s="7"/>
      <c r="O749" s="7"/>
      <c r="P749" s="7"/>
      <c r="Q749" s="7"/>
      <c r="R749" s="7"/>
      <c r="S749" s="7"/>
      <c r="T749" s="7"/>
      <c r="U749" s="7"/>
      <c r="V749" s="7"/>
      <c r="W749" s="7"/>
      <c r="X749" s="7"/>
      <c r="Y749" s="7"/>
      <c r="Z749" s="7"/>
      <c r="AA749" s="7"/>
      <c r="AB749" s="7"/>
      <c r="AC749" s="7"/>
      <c r="AD749" s="7"/>
      <c r="AE749" s="7"/>
      <c r="AF749" s="7"/>
      <c r="AG749" s="7"/>
      <c r="AH749" s="7"/>
      <c r="AI749" s="7"/>
      <c r="AJ749" s="7"/>
      <c r="AK749" s="7"/>
      <c r="AL749" s="7"/>
      <c r="AM749" s="7"/>
      <c r="AN749" s="7"/>
      <c r="AO749" s="7"/>
      <c r="AP749" s="7"/>
      <c r="AQ749" s="7"/>
      <c r="AR749" s="7"/>
      <c r="AS749" s="7"/>
      <c r="AT749" s="2"/>
      <c r="AU749" s="2"/>
    </row>
    <row r="750" spans="1:47" hidden="1" outlineLevel="1">
      <c r="A750" s="298"/>
      <c r="B750" s="55" t="s">
        <v>280</v>
      </c>
      <c r="C750" s="18" t="s">
        <v>281</v>
      </c>
      <c r="D750" s="18"/>
      <c r="E750" s="18"/>
      <c r="F750" s="18"/>
      <c r="G750" s="18"/>
      <c r="H750" s="18"/>
      <c r="I750" s="18"/>
      <c r="J750" s="18"/>
      <c r="K750" s="7"/>
      <c r="L750" s="7"/>
      <c r="M750" s="7"/>
      <c r="N750" s="7"/>
      <c r="O750" s="7"/>
      <c r="P750" s="7"/>
      <c r="Q750" s="549">
        <v>302</v>
      </c>
      <c r="R750" s="56">
        <v>323.88031869969785</v>
      </c>
      <c r="S750" s="56">
        <v>358.85939311926523</v>
      </c>
      <c r="T750" s="56">
        <v>390.08016032064131</v>
      </c>
      <c r="U750" s="549">
        <v>389.3</v>
      </c>
      <c r="V750" s="56">
        <v>400.2004</v>
      </c>
      <c r="W750" s="31">
        <v>394.59759439999999</v>
      </c>
      <c r="X750" s="31">
        <v>349.61346863839998</v>
      </c>
      <c r="Y750" s="31">
        <v>174.80673431919999</v>
      </c>
      <c r="Z750" s="31">
        <v>87.403367159599995</v>
      </c>
      <c r="AA750" s="31">
        <v>26.221010147880001</v>
      </c>
      <c r="AB750" s="31">
        <v>0</v>
      </c>
      <c r="AC750" s="31">
        <v>0</v>
      </c>
      <c r="AD750" s="31">
        <v>0</v>
      </c>
      <c r="AE750" s="31">
        <v>0</v>
      </c>
      <c r="AF750" s="31">
        <v>0</v>
      </c>
      <c r="AG750" s="31">
        <v>0</v>
      </c>
      <c r="AH750" s="31">
        <v>0</v>
      </c>
      <c r="AI750" s="31">
        <v>0</v>
      </c>
      <c r="AJ750" s="31">
        <v>0</v>
      </c>
      <c r="AK750" s="31">
        <v>0</v>
      </c>
      <c r="AL750" s="31">
        <v>0</v>
      </c>
      <c r="AM750" s="31">
        <v>0</v>
      </c>
      <c r="AN750" s="31">
        <v>0</v>
      </c>
      <c r="AO750" s="31">
        <v>0</v>
      </c>
      <c r="AP750" s="31">
        <v>0</v>
      </c>
      <c r="AQ750" s="31">
        <v>0</v>
      </c>
      <c r="AR750" s="31">
        <v>0</v>
      </c>
      <c r="AS750" s="31">
        <v>0</v>
      </c>
      <c r="AT750" s="2"/>
      <c r="AU750" s="2"/>
    </row>
    <row r="751" spans="1:47" hidden="1" outlineLevel="1">
      <c r="A751" s="298"/>
      <c r="B751" s="241" t="s">
        <v>1099</v>
      </c>
      <c r="C751" s="18" t="s">
        <v>733</v>
      </c>
      <c r="D751" s="18"/>
      <c r="E751" s="18"/>
      <c r="F751" s="18"/>
      <c r="G751" s="18"/>
      <c r="H751" s="18"/>
      <c r="I751" s="18"/>
      <c r="J751" s="18"/>
      <c r="K751" s="7"/>
      <c r="L751" s="7"/>
      <c r="M751" s="7"/>
      <c r="N751" s="7"/>
      <c r="O751" s="7"/>
      <c r="P751" s="7"/>
      <c r="Q751" s="7"/>
      <c r="R751" s="111">
        <v>7.2451386422840658E-2</v>
      </c>
      <c r="S751" s="547">
        <v>0.108</v>
      </c>
      <c r="T751" s="547">
        <v>8.6999999999999994E-2</v>
      </c>
      <c r="U751" s="547">
        <v>-2E-3</v>
      </c>
      <c r="V751" s="547">
        <v>2.8000000000000001E-2</v>
      </c>
      <c r="W751" s="532">
        <v>-1.4E-2</v>
      </c>
      <c r="X751" s="556">
        <v>-0.114</v>
      </c>
      <c r="Y751" s="557">
        <v>-0.5</v>
      </c>
      <c r="Z751" s="557">
        <v>-0.5</v>
      </c>
      <c r="AA751" s="557">
        <v>-0.7</v>
      </c>
      <c r="AB751" s="557">
        <v>-1</v>
      </c>
      <c r="AC751" s="557">
        <v>-1</v>
      </c>
      <c r="AD751" s="230"/>
      <c r="AE751" s="230"/>
      <c r="AF751" s="230"/>
      <c r="AG751" s="230"/>
      <c r="AH751" s="230"/>
      <c r="AI751" s="230"/>
      <c r="AJ751" s="230"/>
      <c r="AK751" s="230"/>
      <c r="AL751" s="230"/>
      <c r="AM751" s="230"/>
      <c r="AN751" s="230"/>
      <c r="AO751" s="231"/>
      <c r="AP751" s="231"/>
      <c r="AQ751" s="231"/>
      <c r="AR751" s="231"/>
      <c r="AS751" s="231"/>
      <c r="AT751" s="2"/>
      <c r="AU751" s="2"/>
    </row>
    <row r="752" spans="1:47" hidden="1" outlineLevel="1">
      <c r="A752" s="298"/>
      <c r="B752" s="2"/>
      <c r="C752" s="18"/>
      <c r="D752" s="18"/>
      <c r="E752" s="18"/>
      <c r="F752" s="18"/>
      <c r="G752" s="18"/>
      <c r="H752" s="18"/>
      <c r="I752" s="18"/>
      <c r="J752" s="18"/>
      <c r="K752" s="7"/>
      <c r="L752" s="7"/>
      <c r="M752" s="7"/>
      <c r="N752" s="7"/>
      <c r="O752" s="7"/>
      <c r="P752" s="7"/>
      <c r="Q752" s="7"/>
      <c r="R752" s="7"/>
      <c r="S752" s="111"/>
      <c r="T752" s="111"/>
      <c r="U752" s="111"/>
      <c r="V752" s="111"/>
      <c r="W752" s="7"/>
      <c r="X752" s="7"/>
      <c r="Y752" s="7"/>
      <c r="Z752" s="7"/>
      <c r="AA752" s="7"/>
      <c r="AB752" s="7"/>
      <c r="AC752" s="7"/>
      <c r="AD752" s="7"/>
      <c r="AE752" s="7"/>
      <c r="AF752" s="7"/>
      <c r="AG752" s="7"/>
      <c r="AH752" s="7"/>
      <c r="AI752" s="7"/>
      <c r="AJ752" s="7"/>
      <c r="AK752" s="7"/>
      <c r="AL752" s="7"/>
      <c r="AM752" s="7"/>
      <c r="AN752" s="7"/>
      <c r="AO752" s="7"/>
      <c r="AP752" s="7"/>
      <c r="AQ752" s="7"/>
      <c r="AR752" s="7"/>
      <c r="AS752" s="7"/>
      <c r="AT752" s="2"/>
      <c r="AU752" s="2"/>
    </row>
    <row r="753" spans="1:47" hidden="1" outlineLevel="1">
      <c r="A753" s="298"/>
      <c r="B753" s="55" t="s">
        <v>282</v>
      </c>
      <c r="C753" s="18" t="s">
        <v>281</v>
      </c>
      <c r="D753" s="18"/>
      <c r="E753" s="18"/>
      <c r="F753" s="18"/>
      <c r="G753" s="18"/>
      <c r="H753" s="18"/>
      <c r="I753" s="18"/>
      <c r="J753" s="18"/>
      <c r="K753" s="7"/>
      <c r="L753" s="7"/>
      <c r="M753" s="7"/>
      <c r="N753" s="7"/>
      <c r="O753" s="7"/>
      <c r="P753" s="7"/>
      <c r="Q753" s="7"/>
      <c r="R753" s="42">
        <v>6.8815200394147755</v>
      </c>
      <c r="S753" s="42">
        <v>10.459910459910459</v>
      </c>
      <c r="T753" s="42">
        <v>21.965811965811966</v>
      </c>
      <c r="U753" s="533">
        <v>25.7</v>
      </c>
      <c r="V753" s="42">
        <v>35.8001</v>
      </c>
      <c r="W753" s="31">
        <v>47.793133499999996</v>
      </c>
      <c r="X753" s="31">
        <v>57.351760199999994</v>
      </c>
      <c r="Y753" s="31">
        <v>60.21934821</v>
      </c>
      <c r="Z753" s="31">
        <v>63.230315620500001</v>
      </c>
      <c r="AA753" s="31">
        <v>66.39183140152501</v>
      </c>
      <c r="AB753" s="31">
        <v>69.711422971601266</v>
      </c>
      <c r="AC753" s="31">
        <v>73.19699412018133</v>
      </c>
      <c r="AD753" s="31">
        <v>73.19699412018133</v>
      </c>
      <c r="AE753" s="31">
        <v>71.733054237777708</v>
      </c>
      <c r="AF753" s="31">
        <v>70.298393153022147</v>
      </c>
      <c r="AG753" s="31">
        <v>68.892425289961707</v>
      </c>
      <c r="AH753" s="31">
        <v>67.514576784162472</v>
      </c>
      <c r="AI753" s="31">
        <v>66.164285248479217</v>
      </c>
      <c r="AJ753" s="31">
        <v>64.840999543509625</v>
      </c>
      <c r="AK753" s="31">
        <v>63.544179552639434</v>
      </c>
      <c r="AL753" s="31">
        <v>62.273295961586648</v>
      </c>
      <c r="AM753" s="31">
        <v>61.027830042354914</v>
      </c>
      <c r="AN753" s="31">
        <v>59.807273441507817</v>
      </c>
      <c r="AO753" s="31">
        <v>58.611127972677657</v>
      </c>
      <c r="AP753" s="31">
        <v>57.438905413224106</v>
      </c>
      <c r="AQ753" s="31">
        <v>57.438905413224106</v>
      </c>
      <c r="AR753" s="31">
        <v>57.438905413224106</v>
      </c>
      <c r="AS753" s="31">
        <v>57.438905413224106</v>
      </c>
      <c r="AT753" s="2"/>
      <c r="AU753" s="2"/>
    </row>
    <row r="754" spans="1:47" hidden="1" outlineLevel="1">
      <c r="A754" s="298"/>
      <c r="B754" s="241" t="s">
        <v>1099</v>
      </c>
      <c r="C754" s="18" t="s">
        <v>733</v>
      </c>
      <c r="D754" s="18"/>
      <c r="E754" s="18"/>
      <c r="F754" s="18"/>
      <c r="G754" s="18"/>
      <c r="H754" s="18"/>
      <c r="I754" s="18"/>
      <c r="J754" s="18"/>
      <c r="K754" s="7"/>
      <c r="L754" s="7"/>
      <c r="M754" s="7"/>
      <c r="N754" s="7"/>
      <c r="O754" s="7"/>
      <c r="P754" s="7"/>
      <c r="Q754" s="7"/>
      <c r="R754" s="7"/>
      <c r="S754" s="558">
        <v>0.52</v>
      </c>
      <c r="T754" s="558">
        <v>1.1000000000000001</v>
      </c>
      <c r="U754" s="547">
        <v>0.17</v>
      </c>
      <c r="V754" s="547">
        <v>0.39300000000000002</v>
      </c>
      <c r="W754" s="547">
        <v>0.33500000000000002</v>
      </c>
      <c r="X754" s="559">
        <v>0.2</v>
      </c>
      <c r="Y754" s="557">
        <v>0.05</v>
      </c>
      <c r="Z754" s="557">
        <v>0.05</v>
      </c>
      <c r="AA754" s="557">
        <v>0.05</v>
      </c>
      <c r="AB754" s="557">
        <v>0.05</v>
      </c>
      <c r="AC754" s="557">
        <v>0.05</v>
      </c>
      <c r="AD754" s="557">
        <v>0</v>
      </c>
      <c r="AE754" s="557">
        <v>-0.02</v>
      </c>
      <c r="AF754" s="230">
        <v>-0.02</v>
      </c>
      <c r="AG754" s="230">
        <v>-0.02</v>
      </c>
      <c r="AH754" s="230">
        <v>-0.02</v>
      </c>
      <c r="AI754" s="230">
        <v>-0.02</v>
      </c>
      <c r="AJ754" s="230">
        <v>-0.02</v>
      </c>
      <c r="AK754" s="230">
        <v>-0.02</v>
      </c>
      <c r="AL754" s="230">
        <v>-0.02</v>
      </c>
      <c r="AM754" s="230">
        <v>-0.02</v>
      </c>
      <c r="AN754" s="230">
        <v>-0.02</v>
      </c>
      <c r="AO754" s="231">
        <v>-0.02</v>
      </c>
      <c r="AP754" s="231">
        <v>-0.02</v>
      </c>
      <c r="AQ754" s="231">
        <v>-0.02</v>
      </c>
      <c r="AR754" s="231">
        <v>-0.02</v>
      </c>
      <c r="AS754" s="231">
        <v>-0.02</v>
      </c>
      <c r="AT754" s="2"/>
      <c r="AU754" s="2"/>
    </row>
    <row r="755" spans="1:47" hidden="1" outlineLevel="1">
      <c r="A755" s="298"/>
      <c r="B755" s="6"/>
      <c r="C755" s="18"/>
      <c r="D755" s="18"/>
      <c r="E755" s="18"/>
      <c r="F755" s="18"/>
      <c r="G755" s="18"/>
      <c r="H755" s="18"/>
      <c r="I755" s="18"/>
      <c r="J755" s="18"/>
      <c r="K755" s="7"/>
      <c r="L755" s="7"/>
      <c r="M755" s="7"/>
      <c r="N755" s="7"/>
      <c r="O755" s="7"/>
      <c r="P755" s="7"/>
      <c r="Q755" s="7"/>
      <c r="R755" s="7"/>
      <c r="S755" s="7"/>
      <c r="T755" s="7"/>
      <c r="U755" s="7"/>
      <c r="V755" s="7"/>
      <c r="W755" s="7"/>
      <c r="X755" s="7"/>
      <c r="Y755" s="7"/>
      <c r="Z755" s="7"/>
      <c r="AA755" s="7"/>
      <c r="AB755" s="7"/>
      <c r="AC755" s="7"/>
      <c r="AD755" s="7"/>
      <c r="AE755" s="7"/>
      <c r="AF755" s="7"/>
      <c r="AG755" s="7"/>
      <c r="AH755" s="7"/>
      <c r="AI755" s="7"/>
      <c r="AJ755" s="7"/>
      <c r="AK755" s="7"/>
      <c r="AL755" s="7"/>
      <c r="AM755" s="7"/>
      <c r="AN755" s="7"/>
      <c r="AO755" s="7"/>
      <c r="AP755" s="7"/>
      <c r="AQ755" s="7"/>
      <c r="AR755" s="7"/>
      <c r="AS755" s="7"/>
      <c r="AT755" s="2"/>
      <c r="AU755" s="2"/>
    </row>
    <row r="756" spans="1:47" hidden="1" outlineLevel="1">
      <c r="A756" s="298"/>
      <c r="B756" s="55" t="s">
        <v>285</v>
      </c>
      <c r="C756" s="18" t="s">
        <v>281</v>
      </c>
      <c r="D756" s="18"/>
      <c r="E756" s="18"/>
      <c r="F756" s="18"/>
      <c r="G756" s="18"/>
      <c r="H756" s="18"/>
      <c r="I756" s="18"/>
      <c r="J756" s="18"/>
      <c r="K756" s="7"/>
      <c r="L756" s="7"/>
      <c r="M756" s="7"/>
      <c r="N756" s="7"/>
      <c r="O756" s="7"/>
      <c r="P756" s="7"/>
      <c r="Q756" s="31">
        <v>302</v>
      </c>
      <c r="R756" s="31">
        <v>330.76183873911265</v>
      </c>
      <c r="S756" s="31">
        <v>369.31930357917571</v>
      </c>
      <c r="T756" s="31">
        <v>412.04597228645326</v>
      </c>
      <c r="U756" s="31">
        <v>415</v>
      </c>
      <c r="V756" s="31">
        <v>436.00049999999999</v>
      </c>
      <c r="W756" s="31">
        <v>442.3907279</v>
      </c>
      <c r="X756" s="31">
        <v>406.96522883839998</v>
      </c>
      <c r="Y756" s="31">
        <v>235.02608252919998</v>
      </c>
      <c r="Z756" s="31">
        <v>150.6336827801</v>
      </c>
      <c r="AA756" s="31">
        <v>92.612841549405005</v>
      </c>
      <c r="AB756" s="31">
        <v>69.711422971601266</v>
      </c>
      <c r="AC756" s="31">
        <v>73.19699412018133</v>
      </c>
      <c r="AD756" s="31">
        <v>73.19699412018133</v>
      </c>
      <c r="AE756" s="31">
        <v>71.733054237777708</v>
      </c>
      <c r="AF756" s="31">
        <v>70.298393153022147</v>
      </c>
      <c r="AG756" s="31">
        <v>68.892425289961707</v>
      </c>
      <c r="AH756" s="31">
        <v>67.514576784162472</v>
      </c>
      <c r="AI756" s="31">
        <v>66.164285248479217</v>
      </c>
      <c r="AJ756" s="31">
        <v>64.840999543509625</v>
      </c>
      <c r="AK756" s="31">
        <v>63.544179552639434</v>
      </c>
      <c r="AL756" s="31">
        <v>62.273295961586648</v>
      </c>
      <c r="AM756" s="31">
        <v>61.027830042354914</v>
      </c>
      <c r="AN756" s="31">
        <v>59.807273441507817</v>
      </c>
      <c r="AO756" s="31">
        <v>58.611127972677657</v>
      </c>
      <c r="AP756" s="31">
        <v>57.438905413224106</v>
      </c>
      <c r="AQ756" s="31">
        <v>57.438905413224106</v>
      </c>
      <c r="AR756" s="31">
        <v>57.438905413224106</v>
      </c>
      <c r="AS756" s="31">
        <v>57.438905413224106</v>
      </c>
      <c r="AT756" s="2"/>
      <c r="AU756" s="2"/>
    </row>
    <row r="757" spans="1:47" hidden="1" outlineLevel="1">
      <c r="A757" s="298"/>
      <c r="B757" s="241" t="s">
        <v>1099</v>
      </c>
      <c r="C757" s="18" t="s">
        <v>733</v>
      </c>
      <c r="D757" s="18"/>
      <c r="E757" s="18"/>
      <c r="F757" s="18"/>
      <c r="G757" s="18"/>
      <c r="H757" s="18"/>
      <c r="I757" s="18"/>
      <c r="J757" s="18"/>
      <c r="K757" s="7"/>
      <c r="L757" s="7"/>
      <c r="M757" s="7"/>
      <c r="N757" s="7"/>
      <c r="O757" s="7"/>
      <c r="P757" s="7"/>
      <c r="Q757" s="7"/>
      <c r="R757" s="7">
        <v>9.5237876619578277E-2</v>
      </c>
      <c r="S757" s="7">
        <v>0.11657168489281244</v>
      </c>
      <c r="T757" s="7">
        <v>0.1156903207961284</v>
      </c>
      <c r="U757" s="7">
        <v>7.1691702194169871E-3</v>
      </c>
      <c r="V757" s="7">
        <v>5.0603614457831236E-2</v>
      </c>
      <c r="W757" s="7">
        <v>1.4656469201296929E-2</v>
      </c>
      <c r="X757" s="7">
        <v>-8.007739951911419E-2</v>
      </c>
      <c r="Y757" s="7">
        <v>-0.42249099953813141</v>
      </c>
      <c r="Z757" s="7">
        <v>-0.35907674093412567</v>
      </c>
      <c r="AA757" s="7">
        <v>-0.385178402066925</v>
      </c>
      <c r="AB757" s="7">
        <v>-0.24728124301840804</v>
      </c>
      <c r="AC757" s="7">
        <v>5.0000000000000044E-2</v>
      </c>
      <c r="AD757" s="7">
        <v>0</v>
      </c>
      <c r="AE757" s="7">
        <v>-1.9999999999999907E-2</v>
      </c>
      <c r="AF757" s="7">
        <v>-2.0000000000000129E-2</v>
      </c>
      <c r="AG757" s="7">
        <v>-1.9999999999999907E-2</v>
      </c>
      <c r="AH757" s="7">
        <v>-2.0000000000000018E-2</v>
      </c>
      <c r="AI757" s="7">
        <v>-2.0000000000000129E-2</v>
      </c>
      <c r="AJ757" s="7">
        <v>-2.0000000000000129E-2</v>
      </c>
      <c r="AK757" s="7">
        <v>-2.0000000000000018E-2</v>
      </c>
      <c r="AL757" s="7">
        <v>-2.0000000000000018E-2</v>
      </c>
      <c r="AM757" s="7">
        <v>-2.0000000000000018E-2</v>
      </c>
      <c r="AN757" s="7">
        <v>-2.0000000000000018E-2</v>
      </c>
      <c r="AO757" s="7">
        <v>-2.0000000000000018E-2</v>
      </c>
      <c r="AP757" s="7">
        <v>-2.0000000000000018E-2</v>
      </c>
      <c r="AQ757" s="7">
        <v>-2.0000000000000018E-2</v>
      </c>
      <c r="AR757" s="7">
        <v>-2.0000000000000018E-2</v>
      </c>
      <c r="AS757" s="7">
        <v>-2.0000000000000018E-2</v>
      </c>
      <c r="AT757" s="2"/>
      <c r="AU757" s="2"/>
    </row>
    <row r="758" spans="1:47" hidden="1" outlineLevel="1">
      <c r="A758" s="298"/>
      <c r="B758" s="6" t="s">
        <v>731</v>
      </c>
      <c r="C758" s="18"/>
      <c r="D758" s="18"/>
      <c r="E758" s="18"/>
      <c r="F758" s="18"/>
      <c r="G758" s="18"/>
      <c r="H758" s="18"/>
      <c r="I758" s="18"/>
      <c r="J758" s="18"/>
      <c r="K758" s="7"/>
      <c r="L758" s="6"/>
      <c r="M758" s="6"/>
      <c r="N758" s="6"/>
      <c r="O758" s="6"/>
      <c r="P758" s="6"/>
      <c r="Q758" s="6"/>
      <c r="R758" s="6"/>
      <c r="S758" s="6"/>
      <c r="T758" s="2"/>
      <c r="U758" s="2"/>
      <c r="V758" s="2"/>
      <c r="W758" s="7"/>
      <c r="X758" s="7"/>
      <c r="Y758" s="7"/>
      <c r="Z758" s="7"/>
      <c r="AA758" s="7"/>
      <c r="AB758" s="7"/>
      <c r="AC758" s="7"/>
      <c r="AD758" s="7"/>
      <c r="AE758" s="7"/>
      <c r="AF758" s="7"/>
      <c r="AG758" s="7"/>
      <c r="AH758" s="7"/>
      <c r="AI758" s="7"/>
      <c r="AJ758" s="7"/>
      <c r="AK758" s="7"/>
      <c r="AL758" s="7"/>
      <c r="AM758" s="7"/>
      <c r="AN758" s="7"/>
      <c r="AO758" s="7"/>
      <c r="AP758" s="7"/>
      <c r="AQ758" s="7"/>
      <c r="AR758" s="7"/>
      <c r="AS758" s="7"/>
      <c r="AT758" s="2"/>
      <c r="AU758" s="2"/>
    </row>
    <row r="759" spans="1:47" hidden="1" outlineLevel="1">
      <c r="A759" s="298"/>
      <c r="B759" s="55" t="s">
        <v>462</v>
      </c>
      <c r="C759" s="18" t="s">
        <v>281</v>
      </c>
      <c r="D759" s="18"/>
      <c r="E759" s="18"/>
      <c r="F759" s="18"/>
      <c r="G759" s="18"/>
      <c r="H759" s="18"/>
      <c r="I759" s="18"/>
      <c r="J759" s="18"/>
      <c r="K759" s="7"/>
      <c r="L759" s="532">
        <v>937</v>
      </c>
      <c r="M759" s="532">
        <v>905</v>
      </c>
      <c r="N759" s="532">
        <v>937</v>
      </c>
      <c r="O759" s="532">
        <v>970</v>
      </c>
      <c r="P759" s="532">
        <v>1108</v>
      </c>
      <c r="Q759" s="532">
        <v>1172</v>
      </c>
      <c r="R759" s="532">
        <v>1203</v>
      </c>
      <c r="S759" s="532">
        <v>1273</v>
      </c>
      <c r="T759" s="532">
        <v>1306</v>
      </c>
      <c r="U759" s="532">
        <v>1263</v>
      </c>
      <c r="V759" s="532">
        <v>1119</v>
      </c>
      <c r="W759" s="31">
        <v>859.71599999999989</v>
      </c>
      <c r="X759" s="31">
        <v>719.12812399999996</v>
      </c>
      <c r="Y759" s="31">
        <v>511.30788499999994</v>
      </c>
      <c r="Z759" s="31">
        <v>461.12995004999993</v>
      </c>
      <c r="AA759" s="31">
        <v>400.86878543249998</v>
      </c>
      <c r="AB759" s="31">
        <v>364.10472780412499</v>
      </c>
      <c r="AC759" s="31">
        <v>365.26771512433123</v>
      </c>
      <c r="AD759" s="31">
        <v>365.26771512433123</v>
      </c>
      <c r="AE759" s="31">
        <v>365.26771512433123</v>
      </c>
      <c r="AF759" s="31">
        <v>358.0986988144046</v>
      </c>
      <c r="AG759" s="31">
        <v>351.07306283067652</v>
      </c>
      <c r="AH759" s="31">
        <v>344.18793956662296</v>
      </c>
      <c r="AI759" s="31">
        <v>337.44051876785051</v>
      </c>
      <c r="AJ759" s="31">
        <v>330.82804638505348</v>
      </c>
      <c r="AK759" s="31">
        <v>324.34782344991243</v>
      </c>
      <c r="AL759" s="31">
        <v>317.9972049734742</v>
      </c>
      <c r="AM759" s="31">
        <v>311.77359886656473</v>
      </c>
      <c r="AN759" s="31">
        <v>305.67446488179343</v>
      </c>
      <c r="AO759" s="31">
        <v>299.69731357671753</v>
      </c>
      <c r="AP759" s="31">
        <v>293.83970529774319</v>
      </c>
      <c r="AQ759" s="31">
        <v>293.83970529774319</v>
      </c>
      <c r="AR759" s="31">
        <v>293.83970529774319</v>
      </c>
      <c r="AS759" s="31">
        <v>293.83970529774319</v>
      </c>
      <c r="AT759" s="2"/>
      <c r="AU759" s="2"/>
    </row>
    <row r="760" spans="1:47" hidden="1" outlineLevel="1">
      <c r="A760" s="298"/>
      <c r="B760" s="241" t="s">
        <v>1099</v>
      </c>
      <c r="C760" s="18" t="s">
        <v>733</v>
      </c>
      <c r="D760" s="18"/>
      <c r="E760" s="18"/>
      <c r="F760" s="18"/>
      <c r="G760" s="18"/>
      <c r="H760" s="18"/>
      <c r="I760" s="18"/>
      <c r="J760" s="18"/>
      <c r="K760" s="7"/>
      <c r="L760" s="7"/>
      <c r="M760" s="29">
        <v>-3.4151547491995782E-2</v>
      </c>
      <c r="N760" s="29">
        <v>3.5359116022099402E-2</v>
      </c>
      <c r="O760" s="29">
        <v>3.5218783351120608E-2</v>
      </c>
      <c r="P760" s="29">
        <v>0.14226804123711334</v>
      </c>
      <c r="Q760" s="29">
        <v>5.7761732851985492E-2</v>
      </c>
      <c r="R760" s="29">
        <v>2.6450511945392385E-2</v>
      </c>
      <c r="S760" s="29">
        <v>5.8187863674147966E-2</v>
      </c>
      <c r="T760" s="29">
        <v>2.5923016496465001E-2</v>
      </c>
      <c r="U760" s="29">
        <v>-3.2924961715160794E-2</v>
      </c>
      <c r="V760" s="29">
        <v>-0.11401425178147273</v>
      </c>
      <c r="W760" s="29">
        <v>-0.23171045576407512</v>
      </c>
      <c r="X760" s="29">
        <v>-0.16352827677977377</v>
      </c>
      <c r="Y760" s="29">
        <v>-0.28898916905661176</v>
      </c>
      <c r="Z760" s="29">
        <v>-9.8136438772110868E-2</v>
      </c>
      <c r="AA760" s="29">
        <v>-0.13068152396296506</v>
      </c>
      <c r="AB760" s="29">
        <v>-9.171095122487527E-2</v>
      </c>
      <c r="AC760" s="29">
        <v>3.1941011236522598E-3</v>
      </c>
      <c r="AD760" s="29">
        <v>0</v>
      </c>
      <c r="AE760" s="29">
        <v>0</v>
      </c>
      <c r="AF760" s="29">
        <v>-1.9626745023130221E-2</v>
      </c>
      <c r="AG760" s="29">
        <v>-1.9619272583197289E-2</v>
      </c>
      <c r="AH760" s="29">
        <v>-1.9611653507504379E-2</v>
      </c>
      <c r="AI760" s="29">
        <v>-1.9603885038122826E-2</v>
      </c>
      <c r="AJ760" s="29">
        <v>-1.9595964370082708E-2</v>
      </c>
      <c r="AK760" s="29">
        <v>-1.958788865076655E-2</v>
      </c>
      <c r="AL760" s="29">
        <v>-1.9579654979306249E-2</v>
      </c>
      <c r="AM760" s="29">
        <v>-1.9571260405979451E-2</v>
      </c>
      <c r="AN760" s="29">
        <v>-1.9562701931607918E-2</v>
      </c>
      <c r="AO760" s="29">
        <v>-1.9553976506959114E-2</v>
      </c>
      <c r="AP760" s="29">
        <v>-1.9545081032149136E-2</v>
      </c>
      <c r="AQ760" s="29">
        <v>-1.9545081032149136E-2</v>
      </c>
      <c r="AR760" s="29">
        <v>-1.9545081032149136E-2</v>
      </c>
      <c r="AS760" s="29">
        <v>-1.9545081032149136E-2</v>
      </c>
      <c r="AT760" s="2"/>
      <c r="AU760" s="2"/>
    </row>
    <row r="761" spans="1:47" hidden="1" outlineLevel="1">
      <c r="A761" s="298"/>
      <c r="B761" s="55" t="s">
        <v>461</v>
      </c>
      <c r="C761" s="18" t="s">
        <v>281</v>
      </c>
      <c r="D761" s="18"/>
      <c r="E761" s="18"/>
      <c r="F761" s="18"/>
      <c r="G761" s="18"/>
      <c r="H761" s="18"/>
      <c r="I761" s="18"/>
      <c r="J761" s="18"/>
      <c r="K761" s="7"/>
      <c r="L761" s="6"/>
      <c r="M761" s="6"/>
      <c r="N761" s="6"/>
      <c r="O761" s="6"/>
      <c r="P761" s="6"/>
      <c r="Q761" s="532">
        <v>302</v>
      </c>
      <c r="R761" s="532">
        <v>331</v>
      </c>
      <c r="S761" s="532">
        <v>369</v>
      </c>
      <c r="T761" s="532">
        <v>412</v>
      </c>
      <c r="U761" s="532">
        <v>415</v>
      </c>
      <c r="V761" s="532">
        <v>436</v>
      </c>
      <c r="W761" s="31">
        <v>442.3907279</v>
      </c>
      <c r="X761" s="31">
        <v>406.96522883839998</v>
      </c>
      <c r="Y761" s="31">
        <v>235.02608252919998</v>
      </c>
      <c r="Z761" s="31">
        <v>150.6336827801</v>
      </c>
      <c r="AA761" s="31">
        <v>92.612841549405005</v>
      </c>
      <c r="AB761" s="31">
        <v>69.711422971601266</v>
      </c>
      <c r="AC761" s="31">
        <v>73.19699412018133</v>
      </c>
      <c r="AD761" s="31">
        <v>73.19699412018133</v>
      </c>
      <c r="AE761" s="31">
        <v>71.733054237777708</v>
      </c>
      <c r="AF761" s="31">
        <v>70.298393153022147</v>
      </c>
      <c r="AG761" s="31">
        <v>68.892425289961707</v>
      </c>
      <c r="AH761" s="31">
        <v>67.514576784162472</v>
      </c>
      <c r="AI761" s="31">
        <v>66.164285248479217</v>
      </c>
      <c r="AJ761" s="31">
        <v>64.840999543509625</v>
      </c>
      <c r="AK761" s="31">
        <v>63.544179552639434</v>
      </c>
      <c r="AL761" s="31">
        <v>62.273295961586648</v>
      </c>
      <c r="AM761" s="31">
        <v>61.027830042354914</v>
      </c>
      <c r="AN761" s="31">
        <v>59.807273441507817</v>
      </c>
      <c r="AO761" s="31">
        <v>58.611127972677657</v>
      </c>
      <c r="AP761" s="31">
        <v>57.438905413224106</v>
      </c>
      <c r="AQ761" s="31">
        <v>57.438905413224106</v>
      </c>
      <c r="AR761" s="31">
        <v>57.438905413224106</v>
      </c>
      <c r="AS761" s="31">
        <v>57.438905413224106</v>
      </c>
      <c r="AT761" s="2"/>
      <c r="AU761" s="2"/>
    </row>
    <row r="762" spans="1:47" hidden="1" outlineLevel="1">
      <c r="A762" s="298"/>
      <c r="B762" s="241" t="s">
        <v>1099</v>
      </c>
      <c r="C762" s="18" t="s">
        <v>733</v>
      </c>
      <c r="D762" s="18"/>
      <c r="E762" s="18"/>
      <c r="F762" s="18"/>
      <c r="G762" s="18"/>
      <c r="H762" s="18"/>
      <c r="I762" s="18"/>
      <c r="J762" s="18"/>
      <c r="K762" s="7"/>
      <c r="L762" s="7"/>
      <c r="M762" s="29"/>
      <c r="N762" s="29"/>
      <c r="O762" s="29"/>
      <c r="P762" s="29"/>
      <c r="Q762" s="29"/>
      <c r="R762" s="29">
        <v>9.6026490066225101E-2</v>
      </c>
      <c r="S762" s="29">
        <v>0.11480362537764344</v>
      </c>
      <c r="T762" s="29">
        <v>0.1165311653116532</v>
      </c>
      <c r="U762" s="29">
        <v>7.2815533980583602E-3</v>
      </c>
      <c r="V762" s="29">
        <v>5.0602409638554224E-2</v>
      </c>
      <c r="W762" s="29">
        <v>1.4657632798165121E-2</v>
      </c>
      <c r="X762" s="29">
        <v>-8.007739951911419E-2</v>
      </c>
      <c r="Y762" s="29">
        <v>-0.42249099953813141</v>
      </c>
      <c r="Z762" s="29">
        <v>-0.35907674093412567</v>
      </c>
      <c r="AA762" s="29">
        <v>-0.385178402066925</v>
      </c>
      <c r="AB762" s="29">
        <v>-0.24728124301840804</v>
      </c>
      <c r="AC762" s="29">
        <v>5.0000000000000044E-2</v>
      </c>
      <c r="AD762" s="29">
        <v>0</v>
      </c>
      <c r="AE762" s="29">
        <v>-1.9999999999999907E-2</v>
      </c>
      <c r="AF762" s="29">
        <v>-2.0000000000000129E-2</v>
      </c>
      <c r="AG762" s="29">
        <v>-1.9999999999999907E-2</v>
      </c>
      <c r="AH762" s="29">
        <v>-2.0000000000000018E-2</v>
      </c>
      <c r="AI762" s="29">
        <v>-2.0000000000000129E-2</v>
      </c>
      <c r="AJ762" s="29">
        <v>-2.0000000000000129E-2</v>
      </c>
      <c r="AK762" s="29">
        <v>-2.0000000000000018E-2</v>
      </c>
      <c r="AL762" s="29">
        <v>-2.0000000000000018E-2</v>
      </c>
      <c r="AM762" s="29">
        <v>-2.0000000000000018E-2</v>
      </c>
      <c r="AN762" s="29">
        <v>-2.0000000000000018E-2</v>
      </c>
      <c r="AO762" s="29">
        <v>-2.0000000000000018E-2</v>
      </c>
      <c r="AP762" s="29">
        <v>-2.0000000000000018E-2</v>
      </c>
      <c r="AQ762" s="29">
        <v>-2.0000000000000018E-2</v>
      </c>
      <c r="AR762" s="29">
        <v>-2.0000000000000018E-2</v>
      </c>
      <c r="AS762" s="29">
        <v>-2.0000000000000018E-2</v>
      </c>
      <c r="AT762" s="2"/>
      <c r="AU762" s="2"/>
    </row>
    <row r="763" spans="1:47" hidden="1" outlineLevel="1">
      <c r="A763" s="298"/>
      <c r="B763" s="55" t="s">
        <v>762</v>
      </c>
      <c r="C763" s="18" t="s">
        <v>281</v>
      </c>
      <c r="D763" s="18"/>
      <c r="E763" s="18"/>
      <c r="F763" s="18"/>
      <c r="G763" s="18"/>
      <c r="H763" s="18"/>
      <c r="I763" s="18"/>
      <c r="J763" s="18"/>
      <c r="K763" s="7"/>
      <c r="L763" s="7"/>
      <c r="M763" s="29"/>
      <c r="N763" s="7"/>
      <c r="O763" s="532">
        <v>53</v>
      </c>
      <c r="P763" s="532">
        <v>98</v>
      </c>
      <c r="Q763" s="532">
        <v>142</v>
      </c>
      <c r="R763" s="532">
        <v>125</v>
      </c>
      <c r="S763" s="532">
        <v>110</v>
      </c>
      <c r="T763" s="532">
        <v>68</v>
      </c>
      <c r="U763" s="532">
        <v>0</v>
      </c>
      <c r="V763" s="532">
        <v>0</v>
      </c>
      <c r="W763" s="7"/>
      <c r="X763" s="7"/>
      <c r="Y763" s="7"/>
      <c r="Z763" s="7"/>
      <c r="AA763" s="7"/>
      <c r="AB763" s="7"/>
      <c r="AC763" s="7"/>
      <c r="AD763" s="7"/>
      <c r="AE763" s="7"/>
      <c r="AF763" s="7"/>
      <c r="AG763" s="7"/>
      <c r="AH763" s="7"/>
      <c r="AI763" s="7"/>
      <c r="AJ763" s="7"/>
      <c r="AK763" s="7"/>
      <c r="AL763" s="7"/>
      <c r="AM763" s="7"/>
      <c r="AN763" s="7"/>
      <c r="AO763" s="7"/>
      <c r="AP763" s="7"/>
      <c r="AQ763" s="7"/>
      <c r="AR763" s="7"/>
      <c r="AS763" s="7"/>
      <c r="AT763" s="2"/>
      <c r="AU763" s="2"/>
    </row>
    <row r="764" spans="1:47" hidden="1" outlineLevel="1">
      <c r="A764" s="298"/>
      <c r="B764" s="241" t="s">
        <v>1099</v>
      </c>
      <c r="C764" s="18" t="s">
        <v>733</v>
      </c>
      <c r="D764" s="18"/>
      <c r="E764" s="18"/>
      <c r="F764" s="18"/>
      <c r="G764" s="18"/>
      <c r="H764" s="18"/>
      <c r="I764" s="18"/>
      <c r="J764" s="18"/>
      <c r="K764" s="7"/>
      <c r="L764" s="7"/>
      <c r="M764" s="29"/>
      <c r="N764" s="29"/>
      <c r="O764" s="29"/>
      <c r="P764" s="29">
        <v>0.84905660377358494</v>
      </c>
      <c r="Q764" s="29">
        <v>0.44897959183673475</v>
      </c>
      <c r="R764" s="29">
        <v>-0.11971830985915488</v>
      </c>
      <c r="S764" s="29">
        <v>-0.12</v>
      </c>
      <c r="T764" s="29">
        <v>-0.38181818181818183</v>
      </c>
      <c r="U764" s="29">
        <v>-1</v>
      </c>
      <c r="V764" s="29"/>
      <c r="W764" s="29"/>
      <c r="X764" s="29"/>
      <c r="Y764" s="29"/>
      <c r="Z764" s="29"/>
      <c r="AA764" s="29"/>
      <c r="AB764" s="29"/>
      <c r="AC764" s="29"/>
      <c r="AD764" s="29"/>
      <c r="AE764" s="29"/>
      <c r="AF764" s="29"/>
      <c r="AG764" s="29"/>
      <c r="AH764" s="29"/>
      <c r="AI764" s="29"/>
      <c r="AJ764" s="29"/>
      <c r="AK764" s="29"/>
      <c r="AL764" s="29"/>
      <c r="AM764" s="29"/>
      <c r="AN764" s="29"/>
      <c r="AO764" s="29"/>
      <c r="AP764" s="29"/>
      <c r="AQ764" s="29"/>
      <c r="AR764" s="29"/>
      <c r="AS764" s="29"/>
      <c r="AT764" s="2"/>
      <c r="AU764" s="2"/>
    </row>
    <row r="765" spans="1:47" hidden="1" outlineLevel="1">
      <c r="A765" s="298"/>
      <c r="B765" s="55" t="s">
        <v>463</v>
      </c>
      <c r="C765" s="18" t="s">
        <v>281</v>
      </c>
      <c r="D765" s="18"/>
      <c r="E765" s="18"/>
      <c r="F765" s="18"/>
      <c r="G765" s="18"/>
      <c r="H765" s="18"/>
      <c r="I765" s="18"/>
      <c r="J765" s="18"/>
      <c r="K765" s="7"/>
      <c r="L765" s="7"/>
      <c r="M765" s="7"/>
      <c r="N765" s="7"/>
      <c r="O765" s="7"/>
      <c r="P765" s="7"/>
      <c r="Q765" s="532">
        <v>95</v>
      </c>
      <c r="R765" s="532">
        <v>127</v>
      </c>
      <c r="S765" s="532">
        <v>150</v>
      </c>
      <c r="T765" s="532">
        <v>125</v>
      </c>
      <c r="U765" s="7"/>
      <c r="V765" s="7"/>
      <c r="W765" s="7"/>
      <c r="X765" s="7"/>
      <c r="Y765" s="7"/>
      <c r="Z765" s="7"/>
      <c r="AA765" s="7"/>
      <c r="AB765" s="7"/>
      <c r="AC765" s="7"/>
      <c r="AD765" s="7"/>
      <c r="AE765" s="7"/>
      <c r="AF765" s="7"/>
      <c r="AG765" s="7"/>
      <c r="AH765" s="7"/>
      <c r="AI765" s="7"/>
      <c r="AJ765" s="7"/>
      <c r="AK765" s="7"/>
      <c r="AL765" s="7"/>
      <c r="AM765" s="7"/>
      <c r="AN765" s="7"/>
      <c r="AO765" s="7"/>
      <c r="AP765" s="7"/>
      <c r="AQ765" s="7"/>
      <c r="AR765" s="7"/>
      <c r="AS765" s="7"/>
      <c r="AT765" s="2"/>
      <c r="AU765" s="2"/>
    </row>
    <row r="766" spans="1:47" hidden="1" outlineLevel="1">
      <c r="A766" s="298"/>
      <c r="B766" s="241" t="s">
        <v>1099</v>
      </c>
      <c r="C766" s="18" t="s">
        <v>733</v>
      </c>
      <c r="D766" s="18"/>
      <c r="E766" s="18"/>
      <c r="F766" s="18"/>
      <c r="G766" s="18"/>
      <c r="H766" s="18"/>
      <c r="I766" s="18"/>
      <c r="J766" s="18"/>
      <c r="K766" s="7"/>
      <c r="L766" s="7"/>
      <c r="M766" s="7"/>
      <c r="N766" s="7"/>
      <c r="O766" s="7"/>
      <c r="P766" s="7"/>
      <c r="Q766" s="7"/>
      <c r="R766" s="29">
        <v>0.33684210526315783</v>
      </c>
      <c r="S766" s="29">
        <v>0.18110236220472431</v>
      </c>
      <c r="T766" s="29">
        <v>-0.16666666666666663</v>
      </c>
      <c r="U766" s="7"/>
      <c r="V766" s="7"/>
      <c r="W766" s="7"/>
      <c r="X766" s="7"/>
      <c r="Y766" s="7"/>
      <c r="Z766" s="7"/>
      <c r="AA766" s="7"/>
      <c r="AB766" s="7"/>
      <c r="AC766" s="7"/>
      <c r="AD766" s="7"/>
      <c r="AE766" s="7"/>
      <c r="AF766" s="7"/>
      <c r="AG766" s="7"/>
      <c r="AH766" s="7"/>
      <c r="AI766" s="7"/>
      <c r="AJ766" s="7"/>
      <c r="AK766" s="7"/>
      <c r="AL766" s="7"/>
      <c r="AM766" s="7"/>
      <c r="AN766" s="7"/>
      <c r="AO766" s="7"/>
      <c r="AP766" s="7"/>
      <c r="AQ766" s="7"/>
      <c r="AR766" s="7"/>
      <c r="AS766" s="7"/>
      <c r="AT766" s="2"/>
      <c r="AU766" s="2"/>
    </row>
    <row r="767" spans="1:47" hidden="1" outlineLevel="1">
      <c r="A767" s="298"/>
      <c r="B767" s="55" t="s">
        <v>464</v>
      </c>
      <c r="C767" s="18" t="s">
        <v>281</v>
      </c>
      <c r="D767" s="18"/>
      <c r="E767" s="18"/>
      <c r="F767" s="18"/>
      <c r="G767" s="18"/>
      <c r="H767" s="18"/>
      <c r="I767" s="18"/>
      <c r="J767" s="18"/>
      <c r="K767" s="7"/>
      <c r="L767" s="7"/>
      <c r="M767" s="7"/>
      <c r="N767" s="7"/>
      <c r="O767" s="7"/>
      <c r="P767" s="7"/>
      <c r="Q767" s="7"/>
      <c r="R767" s="7"/>
      <c r="S767" s="7"/>
      <c r="T767" s="532">
        <v>99</v>
      </c>
      <c r="U767" s="532">
        <v>74</v>
      </c>
      <c r="V767" s="532">
        <v>212</v>
      </c>
      <c r="W767" s="532">
        <v>211</v>
      </c>
      <c r="X767" s="31">
        <v>179.35</v>
      </c>
      <c r="Y767" s="31">
        <v>188.3175</v>
      </c>
      <c r="Z767" s="31">
        <v>197.733375</v>
      </c>
      <c r="AA767" s="31">
        <v>207.62004375000001</v>
      </c>
      <c r="AB767" s="31">
        <v>218.00104593750001</v>
      </c>
      <c r="AC767" s="31">
        <v>228.90109823437501</v>
      </c>
      <c r="AD767" s="31">
        <v>235.76813118140626</v>
      </c>
      <c r="AE767" s="31">
        <v>242.84117511684846</v>
      </c>
      <c r="AF767" s="31">
        <v>250.12641037035391</v>
      </c>
      <c r="AG767" s="31">
        <v>257.63020268146454</v>
      </c>
      <c r="AH767" s="31">
        <v>265.35910876190849</v>
      </c>
      <c r="AI767" s="31">
        <v>273.31988202476577</v>
      </c>
      <c r="AJ767" s="31">
        <v>281.51947848550873</v>
      </c>
      <c r="AK767" s="31">
        <v>289.96506284007398</v>
      </c>
      <c r="AL767" s="31">
        <v>298.66401472527622</v>
      </c>
      <c r="AM767" s="31">
        <v>307.62393516703452</v>
      </c>
      <c r="AN767" s="31">
        <v>316.85265322204555</v>
      </c>
      <c r="AO767" s="31">
        <v>326.35823281870694</v>
      </c>
      <c r="AP767" s="31">
        <v>336.14897980326816</v>
      </c>
      <c r="AQ767" s="31">
        <v>336.14897980326816</v>
      </c>
      <c r="AR767" s="31">
        <v>336.14897980326816</v>
      </c>
      <c r="AS767" s="31">
        <v>336.14897980326816</v>
      </c>
      <c r="AT767" s="2"/>
      <c r="AU767" s="2"/>
    </row>
    <row r="768" spans="1:47" hidden="1" outlineLevel="1">
      <c r="A768" s="298"/>
      <c r="B768" s="241" t="s">
        <v>1099</v>
      </c>
      <c r="C768" s="18" t="s">
        <v>733</v>
      </c>
      <c r="D768" s="18"/>
      <c r="E768" s="18"/>
      <c r="F768" s="18"/>
      <c r="G768" s="18"/>
      <c r="H768" s="18"/>
      <c r="I768" s="18"/>
      <c r="J768" s="18"/>
      <c r="K768" s="7"/>
      <c r="L768" s="7"/>
      <c r="M768" s="7"/>
      <c r="N768" s="7"/>
      <c r="O768" s="7"/>
      <c r="P768" s="7"/>
      <c r="Q768" s="7"/>
      <c r="R768" s="7"/>
      <c r="S768" s="7"/>
      <c r="T768" s="7"/>
      <c r="U768" s="7"/>
      <c r="V768" s="7"/>
      <c r="W768" s="232"/>
      <c r="X768" s="557">
        <v>-0.15</v>
      </c>
      <c r="Y768" s="557">
        <v>0.05</v>
      </c>
      <c r="Z768" s="557">
        <v>0.05</v>
      </c>
      <c r="AA768" s="557">
        <v>0.05</v>
      </c>
      <c r="AB768" s="557">
        <v>0.05</v>
      </c>
      <c r="AC768" s="557">
        <v>0.05</v>
      </c>
      <c r="AD768" s="557">
        <v>0.03</v>
      </c>
      <c r="AE768" s="557">
        <v>0.03</v>
      </c>
      <c r="AF768" s="557">
        <v>0.03</v>
      </c>
      <c r="AG768" s="557">
        <v>0.03</v>
      </c>
      <c r="AH768" s="557">
        <v>0.03</v>
      </c>
      <c r="AI768" s="557">
        <v>0.03</v>
      </c>
      <c r="AJ768" s="557">
        <v>0.03</v>
      </c>
      <c r="AK768" s="557">
        <v>0.03</v>
      </c>
      <c r="AL768" s="557">
        <v>0.03</v>
      </c>
      <c r="AM768" s="557">
        <v>0.03</v>
      </c>
      <c r="AN768" s="557">
        <v>0.03</v>
      </c>
      <c r="AO768" s="231">
        <v>0.03</v>
      </c>
      <c r="AP768" s="231">
        <v>0.03</v>
      </c>
      <c r="AQ768" s="231">
        <v>0.03</v>
      </c>
      <c r="AR768" s="231">
        <v>0.03</v>
      </c>
      <c r="AS768" s="231">
        <v>0.03</v>
      </c>
      <c r="AT768" s="2"/>
      <c r="AU768" s="2"/>
    </row>
    <row r="769" spans="1:47" hidden="1" outlineLevel="1">
      <c r="A769" s="298"/>
      <c r="B769" s="55" t="s">
        <v>465</v>
      </c>
      <c r="C769" s="18" t="s">
        <v>281</v>
      </c>
      <c r="D769" s="18"/>
      <c r="E769" s="18"/>
      <c r="F769" s="18"/>
      <c r="G769" s="18"/>
      <c r="H769" s="18"/>
      <c r="I769" s="18"/>
      <c r="J769" s="18"/>
      <c r="K769" s="7"/>
      <c r="L769" s="7"/>
      <c r="M769" s="7"/>
      <c r="N769" s="7"/>
      <c r="O769" s="7"/>
      <c r="P769" s="7"/>
      <c r="Q769" s="7"/>
      <c r="R769" s="7"/>
      <c r="S769" s="7"/>
      <c r="T769" s="532">
        <v>143</v>
      </c>
      <c r="U769" s="532">
        <v>139</v>
      </c>
      <c r="V769" s="7"/>
      <c r="W769" s="7"/>
      <c r="X769" s="7"/>
      <c r="Y769" s="7"/>
      <c r="Z769" s="7"/>
      <c r="AA769" s="7"/>
      <c r="AB769" s="7"/>
      <c r="AC769" s="7"/>
      <c r="AD769" s="7"/>
      <c r="AE769" s="7"/>
      <c r="AF769" s="7"/>
      <c r="AG769" s="7"/>
      <c r="AH769" s="7"/>
      <c r="AI769" s="7"/>
      <c r="AJ769" s="7"/>
      <c r="AK769" s="7"/>
      <c r="AL769" s="7"/>
      <c r="AM769" s="7"/>
      <c r="AN769" s="7"/>
      <c r="AO769" s="7"/>
      <c r="AP769" s="7"/>
      <c r="AQ769" s="7"/>
      <c r="AR769" s="7"/>
      <c r="AS769" s="7"/>
      <c r="AT769" s="2"/>
      <c r="AU769" s="2"/>
    </row>
    <row r="770" spans="1:47" hidden="1" outlineLevel="1">
      <c r="A770" s="298"/>
      <c r="B770" s="241" t="s">
        <v>1099</v>
      </c>
      <c r="C770" s="18" t="s">
        <v>733</v>
      </c>
      <c r="D770" s="18"/>
      <c r="E770" s="18"/>
      <c r="F770" s="18"/>
      <c r="G770" s="18"/>
      <c r="H770" s="18"/>
      <c r="I770" s="18"/>
      <c r="J770" s="18"/>
      <c r="K770" s="7"/>
      <c r="L770" s="7"/>
      <c r="M770" s="7"/>
      <c r="N770" s="7"/>
      <c r="O770" s="7"/>
      <c r="P770" s="7"/>
      <c r="Q770" s="7"/>
      <c r="R770" s="7"/>
      <c r="S770" s="7"/>
      <c r="T770" s="7"/>
      <c r="U770" s="7"/>
      <c r="V770" s="7"/>
      <c r="W770" s="7"/>
      <c r="X770" s="7"/>
      <c r="Y770" s="7"/>
      <c r="Z770" s="7"/>
      <c r="AA770" s="7"/>
      <c r="AB770" s="7"/>
      <c r="AC770" s="7"/>
      <c r="AD770" s="7"/>
      <c r="AE770" s="7"/>
      <c r="AF770" s="7"/>
      <c r="AG770" s="7"/>
      <c r="AH770" s="7"/>
      <c r="AI770" s="7"/>
      <c r="AJ770" s="7"/>
      <c r="AK770" s="7"/>
      <c r="AL770" s="7"/>
      <c r="AM770" s="7"/>
      <c r="AN770" s="7"/>
      <c r="AO770" s="7"/>
      <c r="AP770" s="7"/>
      <c r="AQ770" s="7"/>
      <c r="AR770" s="7"/>
      <c r="AS770" s="7"/>
      <c r="AT770" s="2"/>
      <c r="AU770" s="2"/>
    </row>
    <row r="771" spans="1:47" hidden="1" outlineLevel="1">
      <c r="A771" s="298"/>
      <c r="B771" s="55" t="s">
        <v>277</v>
      </c>
      <c r="C771" s="18" t="s">
        <v>281</v>
      </c>
      <c r="D771" s="18"/>
      <c r="E771" s="18"/>
      <c r="F771" s="18"/>
      <c r="G771" s="18"/>
      <c r="H771" s="18"/>
      <c r="I771" s="18"/>
      <c r="J771" s="18"/>
      <c r="K771" s="7"/>
      <c r="L771" s="7"/>
      <c r="M771" s="7"/>
      <c r="N771" s="7"/>
      <c r="O771" s="7"/>
      <c r="P771" s="7"/>
      <c r="Q771" s="7"/>
      <c r="R771" s="7"/>
      <c r="S771" s="7"/>
      <c r="T771" s="532">
        <v>50</v>
      </c>
      <c r="U771" s="532">
        <v>118</v>
      </c>
      <c r="V771" s="7"/>
      <c r="W771" s="7"/>
      <c r="X771" s="7"/>
      <c r="Y771" s="7"/>
      <c r="Z771" s="7"/>
      <c r="AA771" s="7"/>
      <c r="AB771" s="7"/>
      <c r="AC771" s="7"/>
      <c r="AD771" s="7"/>
      <c r="AE771" s="7"/>
      <c r="AF771" s="7"/>
      <c r="AG771" s="7"/>
      <c r="AH771" s="7"/>
      <c r="AI771" s="7"/>
      <c r="AJ771" s="7"/>
      <c r="AK771" s="7"/>
      <c r="AL771" s="7"/>
      <c r="AM771" s="7"/>
      <c r="AN771" s="7"/>
      <c r="AO771" s="7"/>
      <c r="AP771" s="7"/>
      <c r="AQ771" s="7"/>
      <c r="AR771" s="7"/>
      <c r="AS771" s="7"/>
      <c r="AT771" s="2"/>
      <c r="AU771" s="2"/>
    </row>
    <row r="772" spans="1:47" hidden="1" outlineLevel="1">
      <c r="A772" s="298"/>
      <c r="B772" s="241" t="s">
        <v>1099</v>
      </c>
      <c r="C772" s="18" t="s">
        <v>733</v>
      </c>
      <c r="D772" s="18"/>
      <c r="E772" s="18"/>
      <c r="F772" s="18"/>
      <c r="G772" s="18"/>
      <c r="H772" s="18"/>
      <c r="I772" s="18"/>
      <c r="J772" s="18"/>
      <c r="K772" s="7"/>
      <c r="L772" s="7"/>
      <c r="M772" s="7"/>
      <c r="N772" s="7"/>
      <c r="O772" s="7"/>
      <c r="P772" s="7"/>
      <c r="Q772" s="7"/>
      <c r="R772" s="7"/>
      <c r="S772" s="7"/>
      <c r="T772" s="7"/>
      <c r="U772" s="7"/>
      <c r="V772" s="7"/>
      <c r="W772" s="7"/>
      <c r="X772" s="7"/>
      <c r="Y772" s="7"/>
      <c r="Z772" s="7"/>
      <c r="AA772" s="7"/>
      <c r="AB772" s="7"/>
      <c r="AC772" s="7"/>
      <c r="AD772" s="7"/>
      <c r="AE772" s="7"/>
      <c r="AF772" s="7"/>
      <c r="AG772" s="7"/>
      <c r="AH772" s="7"/>
      <c r="AI772" s="7"/>
      <c r="AJ772" s="7"/>
      <c r="AK772" s="7"/>
      <c r="AL772" s="7"/>
      <c r="AM772" s="7"/>
      <c r="AN772" s="7"/>
      <c r="AO772" s="7"/>
      <c r="AP772" s="7"/>
      <c r="AQ772" s="7"/>
      <c r="AR772" s="7"/>
      <c r="AS772" s="7"/>
      <c r="AT772" s="2"/>
      <c r="AU772" s="2"/>
    </row>
    <row r="773" spans="1:47" hidden="1" outlineLevel="1">
      <c r="A773" s="298"/>
      <c r="B773" s="55" t="s">
        <v>278</v>
      </c>
      <c r="C773" s="18" t="s">
        <v>281</v>
      </c>
      <c r="D773" s="18"/>
      <c r="E773" s="18"/>
      <c r="F773" s="18"/>
      <c r="G773" s="18"/>
      <c r="H773" s="18"/>
      <c r="I773" s="18"/>
      <c r="J773" s="18"/>
      <c r="K773" s="7"/>
      <c r="L773" s="532">
        <v>41</v>
      </c>
      <c r="M773" s="532">
        <v>52</v>
      </c>
      <c r="N773" s="532">
        <v>73</v>
      </c>
      <c r="O773" s="532">
        <v>88</v>
      </c>
      <c r="P773" s="532">
        <v>490</v>
      </c>
      <c r="Q773" s="532">
        <v>103</v>
      </c>
      <c r="R773" s="532">
        <v>119</v>
      </c>
      <c r="S773" s="532">
        <v>126</v>
      </c>
      <c r="T773" s="532">
        <v>-145</v>
      </c>
      <c r="U773" s="532">
        <v>-78</v>
      </c>
      <c r="V773" s="532">
        <v>1</v>
      </c>
      <c r="W773" s="7"/>
      <c r="X773" s="7"/>
      <c r="Y773" s="7"/>
      <c r="Z773" s="7"/>
      <c r="AA773" s="7"/>
      <c r="AB773" s="7"/>
      <c r="AC773" s="7"/>
      <c r="AD773" s="7"/>
      <c r="AE773" s="7"/>
      <c r="AF773" s="7"/>
      <c r="AG773" s="7"/>
      <c r="AH773" s="7"/>
      <c r="AI773" s="7"/>
      <c r="AJ773" s="7"/>
      <c r="AK773" s="7"/>
      <c r="AL773" s="7"/>
      <c r="AM773" s="7"/>
      <c r="AN773" s="7"/>
      <c r="AO773" s="7"/>
      <c r="AP773" s="7"/>
      <c r="AQ773" s="7"/>
      <c r="AR773" s="7"/>
      <c r="AS773" s="7"/>
      <c r="AT773" s="2"/>
      <c r="AU773" s="2"/>
    </row>
    <row r="774" spans="1:47" hidden="1" outlineLevel="1">
      <c r="A774" s="298"/>
      <c r="B774" s="241" t="s">
        <v>1099</v>
      </c>
      <c r="C774" s="18" t="s">
        <v>733</v>
      </c>
      <c r="D774" s="18"/>
      <c r="E774" s="18"/>
      <c r="F774" s="18"/>
      <c r="G774" s="18"/>
      <c r="H774" s="18"/>
      <c r="I774" s="18"/>
      <c r="J774" s="18"/>
      <c r="K774" s="7"/>
      <c r="L774" s="7"/>
      <c r="M774" s="7"/>
      <c r="N774" s="7"/>
      <c r="O774" s="7"/>
      <c r="P774" s="7"/>
      <c r="Q774" s="7"/>
      <c r="R774" s="7"/>
      <c r="S774" s="7"/>
      <c r="T774" s="7"/>
      <c r="U774" s="7"/>
      <c r="V774" s="2"/>
      <c r="W774" s="7"/>
      <c r="X774" s="7"/>
      <c r="Y774" s="7"/>
      <c r="Z774" s="7"/>
      <c r="AA774" s="7"/>
      <c r="AB774" s="7"/>
      <c r="AC774" s="7"/>
      <c r="AD774" s="7"/>
      <c r="AE774" s="7"/>
      <c r="AF774" s="7"/>
      <c r="AG774" s="7"/>
      <c r="AH774" s="7"/>
      <c r="AI774" s="7"/>
      <c r="AJ774" s="7"/>
      <c r="AK774" s="7"/>
      <c r="AL774" s="7"/>
      <c r="AM774" s="7"/>
      <c r="AN774" s="7"/>
      <c r="AO774" s="7"/>
      <c r="AP774" s="7"/>
      <c r="AQ774" s="7"/>
      <c r="AR774" s="7"/>
      <c r="AS774" s="7"/>
      <c r="AT774" s="2"/>
      <c r="AU774" s="2"/>
    </row>
    <row r="775" spans="1:47" hidden="1" outlineLevel="1">
      <c r="A775" s="298"/>
      <c r="B775" s="173" t="s">
        <v>797</v>
      </c>
      <c r="C775" s="45" t="s">
        <v>281</v>
      </c>
      <c r="D775" s="45"/>
      <c r="E775" s="45"/>
      <c r="F775" s="45"/>
      <c r="G775" s="45"/>
      <c r="H775" s="45"/>
      <c r="I775" s="45"/>
      <c r="J775" s="45"/>
      <c r="K775" s="170">
        <v>1122</v>
      </c>
      <c r="L775" s="170">
        <v>978</v>
      </c>
      <c r="M775" s="170">
        <v>957</v>
      </c>
      <c r="N775" s="170">
        <v>1010</v>
      </c>
      <c r="O775" s="170">
        <v>1111</v>
      </c>
      <c r="P775" s="170">
        <v>1696</v>
      </c>
      <c r="Q775" s="170">
        <v>1814</v>
      </c>
      <c r="R775" s="170">
        <v>1904.7618387391126</v>
      </c>
      <c r="S775" s="170">
        <v>2037.3193035791758</v>
      </c>
      <c r="T775" s="170">
        <v>2067.0459722864534</v>
      </c>
      <c r="U775" s="170">
        <v>1946</v>
      </c>
      <c r="V775" s="170">
        <v>1804.0005000000001</v>
      </c>
      <c r="W775" s="170">
        <v>1513.1067278999999</v>
      </c>
      <c r="X775" s="170">
        <v>1336.4433528383997</v>
      </c>
      <c r="Y775" s="170">
        <v>934.65146752919998</v>
      </c>
      <c r="Z775" s="170">
        <v>809.49700783009996</v>
      </c>
      <c r="AA775" s="170">
        <v>701.10167073190496</v>
      </c>
      <c r="AB775" s="170">
        <v>651.81719671322628</v>
      </c>
      <c r="AC775" s="170">
        <v>667.36580747888752</v>
      </c>
      <c r="AD775" s="170">
        <v>674.23284042591877</v>
      </c>
      <c r="AE775" s="170">
        <v>679.84194447895743</v>
      </c>
      <c r="AF775" s="170">
        <v>678.52350233778066</v>
      </c>
      <c r="AG775" s="170">
        <v>677.59569080210281</v>
      </c>
      <c r="AH775" s="170">
        <v>677.06162511269395</v>
      </c>
      <c r="AI775" s="170">
        <v>676.92468604109547</v>
      </c>
      <c r="AJ775" s="170">
        <v>677.18852441407182</v>
      </c>
      <c r="AK775" s="170">
        <v>677.85706584262584</v>
      </c>
      <c r="AL775" s="170">
        <v>678.93451566033707</v>
      </c>
      <c r="AM775" s="170">
        <v>680.42536407595412</v>
      </c>
      <c r="AN775" s="170">
        <v>682.33439154534676</v>
      </c>
      <c r="AO775" s="170">
        <v>684.66667436810212</v>
      </c>
      <c r="AP775" s="170">
        <v>687.42759051423548</v>
      </c>
      <c r="AQ775" s="170">
        <v>687.42759051423548</v>
      </c>
      <c r="AR775" s="170">
        <v>687.42759051423548</v>
      </c>
      <c r="AS775" s="170">
        <v>687.42759051423548</v>
      </c>
      <c r="AT775" s="2"/>
      <c r="AU775" s="2"/>
    </row>
    <row r="776" spans="1:47" hidden="1" outlineLevel="1">
      <c r="A776" s="308"/>
      <c r="B776" s="322" t="s">
        <v>1099</v>
      </c>
      <c r="C776" s="310" t="s">
        <v>733</v>
      </c>
      <c r="D776" s="310"/>
      <c r="E776" s="310"/>
      <c r="F776" s="310"/>
      <c r="G776" s="310"/>
      <c r="H776" s="310"/>
      <c r="I776" s="310"/>
      <c r="J776" s="310"/>
      <c r="K776" s="311"/>
      <c r="L776" s="311">
        <v>-0.12834224598930477</v>
      </c>
      <c r="M776" s="311">
        <v>-2.1472392638036797E-2</v>
      </c>
      <c r="N776" s="311">
        <v>5.538140020898652E-2</v>
      </c>
      <c r="O776" s="311">
        <v>0.10000000000000009</v>
      </c>
      <c r="P776" s="311">
        <v>0.52655265526552664</v>
      </c>
      <c r="Q776" s="311">
        <v>6.9575471698113178E-2</v>
      </c>
      <c r="R776" s="311">
        <v>5.0034089712851504E-2</v>
      </c>
      <c r="S776" s="311">
        <v>6.9592671453251986E-2</v>
      </c>
      <c r="T776" s="311">
        <v>1.4591070066952039E-2</v>
      </c>
      <c r="U776" s="311">
        <v>-5.8559883964534709E-2</v>
      </c>
      <c r="V776" s="311">
        <v>-7.2969938335046169E-2</v>
      </c>
      <c r="W776" s="311">
        <v>-0.16124927465374883</v>
      </c>
      <c r="X776" s="311">
        <v>-0.11675539590441619</v>
      </c>
      <c r="Y776" s="311">
        <v>-0.30064266057806022</v>
      </c>
      <c r="Z776" s="311">
        <v>-0.13390495178909034</v>
      </c>
      <c r="AA776" s="311">
        <v>-0.1339045556063938</v>
      </c>
      <c r="AB776" s="311">
        <v>-7.0295758912154449E-2</v>
      </c>
      <c r="AC776" s="311">
        <v>2.385425061514912E-2</v>
      </c>
      <c r="AD776" s="311">
        <v>1.0289758435441776E-2</v>
      </c>
      <c r="AE776" s="311">
        <v>8.3192388693131836E-3</v>
      </c>
      <c r="AF776" s="311">
        <v>-1.9393362705609762E-3</v>
      </c>
      <c r="AG776" s="311">
        <v>-1.3673977872264986E-3</v>
      </c>
      <c r="AH776" s="311">
        <v>-7.8817751744653108E-4</v>
      </c>
      <c r="AI776" s="311">
        <v>-2.0225495954773187E-4</v>
      </c>
      <c r="AJ776" s="311">
        <v>3.89760306304332E-4</v>
      </c>
      <c r="AK776" s="311">
        <v>9.872308883740466E-4</v>
      </c>
      <c r="AL776" s="311">
        <v>1.5894941160963239E-3</v>
      </c>
      <c r="AM776" s="311">
        <v>2.1958648164572825E-3</v>
      </c>
      <c r="AN776" s="311">
        <v>2.8056383112424754E-3</v>
      </c>
      <c r="AO776" s="311">
        <v>3.4180936087264691E-3</v>
      </c>
      <c r="AP776" s="311">
        <v>4.0324967600935402E-3</v>
      </c>
      <c r="AQ776" s="311">
        <v>4.0324967600935402E-3</v>
      </c>
      <c r="AR776" s="311">
        <v>4.0324967600935402E-3</v>
      </c>
      <c r="AS776" s="311">
        <v>4.0324967600935402E-3</v>
      </c>
      <c r="AT776" s="312"/>
      <c r="AU776" s="514"/>
    </row>
    <row r="777" spans="1:47" hidden="1" outlineLevel="1">
      <c r="A777" s="298"/>
      <c r="B777" s="55"/>
      <c r="C777" s="18"/>
      <c r="D777" s="18"/>
      <c r="E777" s="18"/>
      <c r="F777" s="18"/>
      <c r="G777" s="18"/>
      <c r="H777" s="18"/>
      <c r="I777" s="18"/>
      <c r="J777" s="18"/>
      <c r="K777" s="7"/>
      <c r="L777" s="7"/>
      <c r="M777" s="7"/>
      <c r="N777" s="7"/>
      <c r="O777" s="7"/>
      <c r="P777" s="7"/>
      <c r="Q777" s="7"/>
      <c r="R777" s="7"/>
      <c r="S777" s="7"/>
      <c r="T777" s="7"/>
      <c r="U777" s="7"/>
      <c r="V777" s="7"/>
      <c r="W777" s="7"/>
      <c r="X777" s="7"/>
      <c r="Y777" s="7"/>
      <c r="Z777" s="7"/>
      <c r="AA777" s="7"/>
      <c r="AB777" s="7"/>
      <c r="AC777" s="7"/>
      <c r="AD777" s="7"/>
      <c r="AE777" s="7"/>
      <c r="AF777" s="7"/>
      <c r="AG777" s="7"/>
      <c r="AH777" s="7"/>
      <c r="AI777" s="7"/>
      <c r="AJ777" s="7"/>
      <c r="AK777" s="7"/>
      <c r="AL777" s="7"/>
      <c r="AM777" s="7"/>
      <c r="AN777" s="7"/>
      <c r="AO777" s="7"/>
      <c r="AP777" s="7"/>
      <c r="AQ777" s="7"/>
      <c r="AR777" s="7"/>
      <c r="AS777" s="7"/>
      <c r="AT777" s="2"/>
      <c r="AU777" s="2"/>
    </row>
    <row r="778" spans="1:47" hidden="1" outlineLevel="1">
      <c r="A778" s="298"/>
      <c r="B778" s="244"/>
      <c r="C778" s="18"/>
      <c r="D778" s="18"/>
      <c r="E778" s="18"/>
      <c r="F778" s="18"/>
      <c r="G778" s="18"/>
      <c r="H778" s="18"/>
      <c r="I778" s="18"/>
      <c r="J778" s="18"/>
      <c r="K778" s="7"/>
      <c r="L778" s="7"/>
      <c r="M778" s="7"/>
      <c r="N778" s="7"/>
      <c r="O778" s="7"/>
      <c r="P778" s="7"/>
      <c r="Q778" s="7"/>
      <c r="R778" s="7"/>
      <c r="S778" s="7"/>
      <c r="T778" s="7"/>
      <c r="U778" s="7"/>
      <c r="V778" s="7"/>
      <c r="W778" s="549"/>
      <c r="X778" s="29"/>
      <c r="Y778" s="29"/>
      <c r="Z778" s="29"/>
      <c r="AA778" s="29"/>
      <c r="AB778" s="29"/>
      <c r="AC778" s="29"/>
      <c r="AD778" s="29"/>
      <c r="AE778" s="245"/>
      <c r="AF778" s="245"/>
      <c r="AG778" s="245"/>
      <c r="AH778" s="245"/>
      <c r="AI778" s="245"/>
      <c r="AJ778" s="245"/>
      <c r="AK778" s="245"/>
      <c r="AL778" s="245"/>
      <c r="AM778" s="245"/>
      <c r="AN778" s="245"/>
      <c r="AO778" s="245"/>
      <c r="AP778" s="245"/>
      <c r="AQ778" s="245"/>
      <c r="AR778" s="245"/>
      <c r="AS778" s="245"/>
      <c r="AT778" s="2"/>
      <c r="AU778" s="2"/>
    </row>
    <row r="779" spans="1:47" hidden="1" outlineLevel="1">
      <c r="A779" s="298"/>
      <c r="B779" s="6" t="s">
        <v>426</v>
      </c>
      <c r="C779" s="18" t="s">
        <v>281</v>
      </c>
      <c r="D779" s="18"/>
      <c r="E779" s="18"/>
      <c r="F779" s="18"/>
      <c r="G779" s="18"/>
      <c r="H779" s="18"/>
      <c r="I779" s="18"/>
      <c r="J779" s="18"/>
      <c r="K779" s="7"/>
      <c r="L779" s="7"/>
      <c r="M779" s="7"/>
      <c r="N779" s="7"/>
      <c r="O779" s="7"/>
      <c r="P779" s="7"/>
      <c r="Q779" s="7"/>
      <c r="R779" s="7"/>
      <c r="S779" s="7"/>
      <c r="T779" s="7"/>
      <c r="U779" s="7"/>
      <c r="V779" s="7"/>
      <c r="W779" s="56">
        <v>1386.1067278999999</v>
      </c>
      <c r="X779" s="56">
        <v>1225.4433528383997</v>
      </c>
      <c r="Y779" s="56">
        <v>831.65146752919998</v>
      </c>
      <c r="Z779" s="56">
        <v>730.49700783009996</v>
      </c>
      <c r="AA779" s="56">
        <v>631.10167073190496</v>
      </c>
      <c r="AB779" s="56">
        <v>568.81719671322628</v>
      </c>
      <c r="AC779" s="56">
        <v>572.36580747888752</v>
      </c>
      <c r="AD779" s="56">
        <v>590.23284042591877</v>
      </c>
      <c r="AE779" s="56">
        <v>630.84194447895743</v>
      </c>
      <c r="AF779" s="56">
        <v>637.69016900444728</v>
      </c>
      <c r="AG779" s="56">
        <v>643.56791302432498</v>
      </c>
      <c r="AH779" s="56">
        <v>648.70514363121242</v>
      </c>
      <c r="AI779" s="56">
        <v>653.29428480652757</v>
      </c>
      <c r="AJ779" s="56">
        <v>657.49652338526528</v>
      </c>
      <c r="AK779" s="56">
        <v>661.44706498528706</v>
      </c>
      <c r="AL779" s="56">
        <v>665.2595149458881</v>
      </c>
      <c r="AM779" s="56">
        <v>669.02953014724665</v>
      </c>
      <c r="AN779" s="56">
        <v>672.83786327142388</v>
      </c>
      <c r="AO779" s="56">
        <v>676.75290080649972</v>
      </c>
      <c r="AP779" s="56">
        <v>680.83277921290005</v>
      </c>
      <c r="AQ779" s="56">
        <v>680.83277921290005</v>
      </c>
      <c r="AR779" s="56">
        <v>680.83277921290005</v>
      </c>
      <c r="AS779" s="56">
        <v>680.83277921290005</v>
      </c>
      <c r="AT779" s="2"/>
      <c r="AU779" s="2"/>
    </row>
    <row r="780" spans="1:47" hidden="1" outlineLevel="1">
      <c r="A780" s="298"/>
      <c r="B780" s="55"/>
      <c r="C780" s="18"/>
      <c r="D780" s="18"/>
      <c r="E780" s="18"/>
      <c r="F780" s="18"/>
      <c r="G780" s="18"/>
      <c r="H780" s="18"/>
      <c r="I780" s="18"/>
      <c r="J780" s="18"/>
      <c r="K780" s="7"/>
      <c r="L780" s="7"/>
      <c r="M780" s="7"/>
      <c r="N780" s="7"/>
      <c r="O780" s="7"/>
      <c r="P780" s="7"/>
      <c r="Q780" s="7"/>
      <c r="R780" s="7"/>
      <c r="S780" s="7"/>
      <c r="T780" s="7"/>
      <c r="U780" s="7"/>
      <c r="V780" s="7"/>
      <c r="W780" s="7"/>
      <c r="X780" s="7"/>
      <c r="Y780" s="7"/>
      <c r="Z780" s="7"/>
      <c r="AA780" s="7"/>
      <c r="AB780" s="7"/>
      <c r="AC780" s="7"/>
      <c r="AD780" s="7"/>
      <c r="AE780" s="7"/>
      <c r="AF780" s="7"/>
      <c r="AG780" s="7"/>
      <c r="AH780" s="7"/>
      <c r="AI780" s="7"/>
      <c r="AJ780" s="7"/>
      <c r="AK780" s="7"/>
      <c r="AL780" s="7"/>
      <c r="AM780" s="7"/>
      <c r="AN780" s="7"/>
      <c r="AO780" s="7"/>
      <c r="AP780" s="7"/>
      <c r="AQ780" s="7"/>
      <c r="AR780" s="7"/>
      <c r="AS780" s="7"/>
      <c r="AT780" s="2"/>
      <c r="AU780" s="2"/>
    </row>
    <row r="781" spans="1:47" hidden="1" outlineLevel="1">
      <c r="A781" s="298"/>
      <c r="B781" s="6" t="s">
        <v>798</v>
      </c>
      <c r="C781" s="21" t="s">
        <v>281</v>
      </c>
      <c r="D781" s="21"/>
      <c r="E781" s="21"/>
      <c r="F781" s="21"/>
      <c r="G781" s="21"/>
      <c r="H781" s="21"/>
      <c r="I781" s="21"/>
      <c r="J781" s="21"/>
      <c r="K781" s="7"/>
      <c r="L781" s="7"/>
      <c r="M781" s="7"/>
      <c r="N781" s="7"/>
      <c r="O781" s="7"/>
      <c r="P781" s="549">
        <v>908</v>
      </c>
      <c r="Q781" s="549">
        <v>1001</v>
      </c>
      <c r="R781" s="549">
        <v>943</v>
      </c>
      <c r="S781" s="549">
        <v>1094</v>
      </c>
      <c r="T781" s="549">
        <v>1173</v>
      </c>
      <c r="U781" s="549">
        <v>1222</v>
      </c>
      <c r="V781" s="549">
        <v>994</v>
      </c>
      <c r="W781" s="60">
        <v>711.16016211299996</v>
      </c>
      <c r="X781" s="60">
        <v>571.19588900313204</v>
      </c>
      <c r="Y781" s="60">
        <v>355.167557661096</v>
      </c>
      <c r="Z781" s="60">
        <v>283.32395274053499</v>
      </c>
      <c r="AA781" s="60">
        <v>231.36355134152865</v>
      </c>
      <c r="AB781" s="60">
        <v>215.09967491536469</v>
      </c>
      <c r="AC781" s="60">
        <v>220.23071646803288</v>
      </c>
      <c r="AD781" s="60">
        <v>134.84656808518375</v>
      </c>
      <c r="AE781" s="60">
        <v>101.97629167184361</v>
      </c>
      <c r="AF781" s="60">
        <v>94.993290327289287</v>
      </c>
      <c r="AG781" s="60">
        <v>88.087439804273345</v>
      </c>
      <c r="AH781" s="60">
        <v>81.24739501352326</v>
      </c>
      <c r="AI781" s="60">
        <v>74.461715464520495</v>
      </c>
      <c r="AJ781" s="60">
        <v>67.718852441407179</v>
      </c>
      <c r="AK781" s="60">
        <v>61.007135925836323</v>
      </c>
      <c r="AL781" s="60">
        <v>54.314761252826969</v>
      </c>
      <c r="AM781" s="60">
        <v>47.629775485316792</v>
      </c>
      <c r="AN781" s="60">
        <v>40.94006349272081</v>
      </c>
      <c r="AO781" s="60">
        <v>34.233333718405106</v>
      </c>
      <c r="AP781" s="60">
        <v>27.497103620569419</v>
      </c>
      <c r="AQ781" s="60">
        <v>27.497103620569419</v>
      </c>
      <c r="AR781" s="60">
        <v>27.497103620569419</v>
      </c>
      <c r="AS781" s="60">
        <v>27.497103620569419</v>
      </c>
      <c r="AT781" s="2"/>
      <c r="AU781" s="2"/>
    </row>
    <row r="782" spans="1:47" hidden="1" outlineLevel="1">
      <c r="A782" s="308"/>
      <c r="B782" s="322" t="s">
        <v>1099</v>
      </c>
      <c r="C782" s="310" t="s">
        <v>733</v>
      </c>
      <c r="D782" s="310"/>
      <c r="E782" s="310"/>
      <c r="F782" s="310"/>
      <c r="G782" s="310"/>
      <c r="H782" s="310"/>
      <c r="I782" s="310"/>
      <c r="J782" s="310"/>
      <c r="K782" s="311"/>
      <c r="L782" s="311"/>
      <c r="M782" s="311"/>
      <c r="N782" s="311"/>
      <c r="O782" s="311"/>
      <c r="P782" s="311"/>
      <c r="Q782" s="311">
        <v>0.10242290748898686</v>
      </c>
      <c r="R782" s="311">
        <v>-5.7942057942057978E-2</v>
      </c>
      <c r="S782" s="311">
        <v>0.16012725344644752</v>
      </c>
      <c r="T782" s="311">
        <v>7.2212065813528348E-2</v>
      </c>
      <c r="U782" s="311">
        <v>4.1773231031543068E-2</v>
      </c>
      <c r="V782" s="311">
        <v>-0.18657937806873981</v>
      </c>
      <c r="W782" s="311">
        <v>-0.28454712061066401</v>
      </c>
      <c r="X782" s="311">
        <v>-0.19681118342456905</v>
      </c>
      <c r="Y782" s="311">
        <v>-0.37820358217047934</v>
      </c>
      <c r="Z782" s="311">
        <v>-0.20228087664784633</v>
      </c>
      <c r="AA782" s="311">
        <v>-0.18339572385745695</v>
      </c>
      <c r="AB782" s="311">
        <v>-7.0295758912154449E-2</v>
      </c>
      <c r="AC782" s="311">
        <v>2.385425061514912E-2</v>
      </c>
      <c r="AD782" s="311">
        <v>-0.38770317670579291</v>
      </c>
      <c r="AE782" s="311">
        <v>-0.24376057084801517</v>
      </c>
      <c r="AF782" s="311">
        <v>-6.847671385252363E-2</v>
      </c>
      <c r="AG782" s="311">
        <v>-7.2698297945281931E-2</v>
      </c>
      <c r="AH782" s="311">
        <v>-7.7650625400719764E-2</v>
      </c>
      <c r="AI782" s="311">
        <v>-8.3518733712918625E-2</v>
      </c>
      <c r="AJ782" s="311">
        <v>-9.0554763357905133E-2</v>
      </c>
      <c r="AK782" s="311">
        <v>-9.9111492200463336E-2</v>
      </c>
      <c r="AL782" s="311">
        <v>-0.10969822745235869</v>
      </c>
      <c r="AM782" s="311">
        <v>-0.12307861828559985</v>
      </c>
      <c r="AN782" s="311">
        <v>-0.14045231001893499</v>
      </c>
      <c r="AO782" s="311">
        <v>-0.16381825532606142</v>
      </c>
      <c r="AP782" s="311">
        <v>-0.19677400259192523</v>
      </c>
      <c r="AQ782" s="311">
        <v>-0.19677400259192523</v>
      </c>
      <c r="AR782" s="311">
        <v>-0.19677400259192523</v>
      </c>
      <c r="AS782" s="311">
        <v>-0.19677400259192523</v>
      </c>
      <c r="AT782" s="312"/>
      <c r="AU782" s="514"/>
    </row>
    <row r="783" spans="1:47" hidden="1" outlineLevel="1">
      <c r="A783" s="308"/>
      <c r="B783" s="313" t="s">
        <v>871</v>
      </c>
      <c r="C783" s="310" t="s">
        <v>733</v>
      </c>
      <c r="D783" s="310"/>
      <c r="E783" s="310"/>
      <c r="F783" s="310"/>
      <c r="G783" s="310"/>
      <c r="H783" s="310"/>
      <c r="I783" s="310"/>
      <c r="J783" s="310"/>
      <c r="K783" s="311"/>
      <c r="L783" s="311"/>
      <c r="M783" s="311"/>
      <c r="N783" s="311"/>
      <c r="O783" s="311"/>
      <c r="P783" s="311">
        <v>0.535377358490566</v>
      </c>
      <c r="Q783" s="311">
        <v>0.55181918412348396</v>
      </c>
      <c r="R783" s="311">
        <v>0.49507501716027336</v>
      </c>
      <c r="S783" s="311">
        <v>0.53698013761419416</v>
      </c>
      <c r="T783" s="311">
        <v>0.56747649337595107</v>
      </c>
      <c r="U783" s="311">
        <v>0.62795477903391572</v>
      </c>
      <c r="V783" s="311">
        <v>0.55099762998957036</v>
      </c>
      <c r="W783" s="528">
        <v>0.47</v>
      </c>
      <c r="X783" s="528">
        <v>0.4274</v>
      </c>
      <c r="Y783" s="560">
        <v>0.38</v>
      </c>
      <c r="Z783" s="542">
        <v>0.35</v>
      </c>
      <c r="AA783" s="542">
        <v>0.33</v>
      </c>
      <c r="AB783" s="542">
        <v>0.33</v>
      </c>
      <c r="AC783" s="542">
        <v>0.33</v>
      </c>
      <c r="AD783" s="542">
        <v>0.2</v>
      </c>
      <c r="AE783" s="542">
        <v>0.15</v>
      </c>
      <c r="AF783" s="320">
        <v>0.13999999999999999</v>
      </c>
      <c r="AG783" s="320">
        <v>0.12999999999999998</v>
      </c>
      <c r="AH783" s="320">
        <v>0.11999999999999998</v>
      </c>
      <c r="AI783" s="320">
        <v>0.10999999999999999</v>
      </c>
      <c r="AJ783" s="320">
        <v>9.9999999999999992E-2</v>
      </c>
      <c r="AK783" s="320">
        <v>0.09</v>
      </c>
      <c r="AL783" s="320">
        <v>0.08</v>
      </c>
      <c r="AM783" s="320">
        <v>7.0000000000000007E-2</v>
      </c>
      <c r="AN783" s="320">
        <v>6.0000000000000005E-2</v>
      </c>
      <c r="AO783" s="321">
        <v>0.05</v>
      </c>
      <c r="AP783" s="321">
        <v>0.04</v>
      </c>
      <c r="AQ783" s="321">
        <v>0.04</v>
      </c>
      <c r="AR783" s="321">
        <v>0.04</v>
      </c>
      <c r="AS783" s="321">
        <v>0.04</v>
      </c>
      <c r="AT783" s="312"/>
      <c r="AU783" s="514"/>
    </row>
    <row r="784" spans="1:47" hidden="1" outlineLevel="1">
      <c r="A784" s="298"/>
      <c r="B784" s="2"/>
      <c r="C784" s="18"/>
      <c r="D784" s="18"/>
      <c r="E784" s="18"/>
      <c r="F784" s="18"/>
      <c r="G784" s="18"/>
      <c r="H784" s="18"/>
      <c r="I784" s="18"/>
      <c r="J784" s="18"/>
      <c r="K784" s="7"/>
      <c r="L784" s="7"/>
      <c r="M784" s="7"/>
      <c r="N784" s="7"/>
      <c r="O784" s="7"/>
      <c r="P784" s="7"/>
      <c r="Q784" s="7"/>
      <c r="R784" s="7"/>
      <c r="S784" s="7"/>
      <c r="T784" s="7"/>
      <c r="U784" s="7"/>
      <c r="V784" s="7"/>
      <c r="W784" s="7"/>
      <c r="X784" s="7"/>
      <c r="Y784" s="60"/>
      <c r="Z784" s="7"/>
      <c r="AA784" s="7"/>
      <c r="AB784" s="7"/>
      <c r="AC784" s="7"/>
      <c r="AD784" s="7"/>
      <c r="AE784" s="7"/>
      <c r="AF784" s="7"/>
      <c r="AG784" s="7"/>
      <c r="AH784" s="7"/>
      <c r="AI784" s="7"/>
      <c r="AJ784" s="7"/>
      <c r="AK784" s="7"/>
      <c r="AL784" s="7"/>
      <c r="AM784" s="7"/>
      <c r="AN784" s="7"/>
      <c r="AO784" s="7"/>
      <c r="AP784" s="7"/>
      <c r="AQ784" s="7"/>
      <c r="AR784" s="7"/>
      <c r="AS784" s="7"/>
      <c r="AT784" s="2"/>
      <c r="AU784" s="2"/>
    </row>
    <row r="785" spans="1:47" hidden="1" outlineLevel="1">
      <c r="A785" s="298"/>
      <c r="B785" s="6" t="s">
        <v>687</v>
      </c>
      <c r="C785" s="18"/>
      <c r="D785" s="18"/>
      <c r="E785" s="18"/>
      <c r="F785" s="18"/>
      <c r="G785" s="18"/>
      <c r="H785" s="18"/>
      <c r="I785" s="18"/>
      <c r="J785" s="18"/>
      <c r="K785" s="7"/>
      <c r="L785" s="7"/>
      <c r="M785" s="7"/>
      <c r="N785" s="7"/>
      <c r="O785" s="7"/>
      <c r="P785" s="7"/>
      <c r="Q785" s="7"/>
      <c r="R785" s="7"/>
      <c r="S785" s="7"/>
      <c r="T785" s="7"/>
      <c r="U785" s="7"/>
      <c r="V785" s="7"/>
      <c r="W785" s="7"/>
      <c r="X785" s="7"/>
      <c r="Y785" s="60"/>
      <c r="Z785" s="7"/>
      <c r="AA785" s="7"/>
      <c r="AB785" s="7"/>
      <c r="AC785" s="7"/>
      <c r="AD785" s="7"/>
      <c r="AE785" s="7"/>
      <c r="AF785" s="7"/>
      <c r="AG785" s="7"/>
      <c r="AH785" s="7"/>
      <c r="AI785" s="7"/>
      <c r="AJ785" s="7"/>
      <c r="AK785" s="7"/>
      <c r="AL785" s="7"/>
      <c r="AM785" s="7"/>
      <c r="AN785" s="7"/>
      <c r="AO785" s="7"/>
      <c r="AP785" s="7"/>
      <c r="AQ785" s="7"/>
      <c r="AR785" s="7"/>
      <c r="AS785" s="7"/>
      <c r="AT785" s="2"/>
      <c r="AU785" s="2"/>
    </row>
    <row r="786" spans="1:47" hidden="1" outlineLevel="1">
      <c r="A786" s="298"/>
      <c r="B786" s="2" t="s">
        <v>580</v>
      </c>
      <c r="C786" s="18"/>
      <c r="D786" s="18"/>
      <c r="E786" s="18"/>
      <c r="F786" s="18"/>
      <c r="G786" s="18"/>
      <c r="H786" s="18"/>
      <c r="I786" s="18"/>
      <c r="J786" s="18"/>
      <c r="K786" s="7"/>
      <c r="L786" s="7"/>
      <c r="M786" s="7"/>
      <c r="N786" s="7"/>
      <c r="O786" s="7"/>
      <c r="P786" s="7"/>
      <c r="Q786" s="7"/>
      <c r="R786" s="7"/>
      <c r="S786" s="7"/>
      <c r="T786" s="7"/>
      <c r="U786" s="7"/>
      <c r="V786" s="7"/>
      <c r="W786" s="7"/>
      <c r="X786" s="7"/>
      <c r="Y786" s="56">
        <v>33</v>
      </c>
      <c r="Z786" s="56">
        <v>23.159661365349251</v>
      </c>
      <c r="AA786" s="56">
        <v>24.400540689696555</v>
      </c>
      <c r="AB786" s="56">
        <v>40.60598928789824</v>
      </c>
      <c r="AC786" s="56">
        <v>51.594711931790471</v>
      </c>
      <c r="AD786" s="56">
        <v>57.423080001665355</v>
      </c>
      <c r="AE786" s="56">
        <v>28.901485191841445</v>
      </c>
      <c r="AF786" s="56">
        <v>22.111098772553767</v>
      </c>
      <c r="AG786" s="56">
        <v>16.666617803299211</v>
      </c>
      <c r="AH786" s="56">
        <v>12.343426436703133</v>
      </c>
      <c r="AI786" s="56">
        <v>8.9547362700047124</v>
      </c>
      <c r="AJ786" s="56">
        <v>6.3452874322293091</v>
      </c>
      <c r="AK786" s="56">
        <v>4.3860999612905296</v>
      </c>
      <c r="AL786" s="56">
        <v>2.970100433760047</v>
      </c>
      <c r="AM786" s="56">
        <v>2.0084779834508666</v>
      </c>
      <c r="AN786" s="56">
        <v>1.4276481561475602</v>
      </c>
      <c r="AO786" s="56">
        <v>1.1667233071561789</v>
      </c>
      <c r="AP786" s="56">
        <v>1.1754051311453653</v>
      </c>
      <c r="AQ786" s="56">
        <v>1.1754051311453653</v>
      </c>
      <c r="AR786" s="56">
        <v>1.1754051311453653</v>
      </c>
      <c r="AS786" s="56">
        <v>1.1754051311453653</v>
      </c>
      <c r="AT786" s="2"/>
      <c r="AU786" s="2"/>
    </row>
    <row r="787" spans="1:47" hidden="1" outlineLevel="1">
      <c r="A787" s="298"/>
      <c r="B787" s="2" t="s">
        <v>426</v>
      </c>
      <c r="C787" s="18"/>
      <c r="D787" s="18"/>
      <c r="E787" s="18"/>
      <c r="F787" s="18"/>
      <c r="G787" s="18"/>
      <c r="H787" s="18"/>
      <c r="I787" s="18"/>
      <c r="J787" s="18"/>
      <c r="K787" s="7"/>
      <c r="L787" s="7"/>
      <c r="M787" s="7"/>
      <c r="N787" s="7"/>
      <c r="O787" s="7"/>
      <c r="P787" s="7"/>
      <c r="Q787" s="7"/>
      <c r="R787" s="7"/>
      <c r="S787" s="7"/>
      <c r="T787" s="7"/>
      <c r="U787" s="7"/>
      <c r="V787" s="7"/>
      <c r="W787" s="7"/>
      <c r="X787" s="7"/>
      <c r="Y787" s="56">
        <v>546.48390986810398</v>
      </c>
      <c r="Z787" s="56">
        <v>503.01339372421569</v>
      </c>
      <c r="AA787" s="56">
        <v>445.33757870067973</v>
      </c>
      <c r="AB787" s="56">
        <v>396.11153250996335</v>
      </c>
      <c r="AC787" s="56">
        <v>395.54037907906417</v>
      </c>
      <c r="AD787" s="56">
        <v>481.96319233906968</v>
      </c>
      <c r="AE787" s="56">
        <v>548.96416761527234</v>
      </c>
      <c r="AF787" s="56">
        <v>561.41911323793761</v>
      </c>
      <c r="AG787" s="56">
        <v>572.84163319453023</v>
      </c>
      <c r="AH787" s="56">
        <v>583.47080366246746</v>
      </c>
      <c r="AI787" s="56">
        <v>593.50823430657033</v>
      </c>
      <c r="AJ787" s="56">
        <v>603.12438454043536</v>
      </c>
      <c r="AK787" s="56">
        <v>612.46382995549902</v>
      </c>
      <c r="AL787" s="56">
        <v>621.64965397375011</v>
      </c>
      <c r="AM787" s="56">
        <v>630.78711060718649</v>
      </c>
      <c r="AN787" s="56">
        <v>639.96667989647847</v>
      </c>
      <c r="AO787" s="56">
        <v>649.26661734254094</v>
      </c>
      <c r="AP787" s="56">
        <v>658.7550817625206</v>
      </c>
      <c r="AQ787" s="56">
        <v>658.7550817625206</v>
      </c>
      <c r="AR787" s="56">
        <v>658.7550817625206</v>
      </c>
      <c r="AS787" s="56">
        <v>658.7550817625206</v>
      </c>
      <c r="AT787" s="2"/>
      <c r="AU787" s="2"/>
    </row>
    <row r="788" spans="1:47" hidden="1" outlineLevel="1">
      <c r="A788" s="298"/>
      <c r="B788" s="6"/>
      <c r="C788" s="18"/>
      <c r="D788" s="18"/>
      <c r="E788" s="18"/>
      <c r="F788" s="18"/>
      <c r="G788" s="18"/>
      <c r="H788" s="18"/>
      <c r="I788" s="18"/>
      <c r="J788" s="18"/>
      <c r="K788" s="7"/>
      <c r="L788" s="7"/>
      <c r="M788" s="7"/>
      <c r="N788" s="7"/>
      <c r="O788" s="7"/>
      <c r="P788" s="7"/>
      <c r="Q788" s="7"/>
      <c r="R788" s="7"/>
      <c r="S788" s="7"/>
      <c r="T788" s="7"/>
      <c r="U788" s="7"/>
      <c r="V788" s="7"/>
      <c r="W788" s="7"/>
      <c r="X788" s="56"/>
      <c r="Y788" s="60"/>
      <c r="Z788" s="7"/>
      <c r="AA788" s="7"/>
      <c r="AB788" s="7"/>
      <c r="AC788" s="7"/>
      <c r="AD788" s="7"/>
      <c r="AE788" s="7"/>
      <c r="AF788" s="7"/>
      <c r="AG788" s="7"/>
      <c r="AH788" s="7"/>
      <c r="AI788" s="7"/>
      <c r="AJ788" s="7"/>
      <c r="AK788" s="7"/>
      <c r="AL788" s="7"/>
      <c r="AM788" s="7"/>
      <c r="AN788" s="7"/>
      <c r="AO788" s="7"/>
      <c r="AP788" s="7"/>
      <c r="AQ788" s="7"/>
      <c r="AR788" s="7"/>
      <c r="AS788" s="7"/>
      <c r="AT788" s="2"/>
      <c r="AU788" s="2"/>
    </row>
    <row r="789" spans="1:47" hidden="1" outlineLevel="1">
      <c r="A789" s="298"/>
      <c r="B789" s="6" t="s">
        <v>580</v>
      </c>
      <c r="C789" s="21" t="s">
        <v>281</v>
      </c>
      <c r="D789" s="18"/>
      <c r="E789" s="18"/>
      <c r="F789" s="18"/>
      <c r="G789" s="18"/>
      <c r="H789" s="18"/>
      <c r="I789" s="18"/>
      <c r="J789" s="18"/>
      <c r="K789" s="7"/>
      <c r="L789" s="7"/>
      <c r="M789" s="7"/>
      <c r="N789" s="7"/>
      <c r="O789" s="7"/>
      <c r="P789" s="7"/>
      <c r="Q789" s="7"/>
      <c r="R789" s="7"/>
      <c r="S789" s="7"/>
      <c r="T789" s="7"/>
      <c r="U789" s="7"/>
      <c r="V789" s="7"/>
      <c r="W789" s="7"/>
      <c r="X789" s="7"/>
      <c r="Y789" s="550">
        <v>70</v>
      </c>
      <c r="Z789" s="56">
        <v>55.840338634650749</v>
      </c>
      <c r="AA789" s="56">
        <v>45.599459310303445</v>
      </c>
      <c r="AB789" s="56">
        <v>42.39401071210176</v>
      </c>
      <c r="AC789" s="56">
        <v>43.405288068209529</v>
      </c>
      <c r="AD789" s="56">
        <v>26.576919998334645</v>
      </c>
      <c r="AE789" s="56">
        <v>20.098514808158555</v>
      </c>
      <c r="AF789" s="56">
        <v>18.722234560779569</v>
      </c>
      <c r="AG789" s="56">
        <v>17.361159974478568</v>
      </c>
      <c r="AH789" s="56">
        <v>16.013055044778355</v>
      </c>
      <c r="AI789" s="56">
        <v>14.675664964563197</v>
      </c>
      <c r="AJ789" s="56">
        <v>13.346713596577281</v>
      </c>
      <c r="AK789" s="56">
        <v>12.023900896048296</v>
      </c>
      <c r="AL789" s="56">
        <v>10.704900280688975</v>
      </c>
      <c r="AM789" s="56">
        <v>9.3873559452566511</v>
      </c>
      <c r="AN789" s="56">
        <v>8.0688801177753717</v>
      </c>
      <c r="AO789" s="56">
        <v>6.7470502544462647</v>
      </c>
      <c r="AP789" s="56">
        <v>5.4194061701900047</v>
      </c>
      <c r="AQ789" s="56">
        <v>5.4194061701900047</v>
      </c>
      <c r="AR789" s="56">
        <v>5.4194061701900047</v>
      </c>
      <c r="AS789" s="56">
        <v>5.4194061701900047</v>
      </c>
      <c r="AT789" s="2"/>
      <c r="AU789" s="2"/>
    </row>
    <row r="790" spans="1:47" hidden="1" outlineLevel="1">
      <c r="A790" s="298"/>
      <c r="B790" s="6" t="s">
        <v>426</v>
      </c>
      <c r="C790" s="21" t="s">
        <v>281</v>
      </c>
      <c r="D790" s="18"/>
      <c r="E790" s="18"/>
      <c r="F790" s="18"/>
      <c r="G790" s="18"/>
      <c r="H790" s="18"/>
      <c r="I790" s="18"/>
      <c r="J790" s="18"/>
      <c r="K790" s="7"/>
      <c r="L790" s="7"/>
      <c r="M790" s="7"/>
      <c r="N790" s="7"/>
      <c r="O790" s="7"/>
      <c r="P790" s="7"/>
      <c r="Q790" s="7"/>
      <c r="R790" s="7"/>
      <c r="S790" s="7"/>
      <c r="T790" s="7"/>
      <c r="U790" s="7"/>
      <c r="V790" s="7"/>
      <c r="W790" s="7"/>
      <c r="X790" s="7"/>
      <c r="Y790" s="60">
        <v>285.167557661096</v>
      </c>
      <c r="Z790" s="60">
        <v>227.48361410588424</v>
      </c>
      <c r="AA790" s="60">
        <v>185.7640920312252</v>
      </c>
      <c r="AB790" s="60">
        <v>172.70566420326293</v>
      </c>
      <c r="AC790" s="60">
        <v>176.82542839982335</v>
      </c>
      <c r="AD790" s="60">
        <v>108.2696480868491</v>
      </c>
      <c r="AE790" s="60">
        <v>81.877776863685057</v>
      </c>
      <c r="AF790" s="60">
        <v>76.271055766509718</v>
      </c>
      <c r="AG790" s="60">
        <v>70.726279829794777</v>
      </c>
      <c r="AH790" s="60">
        <v>65.234339968744905</v>
      </c>
      <c r="AI790" s="60">
        <v>59.786050499957298</v>
      </c>
      <c r="AJ790" s="60">
        <v>54.372138844829898</v>
      </c>
      <c r="AK790" s="60">
        <v>48.983235029788027</v>
      </c>
      <c r="AL790" s="60">
        <v>43.609860972137994</v>
      </c>
      <c r="AM790" s="60">
        <v>38.242419540060141</v>
      </c>
      <c r="AN790" s="60">
        <v>32.871183374945439</v>
      </c>
      <c r="AO790" s="60">
        <v>27.486283463958841</v>
      </c>
      <c r="AP790" s="60">
        <v>22.077697450379414</v>
      </c>
      <c r="AQ790" s="60">
        <v>22.077697450379414</v>
      </c>
      <c r="AR790" s="60">
        <v>22.077697450379414</v>
      </c>
      <c r="AS790" s="60">
        <v>22.077697450379414</v>
      </c>
      <c r="AT790" s="2"/>
      <c r="AU790" s="2"/>
    </row>
    <row r="791" spans="1:47" hidden="1" outlineLevel="1">
      <c r="A791" s="298"/>
      <c r="B791" s="6" t="s">
        <v>798</v>
      </c>
      <c r="C791" s="21" t="s">
        <v>281</v>
      </c>
      <c r="D791" s="21"/>
      <c r="E791" s="21"/>
      <c r="F791" s="21"/>
      <c r="G791" s="21"/>
      <c r="H791" s="21"/>
      <c r="I791" s="21"/>
      <c r="J791" s="21"/>
      <c r="K791" s="34"/>
      <c r="L791" s="34"/>
      <c r="M791" s="34"/>
      <c r="N791" s="34"/>
      <c r="O791" s="34"/>
      <c r="P791" s="34"/>
      <c r="Q791" s="34"/>
      <c r="R791" s="34"/>
      <c r="S791" s="34"/>
      <c r="T791" s="34"/>
      <c r="U791" s="34"/>
      <c r="V791" s="455">
        <v>994</v>
      </c>
      <c r="W791" s="455">
        <v>711.16016211299996</v>
      </c>
      <c r="X791" s="455">
        <v>571.19588900313204</v>
      </c>
      <c r="Y791" s="60">
        <v>355.167557661096</v>
      </c>
      <c r="Z791" s="60">
        <v>283.32395274053499</v>
      </c>
      <c r="AA791" s="60">
        <v>231.36355134152865</v>
      </c>
      <c r="AB791" s="60">
        <v>215.09967491536469</v>
      </c>
      <c r="AC791" s="60">
        <v>220.23071646803288</v>
      </c>
      <c r="AD791" s="60">
        <v>134.84656808518375</v>
      </c>
      <c r="AE791" s="60">
        <v>101.97629167184361</v>
      </c>
      <c r="AF791" s="60">
        <v>94.993290327289287</v>
      </c>
      <c r="AG791" s="60">
        <v>88.087439804273345</v>
      </c>
      <c r="AH791" s="60">
        <v>81.24739501352326</v>
      </c>
      <c r="AI791" s="60">
        <v>74.461715464520495</v>
      </c>
      <c r="AJ791" s="60">
        <v>67.718852441407179</v>
      </c>
      <c r="AK791" s="60">
        <v>61.007135925836323</v>
      </c>
      <c r="AL791" s="60">
        <v>54.314761252826969</v>
      </c>
      <c r="AM791" s="60">
        <v>47.629775485316792</v>
      </c>
      <c r="AN791" s="60">
        <v>40.94006349272081</v>
      </c>
      <c r="AO791" s="60">
        <v>34.233333718405106</v>
      </c>
      <c r="AP791" s="60">
        <v>27.497103620569419</v>
      </c>
      <c r="AQ791" s="60">
        <v>27.497103620569419</v>
      </c>
      <c r="AR791" s="60">
        <v>27.497103620569419</v>
      </c>
      <c r="AS791" s="60">
        <v>27.497103620569419</v>
      </c>
      <c r="AT791" s="2"/>
      <c r="AU791" s="2"/>
    </row>
    <row r="792" spans="1:47" hidden="1" outlineLevel="1">
      <c r="A792" s="298"/>
      <c r="B792" s="2"/>
      <c r="C792" s="18"/>
      <c r="D792" s="18"/>
      <c r="E792" s="18"/>
      <c r="F792" s="18"/>
      <c r="G792" s="18"/>
      <c r="H792" s="18"/>
      <c r="I792" s="18"/>
      <c r="J792" s="18"/>
      <c r="K792" s="7"/>
      <c r="L792" s="7"/>
      <c r="M792" s="7"/>
      <c r="N792" s="7"/>
      <c r="O792" s="7"/>
      <c r="P792" s="7"/>
      <c r="Q792" s="7"/>
      <c r="R792" s="7"/>
      <c r="S792" s="7"/>
      <c r="T792" s="7"/>
      <c r="U792" s="7"/>
      <c r="V792" s="7"/>
      <c r="W792" s="7"/>
      <c r="X792" s="7"/>
      <c r="Y792" s="7"/>
      <c r="Z792" s="7"/>
      <c r="AA792" s="7"/>
      <c r="AB792" s="7"/>
      <c r="AC792" s="7"/>
      <c r="AD792" s="7"/>
      <c r="AE792" s="7"/>
      <c r="AF792" s="7"/>
      <c r="AG792" s="7"/>
      <c r="AH792" s="7"/>
      <c r="AI792" s="7"/>
      <c r="AJ792" s="7"/>
      <c r="AK792" s="7"/>
      <c r="AL792" s="7"/>
      <c r="AM792" s="7"/>
      <c r="AN792" s="7"/>
      <c r="AO792" s="7"/>
      <c r="AP792" s="7"/>
      <c r="AQ792" s="7"/>
      <c r="AR792" s="7"/>
      <c r="AS792" s="7"/>
      <c r="AT792" s="2"/>
      <c r="AU792" s="2"/>
    </row>
    <row r="793" spans="1:47" hidden="1" outlineLevel="1">
      <c r="A793" s="298"/>
      <c r="B793" s="2" t="s">
        <v>427</v>
      </c>
      <c r="C793" s="18" t="s">
        <v>281</v>
      </c>
      <c r="D793" s="18"/>
      <c r="E793" s="18"/>
      <c r="F793" s="18"/>
      <c r="G793" s="18"/>
      <c r="H793" s="18"/>
      <c r="I793" s="18"/>
      <c r="J793" s="18"/>
      <c r="K793" s="7"/>
      <c r="L793" s="7"/>
      <c r="M793" s="7"/>
      <c r="N793" s="7"/>
      <c r="O793" s="7"/>
      <c r="P793" s="7"/>
      <c r="Q793" s="7"/>
      <c r="R793" s="7"/>
      <c r="S793" s="7"/>
      <c r="T793" s="7"/>
      <c r="U793" s="7"/>
      <c r="V793" s="7"/>
      <c r="W793" s="7"/>
      <c r="X793" s="7"/>
      <c r="Y793" s="549">
        <v>150</v>
      </c>
      <c r="Z793" s="56">
        <v>129.91425723163644</v>
      </c>
      <c r="AA793" s="56">
        <v>112.51814635009944</v>
      </c>
      <c r="AB793" s="56">
        <v>104.60859786103035</v>
      </c>
      <c r="AC793" s="56">
        <v>107.10395757090672</v>
      </c>
      <c r="AD793" s="56">
        <v>108.20603142179114</v>
      </c>
      <c r="AE793" s="56">
        <v>109.10622324428941</v>
      </c>
      <c r="AF793" s="56">
        <v>108.89462958820783</v>
      </c>
      <c r="AG793" s="56">
        <v>108.74572731266807</v>
      </c>
      <c r="AH793" s="56">
        <v>108.66001637528186</v>
      </c>
      <c r="AI793" s="56">
        <v>108.63803934806542</v>
      </c>
      <c r="AJ793" s="56">
        <v>108.68038214355802</v>
      </c>
      <c r="AK793" s="56">
        <v>108.78767477377045</v>
      </c>
      <c r="AL793" s="56">
        <v>108.96059214272717</v>
      </c>
      <c r="AM793" s="56">
        <v>109.19985487339373</v>
      </c>
      <c r="AN793" s="56">
        <v>109.50623016980865</v>
      </c>
      <c r="AO793" s="56">
        <v>109.88053271526779</v>
      </c>
      <c r="AP793" s="56">
        <v>110.32362560743945</v>
      </c>
      <c r="AQ793" s="56">
        <v>110.32362560743945</v>
      </c>
      <c r="AR793" s="56">
        <v>110.32362560743945</v>
      </c>
      <c r="AS793" s="56">
        <v>110.32362560743945</v>
      </c>
      <c r="AT793" s="2"/>
      <c r="AU793" s="2"/>
    </row>
    <row r="794" spans="1:47" hidden="1" outlineLevel="1">
      <c r="A794" s="308"/>
      <c r="B794" s="313" t="s">
        <v>579</v>
      </c>
      <c r="C794" s="310" t="s">
        <v>733</v>
      </c>
      <c r="D794" s="310"/>
      <c r="E794" s="310"/>
      <c r="F794" s="310"/>
      <c r="G794" s="310"/>
      <c r="H794" s="310"/>
      <c r="I794" s="310"/>
      <c r="J794" s="310"/>
      <c r="K794" s="311"/>
      <c r="L794" s="311"/>
      <c r="M794" s="311"/>
      <c r="N794" s="311"/>
      <c r="O794" s="311"/>
      <c r="P794" s="311"/>
      <c r="Q794" s="311"/>
      <c r="R794" s="311"/>
      <c r="S794" s="311"/>
      <c r="T794" s="311"/>
      <c r="U794" s="311"/>
      <c r="V794" s="311"/>
      <c r="W794" s="311"/>
      <c r="X794" s="311"/>
      <c r="Y794" s="311">
        <v>0.16048763117714118</v>
      </c>
      <c r="Z794" s="319">
        <v>0.16048763117714118</v>
      </c>
      <c r="AA794" s="320">
        <v>0.16048763117714118</v>
      </c>
      <c r="AB794" s="320">
        <v>0.16048763117714118</v>
      </c>
      <c r="AC794" s="320">
        <v>0.16048763117714118</v>
      </c>
      <c r="AD794" s="320">
        <v>0.16048763117714118</v>
      </c>
      <c r="AE794" s="320">
        <v>0.16048763117714118</v>
      </c>
      <c r="AF794" s="320">
        <v>0.16048763117714118</v>
      </c>
      <c r="AG794" s="320">
        <v>0.16048763117714118</v>
      </c>
      <c r="AH794" s="320">
        <v>0.16048763117714118</v>
      </c>
      <c r="AI794" s="320">
        <v>0.16048763117714118</v>
      </c>
      <c r="AJ794" s="320">
        <v>0.16048763117714118</v>
      </c>
      <c r="AK794" s="320">
        <v>0.16048763117714118</v>
      </c>
      <c r="AL794" s="320">
        <v>0.16048763117714118</v>
      </c>
      <c r="AM794" s="320">
        <v>0.16048763117714118</v>
      </c>
      <c r="AN794" s="320">
        <v>0.16048763117714118</v>
      </c>
      <c r="AO794" s="321">
        <v>0.16048763117714118</v>
      </c>
      <c r="AP794" s="321">
        <v>0.16048763117714118</v>
      </c>
      <c r="AQ794" s="321">
        <v>0.16048763117714118</v>
      </c>
      <c r="AR794" s="321">
        <v>0.16048763117714118</v>
      </c>
      <c r="AS794" s="321">
        <v>0.16048763117714118</v>
      </c>
      <c r="AT794" s="312"/>
      <c r="AU794" s="514"/>
    </row>
    <row r="795" spans="1:47" hidden="1" outlineLevel="1">
      <c r="A795" s="298"/>
      <c r="B795" s="2"/>
      <c r="C795" s="18"/>
      <c r="D795" s="18"/>
      <c r="E795" s="18"/>
      <c r="F795" s="18"/>
      <c r="G795" s="18"/>
      <c r="H795" s="18"/>
      <c r="I795" s="18"/>
      <c r="J795" s="18"/>
      <c r="K795" s="7"/>
      <c r="L795" s="7"/>
      <c r="M795" s="7"/>
      <c r="N795" s="7"/>
      <c r="O795" s="7"/>
      <c r="P795" s="7"/>
      <c r="Q795" s="7"/>
      <c r="R795" s="7"/>
      <c r="S795" s="7"/>
      <c r="T795" s="7"/>
      <c r="U795" s="7"/>
      <c r="V795" s="7"/>
      <c r="W795" s="7"/>
      <c r="X795" s="7"/>
      <c r="Y795" s="7"/>
      <c r="Z795" s="7"/>
      <c r="AA795" s="7"/>
      <c r="AB795" s="7"/>
      <c r="AC795" s="7"/>
      <c r="AD795" s="7"/>
      <c r="AE795" s="7"/>
      <c r="AF795" s="7"/>
      <c r="AG795" s="7"/>
      <c r="AH795" s="7"/>
      <c r="AI795" s="7"/>
      <c r="AJ795" s="7"/>
      <c r="AK795" s="7"/>
      <c r="AL795" s="7"/>
      <c r="AM795" s="7"/>
      <c r="AN795" s="7"/>
      <c r="AO795" s="7"/>
      <c r="AP795" s="7"/>
      <c r="AQ795" s="7"/>
      <c r="AR795" s="7"/>
      <c r="AS795" s="7"/>
      <c r="AT795" s="2"/>
      <c r="AU795" s="2"/>
    </row>
    <row r="796" spans="1:47" hidden="1" outlineLevel="1">
      <c r="A796" s="298"/>
      <c r="B796" s="2" t="s">
        <v>239</v>
      </c>
      <c r="C796" s="18" t="s">
        <v>281</v>
      </c>
      <c r="D796" s="18"/>
      <c r="E796" s="18"/>
      <c r="F796" s="18"/>
      <c r="G796" s="18"/>
      <c r="H796" s="18"/>
      <c r="I796" s="18"/>
      <c r="J796" s="18"/>
      <c r="K796" s="7"/>
      <c r="L796" s="7"/>
      <c r="M796" s="7"/>
      <c r="N796" s="7"/>
      <c r="O796" s="7"/>
      <c r="P796" s="7"/>
      <c r="Q796" s="7"/>
      <c r="R796" s="7"/>
      <c r="S796" s="7"/>
      <c r="T796" s="7"/>
      <c r="U796" s="7"/>
      <c r="V796" s="7"/>
      <c r="W796" s="7"/>
      <c r="X796" s="7"/>
      <c r="Y796" s="56">
        <v>135.167557661096</v>
      </c>
      <c r="Z796" s="56">
        <v>97.569356874247802</v>
      </c>
      <c r="AA796" s="56">
        <v>73.245945681125761</v>
      </c>
      <c r="AB796" s="56">
        <v>68.09706634223258</v>
      </c>
      <c r="AC796" s="56">
        <v>69.721470828916637</v>
      </c>
      <c r="AD796" s="56">
        <v>6.3616665057963928E-2</v>
      </c>
      <c r="AE796" s="56">
        <v>-27.228446380604353</v>
      </c>
      <c r="AF796" s="56">
        <v>-32.623573821698116</v>
      </c>
      <c r="AG796" s="56">
        <v>-38.019447482873289</v>
      </c>
      <c r="AH796" s="56">
        <v>-43.425676406536951</v>
      </c>
      <c r="AI796" s="56">
        <v>-48.851988848108121</v>
      </c>
      <c r="AJ796" s="56">
        <v>-54.308243298728122</v>
      </c>
      <c r="AK796" s="56">
        <v>-59.804439743982421</v>
      </c>
      <c r="AL796" s="56">
        <v>-65.350731170589171</v>
      </c>
      <c r="AM796" s="56">
        <v>-70.957435333333592</v>
      </c>
      <c r="AN796" s="56">
        <v>-76.6350467948632</v>
      </c>
      <c r="AO796" s="56">
        <v>-82.394249251308949</v>
      </c>
      <c r="AP796" s="56">
        <v>-88.245928157060035</v>
      </c>
      <c r="AQ796" s="56">
        <v>-88.245928157060035</v>
      </c>
      <c r="AR796" s="56">
        <v>-88.245928157060035</v>
      </c>
      <c r="AS796" s="56">
        <v>-88.245928157060035</v>
      </c>
      <c r="AT796" s="2"/>
      <c r="AU796" s="2"/>
    </row>
    <row r="797" spans="1:47" hidden="1" outlineLevel="1">
      <c r="A797" s="298"/>
      <c r="B797" s="2" t="s">
        <v>381</v>
      </c>
      <c r="C797" s="18" t="s">
        <v>281</v>
      </c>
      <c r="D797" s="18"/>
      <c r="E797" s="18"/>
      <c r="F797" s="18"/>
      <c r="G797" s="18"/>
      <c r="H797" s="18"/>
      <c r="I797" s="18"/>
      <c r="J797" s="18"/>
      <c r="K797" s="7"/>
      <c r="L797" s="7"/>
      <c r="M797" s="7"/>
      <c r="N797" s="7"/>
      <c r="O797" s="7"/>
      <c r="P797" s="7"/>
      <c r="Q797" s="7"/>
      <c r="R797" s="7"/>
      <c r="S797" s="7"/>
      <c r="T797" s="7"/>
      <c r="U797" s="7"/>
      <c r="V797" s="7"/>
      <c r="W797" s="7"/>
      <c r="X797" s="7"/>
      <c r="Y797" s="56">
        <v>40.550267298328798</v>
      </c>
      <c r="Z797" s="56">
        <v>29.27080706227434</v>
      </c>
      <c r="AA797" s="56">
        <v>21.973783704337727</v>
      </c>
      <c r="AB797" s="56">
        <v>20.429119902669772</v>
      </c>
      <c r="AC797" s="56">
        <v>20.916441248674989</v>
      </c>
      <c r="AD797" s="56">
        <v>1.9084999517389178E-2</v>
      </c>
      <c r="AE797" s="56">
        <v>-8.1685339141813049</v>
      </c>
      <c r="AF797" s="56">
        <v>-9.7870721465094341</v>
      </c>
      <c r="AG797" s="56">
        <v>-11.405834244861987</v>
      </c>
      <c r="AH797" s="56">
        <v>-13.027702921961085</v>
      </c>
      <c r="AI797" s="56">
        <v>-14.655596654432436</v>
      </c>
      <c r="AJ797" s="56">
        <v>-16.292472989618435</v>
      </c>
      <c r="AK797" s="56">
        <v>-17.941331923194724</v>
      </c>
      <c r="AL797" s="56">
        <v>-19.60521935117675</v>
      </c>
      <c r="AM797" s="56">
        <v>-21.287230600000075</v>
      </c>
      <c r="AN797" s="56">
        <v>-22.990514038458958</v>
      </c>
      <c r="AO797" s="56">
        <v>-24.718274775392683</v>
      </c>
      <c r="AP797" s="56">
        <v>-26.473778447118011</v>
      </c>
      <c r="AQ797" s="56">
        <v>-26.473778447118011</v>
      </c>
      <c r="AR797" s="56">
        <v>-26.473778447118011</v>
      </c>
      <c r="AS797" s="56">
        <v>-26.473778447118011</v>
      </c>
      <c r="AT797" s="2"/>
      <c r="AU797" s="2"/>
    </row>
    <row r="798" spans="1:47" hidden="1" outlineLevel="1">
      <c r="A798" s="298"/>
      <c r="B798" s="2" t="s">
        <v>884</v>
      </c>
      <c r="C798" s="18" t="s">
        <v>281</v>
      </c>
      <c r="D798" s="18"/>
      <c r="E798" s="18"/>
      <c r="F798" s="18"/>
      <c r="G798" s="18"/>
      <c r="H798" s="18"/>
      <c r="I798" s="18"/>
      <c r="J798" s="18"/>
      <c r="K798" s="7"/>
      <c r="L798" s="7"/>
      <c r="M798" s="7"/>
      <c r="N798" s="7"/>
      <c r="O798" s="7"/>
      <c r="P798" s="7"/>
      <c r="Q798" s="7"/>
      <c r="R798" s="7"/>
      <c r="S798" s="7"/>
      <c r="T798" s="7"/>
      <c r="U798" s="7"/>
      <c r="V798" s="7"/>
      <c r="W798" s="7"/>
      <c r="X798" s="7"/>
      <c r="Y798" s="56">
        <v>94.617290362767193</v>
      </c>
      <c r="Z798" s="56">
        <v>68.298549811973459</v>
      </c>
      <c r="AA798" s="56">
        <v>51.272161976788034</v>
      </c>
      <c r="AB798" s="56">
        <v>47.667946439562812</v>
      </c>
      <c r="AC798" s="56">
        <v>48.805029580241651</v>
      </c>
      <c r="AD798" s="56">
        <v>4.453166554057475E-2</v>
      </c>
      <c r="AE798" s="56">
        <v>-19.05991246642305</v>
      </c>
      <c r="AF798" s="56">
        <v>-22.836501675188682</v>
      </c>
      <c r="AG798" s="56">
        <v>-26.613613238011304</v>
      </c>
      <c r="AH798" s="56">
        <v>-30.397973484575864</v>
      </c>
      <c r="AI798" s="56">
        <v>-34.196392193675685</v>
      </c>
      <c r="AJ798" s="56">
        <v>-38.015770309109683</v>
      </c>
      <c r="AK798" s="56">
        <v>-41.863107820787697</v>
      </c>
      <c r="AL798" s="56">
        <v>-45.745511819412421</v>
      </c>
      <c r="AM798" s="56">
        <v>-49.67020473333352</v>
      </c>
      <c r="AN798" s="56">
        <v>-53.644532756404246</v>
      </c>
      <c r="AO798" s="56">
        <v>-57.675974475916263</v>
      </c>
      <c r="AP798" s="56">
        <v>-61.772149709942028</v>
      </c>
      <c r="AQ798" s="56">
        <v>-61.772149709942028</v>
      </c>
      <c r="AR798" s="56">
        <v>-61.772149709942028</v>
      </c>
      <c r="AS798" s="56">
        <v>-61.772149709942028</v>
      </c>
      <c r="AT798" s="2"/>
      <c r="AU798" s="2"/>
    </row>
    <row r="799" spans="1:47" hidden="1" outlineLevel="1">
      <c r="A799" s="308"/>
      <c r="B799" s="313" t="s">
        <v>428</v>
      </c>
      <c r="C799" s="310" t="s">
        <v>733</v>
      </c>
      <c r="D799" s="310"/>
      <c r="E799" s="310"/>
      <c r="F799" s="310"/>
      <c r="G799" s="310"/>
      <c r="H799" s="310"/>
      <c r="I799" s="310"/>
      <c r="J799" s="310"/>
      <c r="K799" s="311"/>
      <c r="L799" s="311"/>
      <c r="M799" s="311"/>
      <c r="N799" s="311"/>
      <c r="O799" s="311"/>
      <c r="P799" s="311"/>
      <c r="Q799" s="311"/>
      <c r="R799" s="311"/>
      <c r="S799" s="311"/>
      <c r="T799" s="311"/>
      <c r="U799" s="311"/>
      <c r="V799" s="311"/>
      <c r="W799" s="311"/>
      <c r="X799" s="311"/>
      <c r="Y799" s="528">
        <v>0.3</v>
      </c>
      <c r="Z799" s="528">
        <v>0.3</v>
      </c>
      <c r="AA799" s="528">
        <v>0.3</v>
      </c>
      <c r="AB799" s="528">
        <v>0.3</v>
      </c>
      <c r="AC799" s="528">
        <v>0.3</v>
      </c>
      <c r="AD799" s="528">
        <v>0.3</v>
      </c>
      <c r="AE799" s="528">
        <v>0.3</v>
      </c>
      <c r="AF799" s="528">
        <v>0.3</v>
      </c>
      <c r="AG799" s="528">
        <v>0.3</v>
      </c>
      <c r="AH799" s="528">
        <v>0.3</v>
      </c>
      <c r="AI799" s="528">
        <v>0.3</v>
      </c>
      <c r="AJ799" s="528">
        <v>0.3</v>
      </c>
      <c r="AK799" s="528">
        <v>0.3</v>
      </c>
      <c r="AL799" s="528">
        <v>0.3</v>
      </c>
      <c r="AM799" s="528">
        <v>0.3</v>
      </c>
      <c r="AN799" s="528">
        <v>0.3</v>
      </c>
      <c r="AO799" s="528">
        <v>0.3</v>
      </c>
      <c r="AP799" s="528">
        <v>0.3</v>
      </c>
      <c r="AQ799" s="528">
        <v>0.3</v>
      </c>
      <c r="AR799" s="528">
        <v>0.3</v>
      </c>
      <c r="AS799" s="528">
        <v>0.3</v>
      </c>
      <c r="AT799" s="312"/>
      <c r="AU799" s="514"/>
    </row>
    <row r="800" spans="1:47" hidden="1" outlineLevel="1">
      <c r="A800" s="298"/>
      <c r="B800" s="2" t="s">
        <v>578</v>
      </c>
      <c r="C800" s="18" t="s">
        <v>281</v>
      </c>
      <c r="D800" s="18"/>
      <c r="E800" s="18"/>
      <c r="F800" s="18"/>
      <c r="G800" s="18"/>
      <c r="H800" s="18"/>
      <c r="I800" s="18"/>
      <c r="J800" s="18"/>
      <c r="K800" s="7"/>
      <c r="L800" s="7"/>
      <c r="M800" s="7"/>
      <c r="N800" s="7"/>
      <c r="O800" s="7"/>
      <c r="P800" s="7"/>
      <c r="Q800" s="7"/>
      <c r="R800" s="7"/>
      <c r="S800" s="7"/>
      <c r="T800" s="7"/>
      <c r="U800" s="7"/>
      <c r="V800" s="7"/>
      <c r="W800" s="7"/>
      <c r="X800" s="7"/>
      <c r="Y800" s="56">
        <v>28.385187108830156</v>
      </c>
      <c r="Z800" s="56">
        <v>20.489564943592036</v>
      </c>
      <c r="AA800" s="56">
        <v>15.38164859303641</v>
      </c>
      <c r="AB800" s="56">
        <v>14.300383931868843</v>
      </c>
      <c r="AC800" s="56">
        <v>14.641508874072494</v>
      </c>
      <c r="AD800" s="56">
        <v>1.3359499662172425E-2</v>
      </c>
      <c r="AE800" s="56">
        <v>-5.717973739926915</v>
      </c>
      <c r="AF800" s="56">
        <v>-6.8509505025566044</v>
      </c>
      <c r="AG800" s="56">
        <v>-7.9840839714033907</v>
      </c>
      <c r="AH800" s="56">
        <v>-9.1193920453727593</v>
      </c>
      <c r="AI800" s="56">
        <v>-10.258917658102705</v>
      </c>
      <c r="AJ800" s="56">
        <v>-11.404731092732904</v>
      </c>
      <c r="AK800" s="56">
        <v>-12.558932346236309</v>
      </c>
      <c r="AL800" s="56">
        <v>-13.723653545823726</v>
      </c>
      <c r="AM800" s="56">
        <v>-14.901061420000055</v>
      </c>
      <c r="AN800" s="56">
        <v>-16.093359826921272</v>
      </c>
      <c r="AO800" s="56">
        <v>-17.302792342774879</v>
      </c>
      <c r="AP800" s="56">
        <v>-18.531644912982607</v>
      </c>
      <c r="AQ800" s="56">
        <v>-18.531644912982607</v>
      </c>
      <c r="AR800" s="56">
        <v>-18.531644912982607</v>
      </c>
      <c r="AS800" s="56">
        <v>-18.531644912982607</v>
      </c>
      <c r="AT800" s="2"/>
      <c r="AU800" s="2"/>
    </row>
    <row r="801" spans="1:47" ht="14.4" hidden="1" outlineLevel="1" thickBot="1">
      <c r="A801" s="298"/>
      <c r="B801" s="135"/>
      <c r="C801" s="78"/>
      <c r="D801" s="78"/>
      <c r="E801" s="78"/>
      <c r="F801" s="78"/>
      <c r="G801" s="78"/>
      <c r="H801" s="78"/>
      <c r="I801" s="78"/>
      <c r="J801" s="78"/>
      <c r="K801" s="108"/>
      <c r="L801" s="108"/>
      <c r="M801" s="108"/>
      <c r="N801" s="108"/>
      <c r="O801" s="108"/>
      <c r="P801" s="108"/>
      <c r="Q801" s="108"/>
      <c r="R801" s="108"/>
      <c r="S801" s="108"/>
      <c r="T801" s="108"/>
      <c r="U801" s="108"/>
      <c r="V801" s="76"/>
      <c r="W801" s="108"/>
      <c r="X801" s="108"/>
      <c r="Y801" s="108"/>
      <c r="Z801" s="108"/>
      <c r="AA801" s="108"/>
      <c r="AB801" s="108"/>
      <c r="AC801" s="108"/>
      <c r="AD801" s="108"/>
      <c r="AE801" s="108"/>
      <c r="AF801" s="108"/>
      <c r="AG801" s="108"/>
      <c r="AH801" s="108"/>
      <c r="AI801" s="108"/>
      <c r="AJ801" s="108"/>
      <c r="AK801" s="108"/>
      <c r="AL801" s="108"/>
      <c r="AM801" s="108"/>
      <c r="AN801" s="108"/>
      <c r="AO801" s="108"/>
      <c r="AP801" s="108"/>
      <c r="AQ801" s="108"/>
      <c r="AR801" s="108"/>
      <c r="AS801" s="108"/>
      <c r="AT801" s="2"/>
      <c r="AU801" s="2"/>
    </row>
    <row r="802" spans="1:47" hidden="1" outlineLevel="1">
      <c r="A802" s="298"/>
      <c r="B802" s="55"/>
      <c r="C802" s="18"/>
      <c r="D802" s="18"/>
      <c r="E802" s="18"/>
      <c r="F802" s="18"/>
      <c r="G802" s="18"/>
      <c r="H802" s="18"/>
      <c r="I802" s="18"/>
      <c r="J802" s="18"/>
      <c r="K802" s="7"/>
      <c r="L802" s="7"/>
      <c r="M802" s="7"/>
      <c r="N802" s="7"/>
      <c r="O802" s="7"/>
      <c r="P802" s="7"/>
      <c r="Q802" s="7"/>
      <c r="R802" s="7"/>
      <c r="S802" s="7"/>
      <c r="T802" s="7"/>
      <c r="U802" s="7"/>
      <c r="V802" s="2"/>
      <c r="W802" s="7"/>
      <c r="X802" s="7"/>
      <c r="Y802" s="7"/>
      <c r="Z802" s="7"/>
      <c r="AA802" s="7"/>
      <c r="AB802" s="7"/>
      <c r="AC802" s="7"/>
      <c r="AD802" s="7"/>
      <c r="AE802" s="7"/>
      <c r="AF802" s="7"/>
      <c r="AG802" s="7"/>
      <c r="AH802" s="7"/>
      <c r="AI802" s="7"/>
      <c r="AJ802" s="7"/>
      <c r="AK802" s="7"/>
      <c r="AL802" s="7"/>
      <c r="AM802" s="7"/>
      <c r="AN802" s="7"/>
      <c r="AO802" s="7"/>
      <c r="AP802" s="7"/>
      <c r="AQ802" s="7"/>
      <c r="AR802" s="7"/>
      <c r="AS802" s="7"/>
      <c r="AT802" s="2"/>
      <c r="AU802" s="2"/>
    </row>
    <row r="803" spans="1:47" ht="15.6" hidden="1" outlineLevel="1">
      <c r="A803" s="298"/>
      <c r="B803" s="237" t="s">
        <v>1097</v>
      </c>
      <c r="C803" s="238"/>
      <c r="D803" s="239"/>
      <c r="E803" s="239"/>
      <c r="F803" s="239"/>
      <c r="G803" s="239"/>
      <c r="H803" s="239"/>
      <c r="I803" s="239"/>
      <c r="J803" s="239"/>
      <c r="K803" s="239"/>
      <c r="L803" s="239"/>
      <c r="M803" s="239"/>
      <c r="N803" s="239"/>
      <c r="O803" s="239"/>
      <c r="P803" s="239"/>
      <c r="Q803" s="239"/>
      <c r="R803" s="239"/>
      <c r="S803" s="239"/>
      <c r="T803" s="239"/>
      <c r="U803" s="239"/>
      <c r="V803" s="239"/>
      <c r="W803" s="239"/>
      <c r="X803" s="239"/>
      <c r="Y803" s="239"/>
      <c r="Z803" s="239"/>
      <c r="AA803" s="239"/>
      <c r="AB803" s="239"/>
      <c r="AC803" s="239"/>
      <c r="AD803" s="239"/>
      <c r="AE803" s="239"/>
      <c r="AF803" s="239"/>
      <c r="AG803" s="239"/>
      <c r="AH803" s="239"/>
      <c r="AI803" s="239"/>
      <c r="AJ803" s="239"/>
      <c r="AK803" s="239"/>
      <c r="AL803" s="239"/>
      <c r="AM803" s="239"/>
      <c r="AN803" s="239"/>
      <c r="AO803" s="270"/>
      <c r="AP803" s="240"/>
      <c r="AQ803" s="240"/>
      <c r="AR803" s="240"/>
      <c r="AS803" s="240"/>
      <c r="AT803" s="2"/>
      <c r="AU803" s="2"/>
    </row>
    <row r="804" spans="1:47" hidden="1" outlineLevel="1">
      <c r="A804" s="298"/>
      <c r="B804" s="55"/>
      <c r="C804" s="18"/>
      <c r="D804" s="18"/>
      <c r="E804" s="18"/>
      <c r="F804" s="18"/>
      <c r="G804" s="18"/>
      <c r="H804" s="18"/>
      <c r="I804" s="18"/>
      <c r="J804" s="18"/>
      <c r="K804" s="7"/>
      <c r="L804" s="7"/>
      <c r="M804" s="7"/>
      <c r="N804" s="7"/>
      <c r="O804" s="7"/>
      <c r="P804" s="7"/>
      <c r="Q804" s="7"/>
      <c r="R804" s="7"/>
      <c r="S804" s="7"/>
      <c r="T804" s="7"/>
      <c r="U804" s="7"/>
      <c r="V804" s="2"/>
      <c r="W804" s="7"/>
      <c r="X804" s="7"/>
      <c r="Y804" s="7"/>
      <c r="Z804" s="7"/>
      <c r="AA804" s="7"/>
      <c r="AB804" s="7"/>
      <c r="AC804" s="7"/>
      <c r="AD804" s="7"/>
      <c r="AE804" s="7"/>
      <c r="AF804" s="7"/>
      <c r="AG804" s="7"/>
      <c r="AH804" s="7"/>
      <c r="AI804" s="7"/>
      <c r="AJ804" s="7"/>
      <c r="AK804" s="7"/>
      <c r="AL804" s="7"/>
      <c r="AM804" s="7"/>
      <c r="AN804" s="7"/>
      <c r="AO804" s="7"/>
      <c r="AP804" s="7"/>
      <c r="AQ804" s="7"/>
      <c r="AR804" s="7"/>
      <c r="AS804" s="7"/>
      <c r="AT804" s="2"/>
      <c r="AU804" s="2"/>
    </row>
    <row r="805" spans="1:47" hidden="1" outlineLevel="1">
      <c r="A805" s="298"/>
      <c r="B805" s="55"/>
      <c r="C805" s="18"/>
      <c r="D805" s="18"/>
      <c r="E805" s="18"/>
      <c r="F805" s="18"/>
      <c r="G805" s="18"/>
      <c r="H805" s="18"/>
      <c r="I805" s="18"/>
      <c r="J805" s="18"/>
      <c r="K805" s="7"/>
      <c r="L805" s="7"/>
      <c r="M805" s="7"/>
      <c r="N805" s="7"/>
      <c r="O805" s="7"/>
      <c r="P805" s="7"/>
      <c r="Q805" s="7"/>
      <c r="R805" s="7"/>
      <c r="S805" s="7"/>
      <c r="T805" s="7"/>
      <c r="U805" s="7"/>
      <c r="V805" s="2"/>
      <c r="W805" s="7"/>
      <c r="X805" s="7"/>
      <c r="Y805" s="7"/>
      <c r="Z805" s="7"/>
      <c r="AA805" s="7"/>
      <c r="AB805" s="7"/>
      <c r="AC805" s="7"/>
      <c r="AD805" s="7"/>
      <c r="AE805" s="7"/>
      <c r="AF805" s="7"/>
      <c r="AG805" s="7"/>
      <c r="AH805" s="7"/>
      <c r="AI805" s="7"/>
      <c r="AJ805" s="7"/>
      <c r="AK805" s="7"/>
      <c r="AL805" s="7"/>
      <c r="AM805" s="7"/>
      <c r="AN805" s="7"/>
      <c r="AO805" s="7"/>
      <c r="AP805" s="7"/>
      <c r="AQ805" s="7"/>
      <c r="AR805" s="7"/>
      <c r="AS805" s="7"/>
      <c r="AT805" s="2"/>
      <c r="AU805" s="2"/>
    </row>
    <row r="806" spans="1:47" ht="18" hidden="1" outlineLevel="1">
      <c r="A806" s="299" t="s">
        <v>1163</v>
      </c>
      <c r="B806" s="740" t="s">
        <v>1302</v>
      </c>
      <c r="C806" s="741"/>
      <c r="D806" s="742"/>
      <c r="E806" s="742"/>
      <c r="F806" s="742"/>
      <c r="G806" s="742"/>
      <c r="H806" s="742"/>
      <c r="I806" s="742"/>
      <c r="J806" s="742"/>
      <c r="K806" s="742"/>
      <c r="L806" s="742"/>
      <c r="M806" s="742"/>
      <c r="N806" s="742"/>
      <c r="O806" s="742"/>
      <c r="P806" s="742"/>
      <c r="Q806" s="742"/>
      <c r="R806" s="742"/>
      <c r="S806" s="742"/>
      <c r="T806" s="742"/>
      <c r="U806" s="742"/>
      <c r="V806" s="742"/>
      <c r="W806" s="742"/>
      <c r="X806" s="742"/>
      <c r="Y806" s="742"/>
      <c r="Z806" s="742"/>
      <c r="AA806" s="742"/>
      <c r="AB806" s="742"/>
      <c r="AC806" s="742"/>
      <c r="AD806" s="742"/>
      <c r="AE806" s="742"/>
      <c r="AF806" s="742"/>
      <c r="AG806" s="742"/>
      <c r="AH806" s="742"/>
      <c r="AI806" s="742"/>
      <c r="AJ806" s="742"/>
      <c r="AK806" s="742"/>
      <c r="AL806" s="742"/>
      <c r="AM806" s="742"/>
      <c r="AN806" s="742"/>
      <c r="AO806" s="742"/>
      <c r="AP806" s="742"/>
      <c r="AQ806" s="742"/>
      <c r="AR806" s="742"/>
      <c r="AS806" s="742"/>
      <c r="AT806" s="2"/>
      <c r="AU806" s="2"/>
    </row>
    <row r="807" spans="1:47" hidden="1" outlineLevel="1">
      <c r="A807" s="298"/>
      <c r="B807" s="2"/>
      <c r="C807" s="18"/>
      <c r="D807" s="18"/>
      <c r="E807" s="18"/>
      <c r="F807" s="18"/>
      <c r="G807" s="18"/>
      <c r="H807" s="18"/>
      <c r="I807" s="18"/>
      <c r="J807" s="18"/>
      <c r="K807" s="6"/>
      <c r="L807" s="6"/>
      <c r="M807" s="6"/>
      <c r="N807" s="6"/>
      <c r="O807" s="6"/>
      <c r="P807" s="6"/>
      <c r="Q807" s="6"/>
      <c r="R807" s="6"/>
      <c r="S807" s="6"/>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row>
    <row r="808" spans="1:47" hidden="1" outlineLevel="1">
      <c r="A808" s="298"/>
      <c r="B808" s="2"/>
      <c r="C808" s="18"/>
      <c r="D808" s="18"/>
      <c r="E808" s="18"/>
      <c r="F808" s="18"/>
      <c r="G808" s="18"/>
      <c r="H808" s="18"/>
      <c r="I808" s="18"/>
      <c r="J808" s="18"/>
      <c r="K808" s="34"/>
      <c r="L808" s="34"/>
      <c r="M808" s="34"/>
      <c r="N808" s="34"/>
      <c r="O808" s="34"/>
      <c r="P808" s="34"/>
      <c r="Q808" s="6"/>
      <c r="R808" s="2"/>
      <c r="S808" s="2"/>
      <c r="T808" s="2">
        <v>9</v>
      </c>
      <c r="U808" s="2">
        <v>10</v>
      </c>
      <c r="V808" s="2">
        <v>11</v>
      </c>
      <c r="W808" s="2">
        <v>12</v>
      </c>
      <c r="X808" s="2">
        <v>13</v>
      </c>
      <c r="Y808" s="2">
        <v>14</v>
      </c>
      <c r="Z808" s="2">
        <v>15</v>
      </c>
      <c r="AA808" s="2">
        <v>16</v>
      </c>
      <c r="AB808" s="2">
        <v>17</v>
      </c>
      <c r="AC808" s="2">
        <v>18</v>
      </c>
      <c r="AD808" s="2">
        <v>19</v>
      </c>
      <c r="AE808" s="2">
        <v>20</v>
      </c>
      <c r="AF808" s="2">
        <v>21</v>
      </c>
      <c r="AG808" s="2">
        <v>22</v>
      </c>
      <c r="AH808" s="2">
        <v>23</v>
      </c>
      <c r="AI808" s="2">
        <v>24</v>
      </c>
      <c r="AJ808" s="2">
        <v>25</v>
      </c>
      <c r="AK808" s="2">
        <v>26</v>
      </c>
      <c r="AL808" s="2">
        <v>27</v>
      </c>
      <c r="AM808" s="2">
        <v>28</v>
      </c>
      <c r="AN808" s="2">
        <v>29</v>
      </c>
      <c r="AO808" s="2">
        <v>30</v>
      </c>
      <c r="AP808" s="2">
        <v>31</v>
      </c>
      <c r="AQ808" s="2">
        <v>31</v>
      </c>
      <c r="AR808" s="2">
        <v>31</v>
      </c>
      <c r="AS808" s="2">
        <v>31</v>
      </c>
      <c r="AT808" s="2"/>
      <c r="AU808" s="2"/>
    </row>
    <row r="809" spans="1:47" hidden="1" outlineLevel="1">
      <c r="A809" s="298"/>
      <c r="B809" s="2"/>
      <c r="C809" s="18"/>
      <c r="D809" s="18"/>
      <c r="E809" s="18"/>
      <c r="F809" s="18"/>
      <c r="G809" s="18"/>
      <c r="H809" s="18"/>
      <c r="I809" s="18"/>
      <c r="J809" s="18"/>
      <c r="K809" s="34"/>
      <c r="L809" s="34"/>
      <c r="M809" s="34"/>
      <c r="N809" s="34"/>
      <c r="O809" s="34"/>
      <c r="P809" s="34"/>
      <c r="Q809" s="6"/>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row>
    <row r="810" spans="1:47" hidden="1" outlineLevel="1">
      <c r="A810" s="298"/>
      <c r="B810" s="6" t="s">
        <v>11</v>
      </c>
      <c r="C810" s="18"/>
      <c r="D810" s="18"/>
      <c r="E810" s="18"/>
      <c r="F810" s="18"/>
      <c r="G810" s="18"/>
      <c r="H810" s="18"/>
      <c r="I810" s="18"/>
      <c r="J810" s="18"/>
      <c r="K810" s="7"/>
      <c r="L810" s="7"/>
      <c r="M810" s="7"/>
      <c r="N810" s="7"/>
      <c r="O810" s="7"/>
      <c r="P810" s="7"/>
      <c r="Q810" s="2"/>
      <c r="R810" s="205"/>
      <c r="S810" s="2"/>
      <c r="T810" s="2"/>
      <c r="U810" s="2"/>
      <c r="V810" s="2"/>
      <c r="W810" s="2"/>
      <c r="X810" s="2"/>
      <c r="Y810" s="3"/>
      <c r="Z810" s="7"/>
      <c r="AA810" s="111"/>
      <c r="AB810" s="2"/>
      <c r="AC810" s="2"/>
      <c r="AD810" s="2"/>
      <c r="AE810" s="2"/>
      <c r="AF810" s="2"/>
      <c r="AG810" s="2"/>
      <c r="AH810" s="2"/>
      <c r="AI810" s="2"/>
      <c r="AJ810" s="2"/>
      <c r="AK810" s="2"/>
      <c r="AL810" s="2"/>
      <c r="AM810" s="2"/>
      <c r="AN810" s="2"/>
      <c r="AO810" s="2"/>
      <c r="AP810" s="2"/>
      <c r="AQ810" s="2"/>
      <c r="AR810" s="2"/>
      <c r="AS810" s="2"/>
      <c r="AT810" s="2"/>
      <c r="AU810" s="2"/>
    </row>
    <row r="811" spans="1:47" hidden="1" outlineLevel="1">
      <c r="A811" s="298"/>
      <c r="B811" s="2" t="s">
        <v>12</v>
      </c>
      <c r="C811" s="18" t="s">
        <v>192</v>
      </c>
      <c r="D811" s="18"/>
      <c r="E811" s="18"/>
      <c r="F811" s="18"/>
      <c r="G811" s="18"/>
      <c r="H811" s="18"/>
      <c r="I811" s="18"/>
      <c r="J811" s="18"/>
      <c r="K811" s="3">
        <v>7.2499000000000002</v>
      </c>
      <c r="L811" s="3">
        <v>7.3929999999999998</v>
      </c>
      <c r="M811" s="3">
        <v>7.5101000000000004</v>
      </c>
      <c r="N811" s="3">
        <v>7.6449999999999996</v>
      </c>
      <c r="O811" s="3">
        <v>7.7830000000000004</v>
      </c>
      <c r="P811" s="3">
        <v>7.92</v>
      </c>
      <c r="Q811" s="3">
        <v>8.0579999999999998</v>
      </c>
      <c r="R811" s="3">
        <v>8.1859999999999999</v>
      </c>
      <c r="S811" s="3">
        <v>8.3149999999999995</v>
      </c>
      <c r="T811" s="3">
        <v>8.4450000000000003</v>
      </c>
      <c r="U811" s="3">
        <v>8.5749999999999993</v>
      </c>
      <c r="V811" s="3">
        <v>8.7059999999999995</v>
      </c>
      <c r="W811" s="3">
        <v>8.8191779999999991</v>
      </c>
      <c r="X811" s="3">
        <v>8.9338273139999984</v>
      </c>
      <c r="Y811" s="3">
        <v>9.0499670690819976</v>
      </c>
      <c r="Z811" s="3">
        <v>9.1676166409800626</v>
      </c>
      <c r="AA811" s="3">
        <v>9.286795657312803</v>
      </c>
      <c r="AB811" s="3">
        <v>9.4075240008578689</v>
      </c>
      <c r="AC811" s="3">
        <v>9.5298218128690202</v>
      </c>
      <c r="AD811" s="3">
        <v>9.653709496436317</v>
      </c>
      <c r="AE811" s="3">
        <v>9.7792077198899889</v>
      </c>
      <c r="AF811" s="3">
        <v>9.9063374202485583</v>
      </c>
      <c r="AG811" s="3">
        <v>10.035119806711789</v>
      </c>
      <c r="AH811" s="3">
        <v>10.16557636419904</v>
      </c>
      <c r="AI811" s="3">
        <v>10.297728856933627</v>
      </c>
      <c r="AJ811" s="3">
        <v>10.431599332073764</v>
      </c>
      <c r="AK811" s="3">
        <v>10.567210123390723</v>
      </c>
      <c r="AL811" s="3">
        <v>10.704583854994802</v>
      </c>
      <c r="AM811" s="3">
        <v>10.843743445109732</v>
      </c>
      <c r="AN811" s="3">
        <v>10.984712109896158</v>
      </c>
      <c r="AO811" s="3">
        <v>11.127513367324807</v>
      </c>
      <c r="AP811" s="3">
        <v>11.272171041100028</v>
      </c>
      <c r="AQ811" s="3">
        <v>11.272171041100028</v>
      </c>
      <c r="AR811" s="3">
        <v>11.272171041100028</v>
      </c>
      <c r="AS811" s="3">
        <v>11.272171041100028</v>
      </c>
      <c r="AT811" s="2"/>
      <c r="AU811" s="2"/>
    </row>
    <row r="812" spans="1:47" hidden="1" outlineLevel="1">
      <c r="A812" s="298"/>
      <c r="B812" s="46" t="s">
        <v>748</v>
      </c>
      <c r="C812" s="45" t="s">
        <v>749</v>
      </c>
      <c r="D812" s="45"/>
      <c r="E812" s="45"/>
      <c r="F812" s="45"/>
      <c r="G812" s="45"/>
      <c r="H812" s="45"/>
      <c r="I812" s="45"/>
      <c r="J812" s="45"/>
      <c r="K812" s="561">
        <v>635.01534281249985</v>
      </c>
      <c r="L812" s="228">
        <v>743.9739359906248</v>
      </c>
      <c r="M812" s="228">
        <v>798.01272911390583</v>
      </c>
      <c r="N812" s="228">
        <v>834.55452004629342</v>
      </c>
      <c r="O812" s="228">
        <v>903.89867011568049</v>
      </c>
      <c r="P812" s="228">
        <v>1023.3619265266802</v>
      </c>
      <c r="Q812" s="228">
        <v>1130.025725970338</v>
      </c>
      <c r="R812" s="228">
        <v>1291.6194047840966</v>
      </c>
      <c r="S812" s="228">
        <v>1367.0225534519616</v>
      </c>
      <c r="T812" s="228">
        <v>1458.613064533243</v>
      </c>
      <c r="U812" s="228">
        <v>1541.3297827751448</v>
      </c>
      <c r="V812" s="228">
        <v>1580.3269885741083</v>
      </c>
      <c r="W812" s="228">
        <v>1615.5640384846226</v>
      </c>
      <c r="X812" s="228">
        <v>1640.4117242883954</v>
      </c>
      <c r="Y812" s="228">
        <v>1616.4693761299327</v>
      </c>
      <c r="Z812" s="228">
        <v>1636.8033533915263</v>
      </c>
      <c r="AA812" s="228">
        <v>1680.5563366132217</v>
      </c>
      <c r="AB812" s="228">
        <v>1690.0497858383187</v>
      </c>
      <c r="AC812" s="228">
        <v>1709.2265532730148</v>
      </c>
      <c r="AD812" s="228">
        <v>1716.53866741405</v>
      </c>
      <c r="AE812" s="228">
        <v>1723.9239026964956</v>
      </c>
      <c r="AF812" s="228">
        <v>1731.3829903317655</v>
      </c>
      <c r="AG812" s="228">
        <v>1738.9166688433882</v>
      </c>
      <c r="AH812" s="228">
        <v>1746.5256841401269</v>
      </c>
      <c r="AI812" s="228">
        <v>1754.2107895898334</v>
      </c>
      <c r="AJ812" s="228">
        <v>1761.9727460940367</v>
      </c>
      <c r="AK812" s="228">
        <v>1769.812322163282</v>
      </c>
      <c r="AL812" s="228">
        <v>1777.7302939932197</v>
      </c>
      <c r="AM812" s="228">
        <v>1785.727445541457</v>
      </c>
      <c r="AN812" s="228">
        <v>1793.8045686051764</v>
      </c>
      <c r="AO812" s="228">
        <v>1801.9624628995334</v>
      </c>
      <c r="AP812" s="228">
        <v>1810.2019361368336</v>
      </c>
      <c r="AQ812" s="228">
        <v>1810.2019361368336</v>
      </c>
      <c r="AR812" s="228">
        <v>1810.2019361368336</v>
      </c>
      <c r="AS812" s="228">
        <v>1810.2019361368336</v>
      </c>
      <c r="AT812" s="2"/>
      <c r="AU812" s="2"/>
    </row>
    <row r="813" spans="1:47" hidden="1" outlineLevel="1">
      <c r="A813" s="298"/>
      <c r="B813" s="2"/>
      <c r="C813" s="18"/>
      <c r="D813" s="18"/>
      <c r="E813" s="18"/>
      <c r="F813" s="18"/>
      <c r="G813" s="18"/>
      <c r="H813" s="18"/>
      <c r="I813" s="18"/>
      <c r="J813" s="18"/>
      <c r="K813" s="19"/>
      <c r="L813" s="19"/>
      <c r="M813" s="19"/>
      <c r="N813" s="19"/>
      <c r="O813" s="19"/>
      <c r="P813" s="19"/>
      <c r="Q813" s="19"/>
      <c r="R813" s="2">
        <v>0.14300000000000024</v>
      </c>
      <c r="S813" s="2">
        <v>5.8378767296755729E-2</v>
      </c>
      <c r="T813" s="2">
        <v>6.6999999999999948E-2</v>
      </c>
      <c r="U813" s="2">
        <v>5.6709157660240317E-2</v>
      </c>
      <c r="V813" s="2">
        <v>2.5301013601871425E-2</v>
      </c>
      <c r="W813" s="2">
        <v>2.2297315786720784E-2</v>
      </c>
      <c r="X813" s="2">
        <v>1.5380192435503481E-2</v>
      </c>
      <c r="Y813" s="2">
        <v>-1.4595328601939128E-2</v>
      </c>
      <c r="Z813" s="2">
        <v>1.2579253007734881E-2</v>
      </c>
      <c r="AA813" s="2">
        <v>2.6730751211522907E-2</v>
      </c>
      <c r="AB813" s="2">
        <v>5.6489919547886291E-3</v>
      </c>
      <c r="AC813" s="2">
        <v>1.1346865397331429E-2</v>
      </c>
      <c r="AD813" s="2">
        <v>4.2780251260625679E-3</v>
      </c>
      <c r="AE813" s="2">
        <v>4.3023996037161449E-3</v>
      </c>
      <c r="AF813" s="2">
        <v>4.3268079429739092E-3</v>
      </c>
      <c r="AG813" s="2">
        <v>4.3512490036528018E-3</v>
      </c>
      <c r="AH813" s="2">
        <v>4.3757216392661391E-3</v>
      </c>
      <c r="AI813" s="2">
        <v>4.4002246972336678E-3</v>
      </c>
      <c r="AJ813" s="2">
        <v>4.4247570190911745E-3</v>
      </c>
      <c r="AK813" s="2">
        <v>4.449317440706313E-3</v>
      </c>
      <c r="AL813" s="2">
        <v>4.4739047924919895E-3</v>
      </c>
      <c r="AM813" s="2">
        <v>4.4985178996268527E-3</v>
      </c>
      <c r="AN813" s="2">
        <v>4.5231555822733416E-3</v>
      </c>
      <c r="AO813" s="2">
        <v>4.5478166558023947E-3</v>
      </c>
      <c r="AP813" s="2">
        <v>4.5724999310152725E-3</v>
      </c>
      <c r="AQ813" s="2">
        <v>4.5724999310152725E-3</v>
      </c>
      <c r="AR813" s="2">
        <v>4.5724999310152725E-3</v>
      </c>
      <c r="AS813" s="2">
        <v>4.5724999310152725E-3</v>
      </c>
      <c r="AT813" s="2"/>
      <c r="AU813" s="2"/>
    </row>
    <row r="814" spans="1:47" hidden="1" outlineLevel="1">
      <c r="A814" s="298"/>
      <c r="B814" s="2" t="s">
        <v>750</v>
      </c>
      <c r="C814" s="18"/>
      <c r="D814" s="18"/>
      <c r="E814" s="18"/>
      <c r="F814" s="18"/>
      <c r="G814" s="18"/>
      <c r="H814" s="18"/>
      <c r="I814" s="18"/>
      <c r="J814" s="18"/>
      <c r="K814" s="19"/>
      <c r="L814" s="19"/>
      <c r="M814" s="19"/>
      <c r="N814" s="19"/>
      <c r="O814" s="19"/>
      <c r="P814" s="19"/>
      <c r="Q814" s="19">
        <v>1142.3519009725906</v>
      </c>
      <c r="R814" s="562">
        <v>1292</v>
      </c>
      <c r="S814" s="205">
        <v>1403.1120000000001</v>
      </c>
      <c r="T814" s="205">
        <v>1513.1120000000001</v>
      </c>
      <c r="U814" s="563">
        <v>1.54</v>
      </c>
      <c r="V814" s="563">
        <v>1.58</v>
      </c>
      <c r="W814" s="19"/>
      <c r="X814" s="19"/>
      <c r="Y814" s="19"/>
      <c r="Z814" s="19"/>
      <c r="AA814" s="19"/>
      <c r="AB814" s="19"/>
      <c r="AC814" s="19"/>
      <c r="AD814" s="19"/>
      <c r="AE814" s="19"/>
      <c r="AF814" s="19"/>
      <c r="AG814" s="19"/>
      <c r="AH814" s="19"/>
      <c r="AI814" s="19"/>
      <c r="AJ814" s="19"/>
      <c r="AK814" s="19"/>
      <c r="AL814" s="19"/>
      <c r="AM814" s="19"/>
      <c r="AN814" s="19"/>
      <c r="AO814" s="19"/>
      <c r="AP814" s="19"/>
      <c r="AQ814" s="19"/>
      <c r="AR814" s="19"/>
      <c r="AS814" s="19"/>
      <c r="AT814" s="2"/>
      <c r="AU814" s="2"/>
    </row>
    <row r="815" spans="1:47" hidden="1" outlineLevel="1">
      <c r="A815" s="298"/>
      <c r="B815" s="2" t="s">
        <v>751</v>
      </c>
      <c r="C815" s="18" t="s">
        <v>749</v>
      </c>
      <c r="D815" s="18"/>
      <c r="E815" s="18"/>
      <c r="F815" s="18"/>
      <c r="G815" s="18"/>
      <c r="H815" s="18"/>
      <c r="I815" s="18"/>
      <c r="J815" s="18"/>
      <c r="K815" s="570">
        <v>217</v>
      </c>
      <c r="L815" s="19">
        <v>232</v>
      </c>
      <c r="M815" s="19">
        <v>270</v>
      </c>
      <c r="N815" s="19">
        <v>223.31100000000001</v>
      </c>
      <c r="O815" s="19">
        <v>195.54083999999997</v>
      </c>
      <c r="P815" s="19">
        <v>157.43815188749994</v>
      </c>
      <c r="Q815" s="19">
        <v>123.43821057562495</v>
      </c>
      <c r="R815" s="19">
        <v>178.18866779366803</v>
      </c>
      <c r="S815" s="19">
        <v>174.54595009130381</v>
      </c>
      <c r="T815" s="19">
        <v>171.317983429875</v>
      </c>
      <c r="U815" s="19">
        <v>90.437442117120497</v>
      </c>
      <c r="V815" s="19">
        <v>71.331101497693396</v>
      </c>
      <c r="W815" s="19">
        <v>51.331101497693396</v>
      </c>
      <c r="X815" s="19">
        <v>31.331101497693396</v>
      </c>
      <c r="Y815" s="19"/>
      <c r="Z815" s="19"/>
      <c r="AA815" s="19"/>
      <c r="AB815" s="19"/>
      <c r="AC815" s="19"/>
      <c r="AD815" s="19"/>
      <c r="AE815" s="19"/>
      <c r="AF815" s="19"/>
      <c r="AG815" s="19"/>
      <c r="AH815" s="19"/>
      <c r="AI815" s="19"/>
      <c r="AJ815" s="19"/>
      <c r="AK815" s="19"/>
      <c r="AL815" s="19"/>
      <c r="AM815" s="19"/>
      <c r="AN815" s="19"/>
      <c r="AO815" s="19"/>
      <c r="AP815" s="19"/>
      <c r="AQ815" s="19"/>
      <c r="AR815" s="19"/>
      <c r="AS815" s="19"/>
      <c r="AT815" s="2"/>
      <c r="AU815" s="2"/>
    </row>
    <row r="816" spans="1:47" hidden="1" outlineLevel="1">
      <c r="A816" s="298"/>
      <c r="B816" s="2" t="s">
        <v>4</v>
      </c>
      <c r="C816" s="18"/>
      <c r="D816" s="18"/>
      <c r="E816" s="18"/>
      <c r="F816" s="18"/>
      <c r="G816" s="18"/>
      <c r="H816" s="18"/>
      <c r="I816" s="18"/>
      <c r="J816" s="18"/>
      <c r="K816" s="19"/>
      <c r="L816" s="19"/>
      <c r="M816" s="19"/>
      <c r="N816" s="19"/>
      <c r="O816" s="19"/>
      <c r="P816" s="19"/>
      <c r="Q816" s="19"/>
      <c r="R816" s="19"/>
      <c r="S816" s="709">
        <v>-0.02</v>
      </c>
      <c r="T816" s="530">
        <v>-0.11</v>
      </c>
      <c r="U816" s="19"/>
      <c r="V816" s="19"/>
      <c r="W816" s="19"/>
      <c r="X816" s="19"/>
      <c r="Y816" s="19"/>
      <c r="Z816" s="19"/>
      <c r="AA816" s="19"/>
      <c r="AB816" s="19"/>
      <c r="AC816" s="19"/>
      <c r="AD816" s="19"/>
      <c r="AE816" s="19"/>
      <c r="AF816" s="19"/>
      <c r="AG816" s="19"/>
      <c r="AH816" s="19"/>
      <c r="AI816" s="19"/>
      <c r="AJ816" s="19"/>
      <c r="AK816" s="19"/>
      <c r="AL816" s="19"/>
      <c r="AM816" s="19"/>
      <c r="AN816" s="19"/>
      <c r="AO816" s="19"/>
      <c r="AP816" s="19"/>
      <c r="AQ816" s="19"/>
      <c r="AR816" s="19"/>
      <c r="AS816" s="19"/>
      <c r="AT816" s="2"/>
      <c r="AU816" s="2"/>
    </row>
    <row r="817" spans="1:47" hidden="1" outlineLevel="1">
      <c r="A817" s="298"/>
      <c r="B817" s="2" t="s">
        <v>5</v>
      </c>
      <c r="C817" s="18"/>
      <c r="D817" s="18"/>
      <c r="E817" s="18"/>
      <c r="F817" s="18"/>
      <c r="G817" s="18"/>
      <c r="H817" s="18"/>
      <c r="I817" s="18"/>
      <c r="J817" s="18"/>
      <c r="K817" s="562">
        <v>852.01534281249985</v>
      </c>
      <c r="L817" s="205">
        <v>975.9739359906248</v>
      </c>
      <c r="M817" s="205">
        <v>1068.0127291139058</v>
      </c>
      <c r="N817" s="205">
        <v>1057.8655200462933</v>
      </c>
      <c r="O817" s="205">
        <v>1099.4395101156804</v>
      </c>
      <c r="P817" s="205">
        <v>1180.8000784141802</v>
      </c>
      <c r="Q817" s="205">
        <v>1253.463936545963</v>
      </c>
      <c r="R817" s="205">
        <v>1469.8080725777645</v>
      </c>
      <c r="S817" s="205">
        <v>1541.5685035432655</v>
      </c>
      <c r="T817" s="205">
        <v>1629.9310479631181</v>
      </c>
      <c r="U817" s="205">
        <v>1631.7672248922654</v>
      </c>
      <c r="V817" s="205">
        <v>1651.6580900718018</v>
      </c>
      <c r="W817" s="205">
        <v>1666.8951399823161</v>
      </c>
      <c r="X817" s="205">
        <v>1671.7428257860888</v>
      </c>
      <c r="Y817" s="205">
        <v>1616.4693761299327</v>
      </c>
      <c r="Z817" s="205">
        <v>1636.8033533915263</v>
      </c>
      <c r="AA817" s="205">
        <v>1680.5563366132217</v>
      </c>
      <c r="AB817" s="205">
        <v>1690.0497858383187</v>
      </c>
      <c r="AC817" s="205">
        <v>1709.2265532730148</v>
      </c>
      <c r="AD817" s="205">
        <v>1716.53866741405</v>
      </c>
      <c r="AE817" s="205">
        <v>1723.9239026964956</v>
      </c>
      <c r="AF817" s="205">
        <v>1731.3829903317655</v>
      </c>
      <c r="AG817" s="205">
        <v>1738.9166688433882</v>
      </c>
      <c r="AH817" s="205">
        <v>1746.5256841401269</v>
      </c>
      <c r="AI817" s="205">
        <v>1754.2107895898334</v>
      </c>
      <c r="AJ817" s="205">
        <v>1761.9727460940367</v>
      </c>
      <c r="AK817" s="205">
        <v>1769.812322163282</v>
      </c>
      <c r="AL817" s="205">
        <v>1777.7302939932197</v>
      </c>
      <c r="AM817" s="205">
        <v>1785.727445541457</v>
      </c>
      <c r="AN817" s="205">
        <v>1793.8045686051764</v>
      </c>
      <c r="AO817" s="205">
        <v>1801.9624628995334</v>
      </c>
      <c r="AP817" s="205">
        <v>1810.2019361368336</v>
      </c>
      <c r="AQ817" s="205">
        <v>1810.2019361368336</v>
      </c>
      <c r="AR817" s="205">
        <v>1810.2019361368336</v>
      </c>
      <c r="AS817" s="205">
        <v>1810.2019361368336</v>
      </c>
      <c r="AT817" s="2"/>
      <c r="AU817" s="2"/>
    </row>
    <row r="818" spans="1:47" hidden="1" outlineLevel="1">
      <c r="A818" s="298"/>
      <c r="B818" s="2" t="s">
        <v>6</v>
      </c>
      <c r="C818" s="18"/>
      <c r="D818" s="18"/>
      <c r="E818" s="18"/>
      <c r="F818" s="18"/>
      <c r="G818" s="18"/>
      <c r="H818" s="18"/>
      <c r="I818" s="18"/>
      <c r="J818" s="18"/>
      <c r="K818" s="19"/>
      <c r="L818" s="19"/>
      <c r="M818" s="19"/>
      <c r="N818" s="570">
        <v>1058</v>
      </c>
      <c r="O818" s="570">
        <v>1100</v>
      </c>
      <c r="P818" s="570">
        <v>1180</v>
      </c>
      <c r="Q818" s="19">
        <v>1283.8078291814945</v>
      </c>
      <c r="R818" s="570">
        <v>1443</v>
      </c>
      <c r="S818" s="570">
        <v>1540</v>
      </c>
      <c r="T818" s="570">
        <v>1630</v>
      </c>
      <c r="U818" s="570">
        <v>1632</v>
      </c>
      <c r="V818" s="570">
        <v>1652</v>
      </c>
      <c r="W818" s="19"/>
      <c r="X818" s="19"/>
      <c r="Y818" s="19"/>
      <c r="Z818" s="19"/>
      <c r="AA818" s="19"/>
      <c r="AB818" s="19"/>
      <c r="AC818" s="19"/>
      <c r="AD818" s="19"/>
      <c r="AE818" s="19"/>
      <c r="AF818" s="19"/>
      <c r="AG818" s="19"/>
      <c r="AH818" s="19"/>
      <c r="AI818" s="19"/>
      <c r="AJ818" s="19"/>
      <c r="AK818" s="19"/>
      <c r="AL818" s="19"/>
      <c r="AM818" s="19"/>
      <c r="AN818" s="19"/>
      <c r="AO818" s="19"/>
      <c r="AP818" s="19"/>
      <c r="AQ818" s="19"/>
      <c r="AR818" s="19"/>
      <c r="AS818" s="19"/>
      <c r="AT818" s="2"/>
      <c r="AU818" s="2"/>
    </row>
    <row r="819" spans="1:47" hidden="1" outlineLevel="1">
      <c r="A819" s="298"/>
      <c r="B819" s="2" t="s">
        <v>7</v>
      </c>
      <c r="C819" s="18" t="s">
        <v>749</v>
      </c>
      <c r="D819" s="18"/>
      <c r="E819" s="18"/>
      <c r="F819" s="18"/>
      <c r="G819" s="18"/>
      <c r="H819" s="18"/>
      <c r="I819" s="18"/>
      <c r="J819" s="18"/>
      <c r="K819" s="570">
        <v>401.45746800000001</v>
      </c>
      <c r="L819" s="19">
        <v>401.45746800000001</v>
      </c>
      <c r="M819" s="19">
        <v>401.45746800000001</v>
      </c>
      <c r="N819" s="19">
        <v>407.27</v>
      </c>
      <c r="O819" s="19">
        <v>460</v>
      </c>
      <c r="P819" s="19">
        <v>514</v>
      </c>
      <c r="Q819" s="19">
        <v>570.87800000000004</v>
      </c>
      <c r="R819" s="19">
        <v>639.12800000000004</v>
      </c>
      <c r="S819" s="19">
        <v>695.07299999999998</v>
      </c>
      <c r="T819" s="19">
        <v>728.71900000000005</v>
      </c>
      <c r="U819" s="19">
        <v>747.14800000000002</v>
      </c>
      <c r="V819" s="19">
        <v>764.25</v>
      </c>
      <c r="W819" s="19">
        <v>779.53499999999997</v>
      </c>
      <c r="X819" s="19">
        <v>756.1489499999999</v>
      </c>
      <c r="Y819" s="19">
        <v>771.27192899999989</v>
      </c>
      <c r="Z819" s="19">
        <v>786.69736757999988</v>
      </c>
      <c r="AA819" s="19">
        <v>802.4313149315999</v>
      </c>
      <c r="AB819" s="19">
        <v>818.47994123023193</v>
      </c>
      <c r="AC819" s="19">
        <v>834.84954005483655</v>
      </c>
      <c r="AD819" s="19">
        <v>851.54653085593327</v>
      </c>
      <c r="AE819" s="19">
        <v>868.57746147305193</v>
      </c>
      <c r="AF819" s="19">
        <v>885.94901070251296</v>
      </c>
      <c r="AG819" s="19">
        <v>903.66799091656321</v>
      </c>
      <c r="AH819" s="19">
        <v>921.74135073489447</v>
      </c>
      <c r="AI819" s="19">
        <v>940.1761777495924</v>
      </c>
      <c r="AJ819" s="19">
        <v>958.9797013045843</v>
      </c>
      <c r="AK819" s="19">
        <v>978.15929533067595</v>
      </c>
      <c r="AL819" s="19">
        <v>997.72248123728946</v>
      </c>
      <c r="AM819" s="19">
        <v>1017.6769308620353</v>
      </c>
      <c r="AN819" s="19">
        <v>1038.030469479276</v>
      </c>
      <c r="AO819" s="19">
        <v>1058.7910788688616</v>
      </c>
      <c r="AP819" s="19">
        <v>1079.9669004462389</v>
      </c>
      <c r="AQ819" s="19">
        <v>1079.9669004462389</v>
      </c>
      <c r="AR819" s="19">
        <v>1079.9669004462389</v>
      </c>
      <c r="AS819" s="19">
        <v>1079.9669004462389</v>
      </c>
      <c r="AT819" s="2"/>
      <c r="AU819" s="2"/>
    </row>
    <row r="820" spans="1:47" hidden="1" outlineLevel="1">
      <c r="A820" s="298"/>
      <c r="B820" s="2" t="s">
        <v>596</v>
      </c>
      <c r="C820" s="18"/>
      <c r="D820" s="18"/>
      <c r="E820" s="18"/>
      <c r="F820" s="18"/>
      <c r="G820" s="18"/>
      <c r="H820" s="18"/>
      <c r="I820" s="18"/>
      <c r="J820" s="18"/>
      <c r="K820" s="19"/>
      <c r="L820" s="19"/>
      <c r="M820" s="19"/>
      <c r="N820" s="19">
        <v>1057.8655200462933</v>
      </c>
      <c r="O820" s="19">
        <v>1099.4395101156804</v>
      </c>
      <c r="P820" s="19">
        <v>1180.8000784141802</v>
      </c>
      <c r="Q820" s="19">
        <v>1253.463936545963</v>
      </c>
      <c r="R820" s="19">
        <v>1469.8080725777645</v>
      </c>
      <c r="S820" s="19">
        <v>1541.5685035432655</v>
      </c>
      <c r="T820" s="19">
        <v>1629.9310479631181</v>
      </c>
      <c r="U820" s="19">
        <v>1631.7672248922654</v>
      </c>
      <c r="V820" s="19">
        <v>1651.6580900718018</v>
      </c>
      <c r="W820" s="19">
        <v>2346.4301399823162</v>
      </c>
      <c r="X820" s="19">
        <v>2427.8917757860886</v>
      </c>
      <c r="Y820" s="19">
        <v>2387.7413051299327</v>
      </c>
      <c r="Z820" s="19">
        <v>2423.5007209715263</v>
      </c>
      <c r="AA820" s="19">
        <v>2482.9876515448213</v>
      </c>
      <c r="AB820" s="19">
        <v>2508.5297270685505</v>
      </c>
      <c r="AC820" s="19">
        <v>2544.0760933278516</v>
      </c>
      <c r="AD820" s="19">
        <v>2568.0851982699833</v>
      </c>
      <c r="AE820" s="19">
        <v>2592.5013641695477</v>
      </c>
      <c r="AF820" s="19">
        <v>2617.3320010342786</v>
      </c>
      <c r="AG820" s="19">
        <v>2642.5846597599511</v>
      </c>
      <c r="AH820" s="19">
        <v>2668.2670348750216</v>
      </c>
      <c r="AI820" s="19">
        <v>2694.3869673394256</v>
      </c>
      <c r="AJ820" s="19">
        <v>2720.9524473986212</v>
      </c>
      <c r="AK820" s="19">
        <v>2747.9716174939581</v>
      </c>
      <c r="AL820" s="19">
        <v>2775.4527752305094</v>
      </c>
      <c r="AM820" s="19">
        <v>2803.4043764034923</v>
      </c>
      <c r="AN820" s="19">
        <v>2831.8350380844522</v>
      </c>
      <c r="AO820" s="19">
        <v>2860.7535417683948</v>
      </c>
      <c r="AP820" s="19">
        <v>2890.1688365830723</v>
      </c>
      <c r="AQ820" s="19">
        <v>2890.1688365830723</v>
      </c>
      <c r="AR820" s="19">
        <v>2890.1688365830723</v>
      </c>
      <c r="AS820" s="19">
        <v>2890.1688365830723</v>
      </c>
      <c r="AT820" s="2"/>
      <c r="AU820" s="2"/>
    </row>
    <row r="821" spans="1:47" hidden="1" outlineLevel="1">
      <c r="A821" s="298"/>
      <c r="B821" s="46" t="s">
        <v>8</v>
      </c>
      <c r="C821" s="45" t="s">
        <v>749</v>
      </c>
      <c r="D821" s="45"/>
      <c r="E821" s="45"/>
      <c r="F821" s="45"/>
      <c r="G821" s="45"/>
      <c r="H821" s="45"/>
      <c r="I821" s="45"/>
      <c r="J821" s="45"/>
      <c r="K821" s="561">
        <v>1253.4728108124998</v>
      </c>
      <c r="L821" s="228">
        <v>1377.4314039906249</v>
      </c>
      <c r="M821" s="228">
        <v>1469.4701971139059</v>
      </c>
      <c r="N821" s="228">
        <v>1465.1355200462933</v>
      </c>
      <c r="O821" s="228">
        <v>1559.4395101156804</v>
      </c>
      <c r="P821" s="228">
        <v>1694.8000784141802</v>
      </c>
      <c r="Q821" s="228">
        <v>1824.3419365459631</v>
      </c>
      <c r="R821" s="228">
        <v>2108.9360725777647</v>
      </c>
      <c r="S821" s="228">
        <v>2236.6415035432656</v>
      </c>
      <c r="T821" s="228">
        <v>2358.6500479631181</v>
      </c>
      <c r="U821" s="228">
        <v>2378.9152248922655</v>
      </c>
      <c r="V821" s="228">
        <v>2415.9080900718018</v>
      </c>
      <c r="W821" s="228">
        <v>2446.4301399823162</v>
      </c>
      <c r="X821" s="228">
        <v>2427.8917757860886</v>
      </c>
      <c r="Y821" s="228">
        <v>2387.7413051299327</v>
      </c>
      <c r="Z821" s="228">
        <v>2423.5007209715263</v>
      </c>
      <c r="AA821" s="228">
        <v>2482.9876515448213</v>
      </c>
      <c r="AB821" s="228">
        <v>2508.5297270685505</v>
      </c>
      <c r="AC821" s="228">
        <v>2544.0760933278516</v>
      </c>
      <c r="AD821" s="228">
        <v>2568.0851982699833</v>
      </c>
      <c r="AE821" s="228">
        <v>2592.5013641695477</v>
      </c>
      <c r="AF821" s="228">
        <v>2617.3320010342786</v>
      </c>
      <c r="AG821" s="228">
        <v>2642.5846597599511</v>
      </c>
      <c r="AH821" s="228">
        <v>2668.2670348750216</v>
      </c>
      <c r="AI821" s="228">
        <v>2694.3869673394256</v>
      </c>
      <c r="AJ821" s="228">
        <v>2720.9524473986212</v>
      </c>
      <c r="AK821" s="228">
        <v>2747.9716174939581</v>
      </c>
      <c r="AL821" s="228">
        <v>2775.4527752305094</v>
      </c>
      <c r="AM821" s="228">
        <v>2803.4043764034923</v>
      </c>
      <c r="AN821" s="228">
        <v>2831.8350380844522</v>
      </c>
      <c r="AO821" s="228">
        <v>2860.7535417683948</v>
      </c>
      <c r="AP821" s="228">
        <v>2890.1688365830723</v>
      </c>
      <c r="AQ821" s="228">
        <v>2890.1688365830723</v>
      </c>
      <c r="AR821" s="228">
        <v>2890.1688365830723</v>
      </c>
      <c r="AS821" s="228">
        <v>2890.1688365830723</v>
      </c>
      <c r="AT821" s="2"/>
      <c r="AU821" s="2"/>
    </row>
    <row r="822" spans="1:47" hidden="1" outlineLevel="1">
      <c r="A822" s="298"/>
      <c r="B822" s="46"/>
      <c r="C822" s="45"/>
      <c r="D822" s="45"/>
      <c r="E822" s="45"/>
      <c r="F822" s="45"/>
      <c r="G822" s="45"/>
      <c r="H822" s="45"/>
      <c r="I822" s="45"/>
      <c r="J822" s="45"/>
      <c r="K822" s="228"/>
      <c r="L822" s="228"/>
      <c r="M822" s="228"/>
      <c r="N822" s="228"/>
      <c r="O822" s="228"/>
      <c r="P822" s="228"/>
      <c r="Q822" s="228"/>
      <c r="R822" s="228"/>
      <c r="S822" s="228"/>
      <c r="T822" s="228"/>
      <c r="U822" s="46">
        <v>8.591854033898727E-3</v>
      </c>
      <c r="V822" s="46">
        <v>1.555030830542159E-2</v>
      </c>
      <c r="W822" s="46">
        <v>1.2633779420643032E-2</v>
      </c>
      <c r="X822" s="46">
        <v>-7.5777206523304219E-3</v>
      </c>
      <c r="Y822" s="46">
        <v>-1.6537174785377862E-2</v>
      </c>
      <c r="Z822" s="46">
        <v>1.4976252144554447E-2</v>
      </c>
      <c r="AA822" s="46">
        <v>2.4545868733824028E-2</v>
      </c>
      <c r="AB822" s="46">
        <v>1.0286831474106473E-2</v>
      </c>
      <c r="AC822" s="46">
        <v>1.4170199330601596E-2</v>
      </c>
      <c r="AD822" s="46">
        <v>9.4372589739348811E-3</v>
      </c>
      <c r="AE822" s="46">
        <v>9.5075373340467451E-3</v>
      </c>
      <c r="AF822" s="46">
        <v>9.5778683891589722E-3</v>
      </c>
      <c r="AG822" s="46">
        <v>9.6482443632268655E-3</v>
      </c>
      <c r="AH822" s="46">
        <v>9.7186574591723307E-3</v>
      </c>
      <c r="AI822" s="46">
        <v>9.7890998625733694E-3</v>
      </c>
      <c r="AJ822" s="46">
        <v>9.859563745376887E-3</v>
      </c>
      <c r="AK822" s="46">
        <v>9.9300412696181617E-3</v>
      </c>
      <c r="AL822" s="46">
        <v>1.0000524591157633E-2</v>
      </c>
      <c r="AM822" s="46">
        <v>1.0071005863416804E-2</v>
      </c>
      <c r="AN822" s="46">
        <v>1.0141477241122798E-2</v>
      </c>
      <c r="AO822" s="46">
        <v>1.0211930884047593E-2</v>
      </c>
      <c r="AP822" s="46">
        <v>1.0282358960742366E-2</v>
      </c>
      <c r="AQ822" s="46">
        <v>1.0282358960742366E-2</v>
      </c>
      <c r="AR822" s="46">
        <v>1.0282358960742366E-2</v>
      </c>
      <c r="AS822" s="46">
        <v>1.0282358960742366E-2</v>
      </c>
      <c r="AT822" s="2"/>
      <c r="AU822" s="2"/>
    </row>
    <row r="823" spans="1:47" hidden="1" outlineLevel="1">
      <c r="A823" s="308"/>
      <c r="B823" s="514" t="s">
        <v>9</v>
      </c>
      <c r="C823" s="750" t="s">
        <v>733</v>
      </c>
      <c r="D823" s="750"/>
      <c r="E823" s="750"/>
      <c r="F823" s="750"/>
      <c r="G823" s="750"/>
      <c r="H823" s="750"/>
      <c r="I823" s="750"/>
      <c r="J823" s="750"/>
      <c r="K823" s="751">
        <v>0.17808325282296844</v>
      </c>
      <c r="L823" s="514">
        <v>0.18631562342629851</v>
      </c>
      <c r="M823" s="514">
        <v>0.1956658629197888</v>
      </c>
      <c r="N823" s="514">
        <v>0.19164624199428298</v>
      </c>
      <c r="O823" s="514">
        <v>0.20036483491143267</v>
      </c>
      <c r="P823" s="514">
        <v>0.21398990889067931</v>
      </c>
      <c r="Q823" s="514">
        <v>0.22640133240828533</v>
      </c>
      <c r="R823" s="514">
        <v>0.25762717720226785</v>
      </c>
      <c r="S823" s="514">
        <v>0.26898875568770481</v>
      </c>
      <c r="T823" s="514">
        <v>0.2792954467688713</v>
      </c>
      <c r="U823" s="514">
        <v>0.27742451602242163</v>
      </c>
      <c r="V823" s="513">
        <v>0.27749920630275693</v>
      </c>
      <c r="W823" s="513">
        <v>0.27739888456524137</v>
      </c>
      <c r="X823" s="514">
        <v>0.27176390257525956</v>
      </c>
      <c r="Y823" s="514">
        <v>0.26383977830011468</v>
      </c>
      <c r="Z823" s="513">
        <v>0.26435450083484757</v>
      </c>
      <c r="AA823" s="513">
        <v>0.26736753377249289</v>
      </c>
      <c r="AB823" s="513">
        <v>0.26665142994477598</v>
      </c>
      <c r="AC823" s="513">
        <v>0.26695946086760458</v>
      </c>
      <c r="AD823" s="513">
        <v>0.26602055916619372</v>
      </c>
      <c r="AE823" s="513">
        <v>0.26510341516692026</v>
      </c>
      <c r="AF823" s="513">
        <v>0.26420783888144683</v>
      </c>
      <c r="AG823" s="513">
        <v>0.26333364331061709</v>
      </c>
      <c r="AH823" s="513">
        <v>0.26248064441009766</v>
      </c>
      <c r="AI823" s="513">
        <v>0.26164866105648638</v>
      </c>
      <c r="AJ823" s="513">
        <v>0.2608375150138848</v>
      </c>
      <c r="AK823" s="513">
        <v>0.26004703090092529</v>
      </c>
      <c r="AL823" s="513">
        <v>0.25927703615825026</v>
      </c>
      <c r="AM823" s="513">
        <v>0.25852736101643575</v>
      </c>
      <c r="AN823" s="513">
        <v>0.25779783846435483</v>
      </c>
      <c r="AO823" s="513">
        <v>0.25708830421797602</v>
      </c>
      <c r="AP823" s="513">
        <v>0.25639859668958914</v>
      </c>
      <c r="AQ823" s="513">
        <v>0.25639859668958914</v>
      </c>
      <c r="AR823" s="513">
        <v>0.25639859668958914</v>
      </c>
      <c r="AS823" s="513">
        <v>0.25639859668958914</v>
      </c>
      <c r="AT823" s="312"/>
      <c r="AU823" s="514"/>
    </row>
    <row r="824" spans="1:47" hidden="1" outlineLevel="1">
      <c r="A824" s="308"/>
      <c r="B824" s="514" t="s">
        <v>10</v>
      </c>
      <c r="C824" s="750" t="s">
        <v>733</v>
      </c>
      <c r="D824" s="750"/>
      <c r="E824" s="750"/>
      <c r="F824" s="750"/>
      <c r="G824" s="750"/>
      <c r="H824" s="750"/>
      <c r="I824" s="750"/>
      <c r="J824" s="750"/>
      <c r="K824" s="751">
        <v>0.16580399728578682</v>
      </c>
      <c r="L824" s="514">
        <v>0.18438955903847062</v>
      </c>
      <c r="M824" s="514">
        <v>0.20112855296772297</v>
      </c>
      <c r="N824" s="514">
        <v>0.19467528893012395</v>
      </c>
      <c r="O824" s="514">
        <v>0.19770731595361585</v>
      </c>
      <c r="P824" s="514">
        <v>0.20763748825392145</v>
      </c>
      <c r="Q824" s="514">
        <v>0.21560635089528774</v>
      </c>
      <c r="R824" s="514">
        <v>0.24784101642306577</v>
      </c>
      <c r="S824" s="514">
        <v>0.25488182975208046</v>
      </c>
      <c r="T824" s="514">
        <v>0.26430591407202314</v>
      </c>
      <c r="U824" s="514">
        <v>0.2596104736934558</v>
      </c>
      <c r="V824" s="514">
        <v>0.25787024736451442</v>
      </c>
      <c r="W824" s="514">
        <v>0.25618253490659793</v>
      </c>
      <c r="X824" s="514">
        <v>0.25292048660552557</v>
      </c>
      <c r="Y824" s="514">
        <v>0.24075111066369678</v>
      </c>
      <c r="Z824" s="513">
        <v>0.23999179995153841</v>
      </c>
      <c r="AA824" s="513">
        <v>0.24258541283888746</v>
      </c>
      <c r="AB824" s="513">
        <v>0.24017913582438408</v>
      </c>
      <c r="AC824" s="513">
        <v>0.23915082433082829</v>
      </c>
      <c r="AD824" s="513">
        <v>0.23646912829940803</v>
      </c>
      <c r="AE824" s="513">
        <v>0.23382962702536364</v>
      </c>
      <c r="AF824" s="513">
        <v>0.23123150178483048</v>
      </c>
      <c r="AG824" s="513">
        <v>0.22867395303241836</v>
      </c>
      <c r="AH824" s="513">
        <v>0.2261561998618232</v>
      </c>
      <c r="AI824" s="513">
        <v>0.22367747948437339</v>
      </c>
      <c r="AJ824" s="513">
        <v>0.2212370467248195</v>
      </c>
      <c r="AK824" s="513">
        <v>0.21883417353370807</v>
      </c>
      <c r="AL824" s="513">
        <v>0.21646814851570678</v>
      </c>
      <c r="AM824" s="513">
        <v>0.2141382764732766</v>
      </c>
      <c r="AN824" s="513">
        <v>0.21184387796511384</v>
      </c>
      <c r="AO824" s="513">
        <v>0.20958428887880765</v>
      </c>
      <c r="AP824" s="513">
        <v>0.20735886001718246</v>
      </c>
      <c r="AQ824" s="513">
        <v>0.20735886001718246</v>
      </c>
      <c r="AR824" s="513">
        <v>0.20735886001718246</v>
      </c>
      <c r="AS824" s="513">
        <v>0.20735886001718246</v>
      </c>
      <c r="AT824" s="312"/>
      <c r="AU824" s="514"/>
    </row>
    <row r="825" spans="1:47" hidden="1" outlineLevel="1">
      <c r="A825" s="312"/>
      <c r="B825" s="514" t="s">
        <v>841</v>
      </c>
      <c r="C825" s="750" t="s">
        <v>733</v>
      </c>
      <c r="D825" s="750"/>
      <c r="E825" s="750"/>
      <c r="F825" s="750"/>
      <c r="G825" s="750"/>
      <c r="H825" s="750"/>
      <c r="I825" s="750"/>
      <c r="J825" s="750"/>
      <c r="K825" s="751">
        <v>0.21129340421052631</v>
      </c>
      <c r="L825" s="514">
        <v>0.19117022285714286</v>
      </c>
      <c r="M825" s="514">
        <v>0.18248066727272727</v>
      </c>
      <c r="N825" s="514">
        <v>0.18420171867933061</v>
      </c>
      <c r="O825" s="514">
        <v>0.20701557792223868</v>
      </c>
      <c r="P825" s="514">
        <v>0.23016657376601923</v>
      </c>
      <c r="Q825" s="514">
        <v>0.2543644294062713</v>
      </c>
      <c r="R825" s="514">
        <v>0.28335759296694296</v>
      </c>
      <c r="S825" s="514">
        <v>0.30662768727663819</v>
      </c>
      <c r="T825" s="514">
        <v>0.31987108243327517</v>
      </c>
      <c r="U825" s="514">
        <v>0.32632884465905398</v>
      </c>
      <c r="V825" s="514">
        <v>0.33213772817970727</v>
      </c>
      <c r="W825" s="514">
        <v>0.33709500770477752</v>
      </c>
      <c r="X825" s="514">
        <v>0.32535538057078039</v>
      </c>
      <c r="Y825" s="514">
        <v>0.33021143102706063</v>
      </c>
      <c r="Z825" s="513">
        <v>0.33513995984836015</v>
      </c>
      <c r="AA825" s="513">
        <v>0.34014204880132082</v>
      </c>
      <c r="AB825" s="513">
        <v>0.34521879579835546</v>
      </c>
      <c r="AC825" s="513">
        <v>0.3503713151386294</v>
      </c>
      <c r="AD825" s="513">
        <v>0.35560073775263884</v>
      </c>
      <c r="AE825" s="513">
        <v>0.36090821145043944</v>
      </c>
      <c r="AF825" s="513">
        <v>0.36629490117358032</v>
      </c>
      <c r="AG825" s="513">
        <v>0.37176198925079795</v>
      </c>
      <c r="AH825" s="513">
        <v>0.37731067565752635</v>
      </c>
      <c r="AI825" s="513">
        <v>0.38294217827928062</v>
      </c>
      <c r="AJ825" s="513">
        <v>0.3886577331789714</v>
      </c>
      <c r="AK825" s="513">
        <v>0.39445859486820983</v>
      </c>
      <c r="AL825" s="513">
        <v>0.40034603658266077</v>
      </c>
      <c r="AM825" s="513">
        <v>0.40632135056150653</v>
      </c>
      <c r="AN825" s="513">
        <v>0.41238584833108127</v>
      </c>
      <c r="AO825" s="513">
        <v>0.41854086099273935</v>
      </c>
      <c r="AP825" s="513">
        <v>0.42478773951501908</v>
      </c>
      <c r="AQ825" s="513">
        <v>0.42478773951501908</v>
      </c>
      <c r="AR825" s="513">
        <v>0.42478773951501908</v>
      </c>
      <c r="AS825" s="513">
        <v>0.42478773951501908</v>
      </c>
      <c r="AT825" s="312"/>
      <c r="AU825" s="514"/>
    </row>
    <row r="826" spans="1:47" hidden="1" outlineLevel="1">
      <c r="A826" s="2"/>
      <c r="B826" s="2"/>
      <c r="C826" s="38"/>
      <c r="D826" s="38"/>
      <c r="E826" s="38"/>
      <c r="F826" s="38"/>
      <c r="G826" s="38"/>
      <c r="H826" s="38"/>
      <c r="I826" s="38"/>
      <c r="J826" s="38"/>
      <c r="K826" s="752"/>
      <c r="L826" s="752">
        <v>9.8892127622437487E-2</v>
      </c>
      <c r="M826" s="752">
        <v>6.6819148203410172E-2</v>
      </c>
      <c r="N826" s="752">
        <v>-2.9498230560416339E-3</v>
      </c>
      <c r="O826" s="752">
        <v>6.436537015115662E-2</v>
      </c>
      <c r="P826" s="752">
        <v>8.6800781575977037E-2</v>
      </c>
      <c r="Q826" s="752">
        <v>7.6434890334082795E-2</v>
      </c>
      <c r="R826" s="752">
        <v>0.15599824261597872</v>
      </c>
      <c r="S826" s="752">
        <v>6.0554434354857412E-2</v>
      </c>
      <c r="T826" s="752">
        <v>5.4549888404810343E-2</v>
      </c>
      <c r="U826" s="752">
        <v>8.591854033898727E-3</v>
      </c>
      <c r="V826" s="752">
        <v>1.555030830542159E-2</v>
      </c>
      <c r="W826" s="752">
        <v>1.2633779420643032E-2</v>
      </c>
      <c r="X826" s="752">
        <v>-7.5777206523304219E-3</v>
      </c>
      <c r="Y826" s="752"/>
      <c r="Z826" s="752"/>
      <c r="AA826" s="752"/>
      <c r="AB826" s="752"/>
      <c r="AC826" s="752"/>
      <c r="AD826" s="752"/>
      <c r="AE826" s="752"/>
      <c r="AF826" s="752"/>
      <c r="AG826" s="752"/>
      <c r="AH826" s="752"/>
      <c r="AI826" s="752"/>
      <c r="AJ826" s="752"/>
      <c r="AK826" s="752"/>
      <c r="AL826" s="752"/>
      <c r="AM826" s="752"/>
      <c r="AN826" s="752"/>
      <c r="AO826" s="752"/>
      <c r="AP826" s="752"/>
      <c r="AQ826" s="752"/>
      <c r="AR826" s="752"/>
      <c r="AS826" s="752"/>
      <c r="AT826" s="2"/>
      <c r="AU826" s="2"/>
    </row>
    <row r="827" spans="1:47" hidden="1" outlineLevel="1">
      <c r="A827" s="2"/>
      <c r="B827" s="2" t="s">
        <v>842</v>
      </c>
      <c r="C827" s="18"/>
      <c r="D827" s="18"/>
      <c r="E827" s="18"/>
      <c r="F827" s="18"/>
      <c r="G827" s="18"/>
      <c r="H827" s="18"/>
      <c r="I827" s="18"/>
      <c r="J827" s="18"/>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2"/>
      <c r="AU827" s="2"/>
    </row>
    <row r="828" spans="1:47" hidden="1" outlineLevel="1">
      <c r="A828" s="2"/>
      <c r="B828" s="2" t="s">
        <v>843</v>
      </c>
      <c r="C828" s="18" t="s">
        <v>192</v>
      </c>
      <c r="D828" s="18"/>
      <c r="E828" s="18"/>
      <c r="F828" s="18"/>
      <c r="G828" s="18"/>
      <c r="H828" s="18"/>
      <c r="I828" s="18"/>
      <c r="J828" s="18"/>
      <c r="K828" s="566">
        <v>2.5250624999999993</v>
      </c>
      <c r="L828" s="3">
        <v>2.5376878124999989</v>
      </c>
      <c r="M828" s="3">
        <v>2.5503762515624988</v>
      </c>
      <c r="N828" s="3">
        <v>2.563128132820311</v>
      </c>
      <c r="O828" s="3">
        <v>2.5759437734844122</v>
      </c>
      <c r="P828" s="3">
        <v>2.5888234923518341</v>
      </c>
      <c r="Q828" s="3">
        <v>2.6017676098135931</v>
      </c>
      <c r="R828" s="3">
        <v>2.6147764478626607</v>
      </c>
      <c r="S828" s="3">
        <v>2.6278503301019738</v>
      </c>
      <c r="T828" s="3">
        <v>2.6409895817524833</v>
      </c>
      <c r="U828" s="3">
        <v>2.6541945296612455</v>
      </c>
      <c r="V828" s="3">
        <v>2.6674655023095513</v>
      </c>
      <c r="W828" s="3">
        <v>2.6808028298210989</v>
      </c>
      <c r="X828" s="3">
        <v>2.6942068439702043</v>
      </c>
      <c r="Y828" s="3">
        <v>2.7076778781900548</v>
      </c>
      <c r="Z828" s="3">
        <v>2.721216267581005</v>
      </c>
      <c r="AA828" s="3">
        <v>2.7348223489189096</v>
      </c>
      <c r="AB828" s="3">
        <v>2.7484964606635041</v>
      </c>
      <c r="AC828" s="3">
        <v>2.7622389429668215</v>
      </c>
      <c r="AD828" s="3">
        <v>2.7760501376816551</v>
      </c>
      <c r="AE828" s="3">
        <v>2.7899303883700632</v>
      </c>
      <c r="AF828" s="3">
        <v>2.8038800403119133</v>
      </c>
      <c r="AG828" s="3">
        <v>2.8178994405134725</v>
      </c>
      <c r="AH828" s="3">
        <v>2.8319889377160394</v>
      </c>
      <c r="AI828" s="3">
        <v>2.8461488824046195</v>
      </c>
      <c r="AJ828" s="3">
        <v>2.8603796268166422</v>
      </c>
      <c r="AK828" s="3">
        <v>2.8746815249507249</v>
      </c>
      <c r="AL828" s="3">
        <v>2.8890549325754784</v>
      </c>
      <c r="AM828" s="3">
        <v>2.9035002072383556</v>
      </c>
      <c r="AN828" s="3">
        <v>2.9180177082745469</v>
      </c>
      <c r="AO828" s="3">
        <v>2.9326077968159194</v>
      </c>
      <c r="AP828" s="3">
        <v>2.9472708357999986</v>
      </c>
      <c r="AQ828" s="3">
        <v>2.9472708357999986</v>
      </c>
      <c r="AR828" s="3">
        <v>2.9472708357999986</v>
      </c>
      <c r="AS828" s="3">
        <v>2.9472708357999986</v>
      </c>
      <c r="AT828" s="2"/>
      <c r="AU828" s="2"/>
    </row>
    <row r="829" spans="1:47" hidden="1" outlineLevel="1">
      <c r="A829" s="312"/>
      <c r="B829" s="514" t="s">
        <v>844</v>
      </c>
      <c r="C829" s="750" t="s">
        <v>733</v>
      </c>
      <c r="D829" s="750"/>
      <c r="E829" s="750"/>
      <c r="F829" s="750"/>
      <c r="G829" s="750"/>
      <c r="H829" s="750"/>
      <c r="I829" s="750"/>
      <c r="J829" s="750"/>
      <c r="K829" s="751">
        <v>0.180925</v>
      </c>
      <c r="L829" s="751">
        <v>0.19237000000000001</v>
      </c>
      <c r="M829" s="751">
        <v>0.19109999999999999</v>
      </c>
      <c r="N829" s="753">
        <v>0.187</v>
      </c>
      <c r="O829" s="753">
        <v>0.2165</v>
      </c>
      <c r="P829" s="753">
        <v>0.2525</v>
      </c>
      <c r="Q829" s="753">
        <v>0.26633000000000001</v>
      </c>
      <c r="R829" s="513">
        <v>0.30290068656716423</v>
      </c>
      <c r="S829" s="513">
        <v>0.30290068656716429</v>
      </c>
      <c r="T829" s="513">
        <v>0.32158709708175554</v>
      </c>
      <c r="U829" s="513">
        <v>0.33278664772639382</v>
      </c>
      <c r="V829" s="513">
        <v>0.32848194482048032</v>
      </c>
      <c r="W829" s="513">
        <v>0.32423292463872289</v>
      </c>
      <c r="X829" s="513">
        <v>0.32907222202139036</v>
      </c>
      <c r="Y829" s="513">
        <v>0.32416069631957861</v>
      </c>
      <c r="Z829" s="513">
        <v>0.33544987479836991</v>
      </c>
      <c r="AA829" s="513">
        <v>0.34713220874657197</v>
      </c>
      <c r="AB829" s="513">
        <v>0.34885923466073404</v>
      </c>
      <c r="AC829" s="513">
        <v>0.35406608890940172</v>
      </c>
      <c r="AD829" s="513">
        <v>0.35230456607900673</v>
      </c>
      <c r="AE829" s="513">
        <v>0.3505518070437878</v>
      </c>
      <c r="AF829" s="513">
        <v>0.34880776820277393</v>
      </c>
      <c r="AG829" s="513">
        <v>0.34707240617191443</v>
      </c>
      <c r="AH829" s="513">
        <v>0.34534567778299952</v>
      </c>
      <c r="AI829" s="513">
        <v>0.34362754008258656</v>
      </c>
      <c r="AJ829" s="513">
        <v>0.34191795033093197</v>
      </c>
      <c r="AK829" s="513">
        <v>0.34021686600092738</v>
      </c>
      <c r="AL829" s="513">
        <v>0.33852424477704224</v>
      </c>
      <c r="AM829" s="513">
        <v>0.33684004455427091</v>
      </c>
      <c r="AN829" s="513">
        <v>0.33516422343708552</v>
      </c>
      <c r="AO829" s="513">
        <v>0.33349673973839356</v>
      </c>
      <c r="AP829" s="513">
        <v>0.33183755197850107</v>
      </c>
      <c r="AQ829" s="513">
        <v>0.33183755197850107</v>
      </c>
      <c r="AR829" s="513">
        <v>0.33183755197850107</v>
      </c>
      <c r="AS829" s="513">
        <v>0.33183755197850107</v>
      </c>
      <c r="AT829" s="312"/>
      <c r="AU829" s="514"/>
    </row>
    <row r="830" spans="1:47" hidden="1" outlineLevel="1">
      <c r="A830" s="2"/>
      <c r="B830" s="2" t="s">
        <v>845</v>
      </c>
      <c r="C830" s="38" t="s">
        <v>846</v>
      </c>
      <c r="D830" s="38"/>
      <c r="E830" s="38"/>
      <c r="F830" s="38"/>
      <c r="G830" s="38"/>
      <c r="H830" s="38"/>
      <c r="I830" s="38"/>
      <c r="J830" s="38"/>
      <c r="K830" s="570">
        <v>456.84693281249986</v>
      </c>
      <c r="L830" s="19">
        <v>488.17500449062481</v>
      </c>
      <c r="M830" s="19">
        <v>487.37690167359347</v>
      </c>
      <c r="N830" s="19">
        <v>479.30496083739814</v>
      </c>
      <c r="O830" s="19">
        <v>557.69182695937525</v>
      </c>
      <c r="P830" s="19">
        <v>653.67793181883815</v>
      </c>
      <c r="Q830" s="19">
        <v>692.92876752165432</v>
      </c>
      <c r="R830" s="19">
        <v>792.01758127725088</v>
      </c>
      <c r="S830" s="19">
        <v>795.97766918363709</v>
      </c>
      <c r="T830" s="19">
        <v>849.30817301894081</v>
      </c>
      <c r="U830" s="19">
        <v>883.28049993969842</v>
      </c>
      <c r="V830" s="19">
        <v>876.21425594018081</v>
      </c>
      <c r="W830" s="19">
        <v>869.20454189265934</v>
      </c>
      <c r="X830" s="19">
        <v>886.58863273051247</v>
      </c>
      <c r="Y830" s="19">
        <v>877.72274640320734</v>
      </c>
      <c r="Z830" s="19">
        <v>912.83165625933566</v>
      </c>
      <c r="AA830" s="19">
        <v>949.34492250970914</v>
      </c>
      <c r="AB830" s="19">
        <v>958.83837173480629</v>
      </c>
      <c r="AC830" s="19">
        <v>978.01513916950239</v>
      </c>
      <c r="AD830" s="19">
        <v>978.01513916950239</v>
      </c>
      <c r="AE830" s="19">
        <v>978.01513916950239</v>
      </c>
      <c r="AF830" s="19">
        <v>978.01513916950239</v>
      </c>
      <c r="AG830" s="19">
        <v>978.01513916950239</v>
      </c>
      <c r="AH830" s="19">
        <v>978.01513916950239</v>
      </c>
      <c r="AI830" s="19">
        <v>978.01513916950239</v>
      </c>
      <c r="AJ830" s="19">
        <v>978.01513916950239</v>
      </c>
      <c r="AK830" s="19">
        <v>978.01513916950239</v>
      </c>
      <c r="AL830" s="19">
        <v>978.01513916950239</v>
      </c>
      <c r="AM830" s="19">
        <v>978.01513916950239</v>
      </c>
      <c r="AN830" s="19">
        <v>978.01513916950239</v>
      </c>
      <c r="AO830" s="19">
        <v>978.01513916950239</v>
      </c>
      <c r="AP830" s="19">
        <v>978.01513916950239</v>
      </c>
      <c r="AQ830" s="19">
        <v>978.01513916950239</v>
      </c>
      <c r="AR830" s="19">
        <v>978.01513916950239</v>
      </c>
      <c r="AS830" s="19">
        <v>978.01513916950239</v>
      </c>
      <c r="AT830" s="2"/>
      <c r="AU830" s="2"/>
    </row>
    <row r="831" spans="1:47" hidden="1" outlineLevel="1">
      <c r="A831" s="312"/>
      <c r="B831" s="514" t="s">
        <v>432</v>
      </c>
      <c r="C831" s="750" t="s">
        <v>733</v>
      </c>
      <c r="D831" s="750"/>
      <c r="E831" s="750"/>
      <c r="F831" s="750"/>
      <c r="G831" s="750"/>
      <c r="H831" s="750"/>
      <c r="I831" s="750"/>
      <c r="J831" s="750"/>
      <c r="K831" s="514"/>
      <c r="L831" s="514"/>
      <c r="M831" s="514"/>
      <c r="N831" s="514"/>
      <c r="O831" s="514"/>
      <c r="P831" s="513"/>
      <c r="Q831" s="313"/>
      <c r="R831" s="708">
        <v>0.27300000000000002</v>
      </c>
      <c r="S831" s="708">
        <v>0.13500000000000001</v>
      </c>
      <c r="T831" s="708">
        <v>0.2</v>
      </c>
      <c r="U831" s="708">
        <v>0.14000000000000001</v>
      </c>
      <c r="V831" s="754">
        <v>8.2000000000000003E-2</v>
      </c>
      <c r="W831" s="755">
        <v>7.2000000000000008E-2</v>
      </c>
      <c r="X831" s="756">
        <v>0.08</v>
      </c>
      <c r="Y831" s="756">
        <v>0.04</v>
      </c>
      <c r="Z831" s="756">
        <v>0.08</v>
      </c>
      <c r="AA831" s="756">
        <v>7.0000000000000007E-2</v>
      </c>
      <c r="AB831" s="756">
        <v>0.05</v>
      </c>
      <c r="AC831" s="756">
        <v>0.05</v>
      </c>
      <c r="AD831" s="756">
        <v>0.02</v>
      </c>
      <c r="AE831" s="756">
        <v>0.02</v>
      </c>
      <c r="AF831" s="756">
        <v>0.02</v>
      </c>
      <c r="AG831" s="756">
        <v>0.02</v>
      </c>
      <c r="AH831" s="756">
        <v>0.02</v>
      </c>
      <c r="AI831" s="756">
        <v>0.02</v>
      </c>
      <c r="AJ831" s="756">
        <v>0.02</v>
      </c>
      <c r="AK831" s="756">
        <v>0.02</v>
      </c>
      <c r="AL831" s="756">
        <v>0.02</v>
      </c>
      <c r="AM831" s="756">
        <v>0.02</v>
      </c>
      <c r="AN831" s="756">
        <v>0.02</v>
      </c>
      <c r="AO831" s="757">
        <v>0.02</v>
      </c>
      <c r="AP831" s="757">
        <v>0.02</v>
      </c>
      <c r="AQ831" s="757">
        <v>0.02</v>
      </c>
      <c r="AR831" s="757">
        <v>0.02</v>
      </c>
      <c r="AS831" s="757">
        <v>0.02</v>
      </c>
      <c r="AT831" s="312"/>
      <c r="AU831" s="514"/>
    </row>
    <row r="832" spans="1:47" hidden="1" outlineLevel="1">
      <c r="A832" s="2"/>
      <c r="B832" s="2" t="s">
        <v>432</v>
      </c>
      <c r="C832" s="38" t="s">
        <v>846</v>
      </c>
      <c r="D832" s="38"/>
      <c r="E832" s="38"/>
      <c r="F832" s="38"/>
      <c r="G832" s="38"/>
      <c r="H832" s="38"/>
      <c r="I832" s="38"/>
      <c r="J832" s="38"/>
      <c r="K832" s="19"/>
      <c r="L832" s="19"/>
      <c r="M832" s="19"/>
      <c r="N832" s="19"/>
      <c r="O832" s="19"/>
      <c r="P832" s="19"/>
      <c r="Q832" s="2"/>
      <c r="R832" s="19">
        <v>189.16955353341163</v>
      </c>
      <c r="S832" s="19">
        <v>106.92237347242887</v>
      </c>
      <c r="T832" s="19">
        <v>159.19553383672744</v>
      </c>
      <c r="U832" s="19">
        <v>118.90314422265172</v>
      </c>
      <c r="V832" s="19">
        <v>72.429000995055276</v>
      </c>
      <c r="W832" s="19">
        <v>63.087426427693025</v>
      </c>
      <c r="X832" s="19">
        <v>69.536363351412746</v>
      </c>
      <c r="Y832" s="19">
        <v>35.4635453092205</v>
      </c>
      <c r="Z832" s="19">
        <v>70.217819712256585</v>
      </c>
      <c r="AA832" s="19">
        <v>63.898215938153506</v>
      </c>
      <c r="AB832" s="19">
        <v>47.46724612548546</v>
      </c>
      <c r="AC832" s="19">
        <v>47.941918586740314</v>
      </c>
      <c r="AD832" s="19">
        <v>19.56030278339005</v>
      </c>
      <c r="AE832" s="19">
        <v>19.56030278339005</v>
      </c>
      <c r="AF832" s="19">
        <v>19.56030278339005</v>
      </c>
      <c r="AG832" s="19">
        <v>19.56030278339005</v>
      </c>
      <c r="AH832" s="19">
        <v>19.56030278339005</v>
      </c>
      <c r="AI832" s="19">
        <v>19.56030278339005</v>
      </c>
      <c r="AJ832" s="19">
        <v>19.56030278339005</v>
      </c>
      <c r="AK832" s="19">
        <v>19.56030278339005</v>
      </c>
      <c r="AL832" s="19">
        <v>19.56030278339005</v>
      </c>
      <c r="AM832" s="19">
        <v>19.56030278339005</v>
      </c>
      <c r="AN832" s="19">
        <v>19.56030278339005</v>
      </c>
      <c r="AO832" s="19">
        <v>19.56030278339005</v>
      </c>
      <c r="AP832" s="19">
        <v>19.56030278339005</v>
      </c>
      <c r="AQ832" s="19">
        <v>19.56030278339005</v>
      </c>
      <c r="AR832" s="19">
        <v>19.56030278339005</v>
      </c>
      <c r="AS832" s="19">
        <v>19.56030278339005</v>
      </c>
      <c r="AT832" s="2"/>
      <c r="AU832" s="2"/>
    </row>
    <row r="833" spans="1:47" hidden="1" outlineLevel="1">
      <c r="A833" s="312"/>
      <c r="B833" s="514" t="s">
        <v>433</v>
      </c>
      <c r="C833" s="750" t="s">
        <v>733</v>
      </c>
      <c r="D833" s="750"/>
      <c r="E833" s="750"/>
      <c r="F833" s="750"/>
      <c r="G833" s="750"/>
      <c r="H833" s="750"/>
      <c r="I833" s="750"/>
      <c r="J833" s="750"/>
      <c r="K833" s="514"/>
      <c r="L833" s="514"/>
      <c r="M833" s="514"/>
      <c r="N833" s="514"/>
      <c r="O833" s="514"/>
      <c r="P833" s="513"/>
      <c r="Q833" s="313"/>
      <c r="R833" s="708">
        <v>0.13</v>
      </c>
      <c r="S833" s="313">
        <v>0.13</v>
      </c>
      <c r="T833" s="708">
        <v>0.13300000000000001</v>
      </c>
      <c r="U833" s="708">
        <v>0.1</v>
      </c>
      <c r="V833" s="743">
        <v>9.0000000000000011E-2</v>
      </c>
      <c r="W833" s="755">
        <v>8.0000000000000016E-2</v>
      </c>
      <c r="X833" s="756">
        <v>0.06</v>
      </c>
      <c r="Y833" s="755">
        <v>4.9999999999999996E-2</v>
      </c>
      <c r="Z833" s="755">
        <v>3.9999999999999994E-2</v>
      </c>
      <c r="AA833" s="755">
        <v>2.9999999999999992E-2</v>
      </c>
      <c r="AB833" s="756">
        <v>0.04</v>
      </c>
      <c r="AC833" s="756">
        <v>0.03</v>
      </c>
      <c r="AD833" s="756">
        <v>0.02</v>
      </c>
      <c r="AE833" s="756">
        <v>0.02</v>
      </c>
      <c r="AF833" s="756">
        <v>0.02</v>
      </c>
      <c r="AG833" s="756">
        <v>0.02</v>
      </c>
      <c r="AH833" s="756">
        <v>0.02</v>
      </c>
      <c r="AI833" s="756">
        <v>0.02</v>
      </c>
      <c r="AJ833" s="756">
        <v>0.02</v>
      </c>
      <c r="AK833" s="756">
        <v>0.02</v>
      </c>
      <c r="AL833" s="756">
        <v>0.02</v>
      </c>
      <c r="AM833" s="756">
        <v>0.02</v>
      </c>
      <c r="AN833" s="756">
        <v>0.02</v>
      </c>
      <c r="AO833" s="757">
        <v>0.02</v>
      </c>
      <c r="AP833" s="757">
        <v>0.02</v>
      </c>
      <c r="AQ833" s="757">
        <v>0.02</v>
      </c>
      <c r="AR833" s="757">
        <v>0.02</v>
      </c>
      <c r="AS833" s="757">
        <v>0.02</v>
      </c>
      <c r="AT833" s="312"/>
      <c r="AU833" s="514"/>
    </row>
    <row r="834" spans="1:47" hidden="1" outlineLevel="1">
      <c r="A834" s="2"/>
      <c r="B834" s="2" t="s">
        <v>433</v>
      </c>
      <c r="C834" s="38" t="s">
        <v>846</v>
      </c>
      <c r="D834" s="38"/>
      <c r="E834" s="38"/>
      <c r="F834" s="38"/>
      <c r="G834" s="38"/>
      <c r="H834" s="38"/>
      <c r="I834" s="38"/>
      <c r="J834" s="38"/>
      <c r="K834" s="19"/>
      <c r="L834" s="19"/>
      <c r="M834" s="19"/>
      <c r="N834" s="19"/>
      <c r="O834" s="19"/>
      <c r="P834" s="19"/>
      <c r="Q834" s="19"/>
      <c r="R834" s="19">
        <v>90.080739777815069</v>
      </c>
      <c r="S834" s="19">
        <v>102.96228556604262</v>
      </c>
      <c r="T834" s="19">
        <v>105.86503000142373</v>
      </c>
      <c r="U834" s="19">
        <v>84.930817301894081</v>
      </c>
      <c r="V834" s="19">
        <v>79.495244994572872</v>
      </c>
      <c r="W834" s="19">
        <v>70.097140475214474</v>
      </c>
      <c r="X834" s="19">
        <v>52.152272513559559</v>
      </c>
      <c r="Y834" s="19">
        <v>44.329431636525619</v>
      </c>
      <c r="Z834" s="19">
        <v>35.108909856128285</v>
      </c>
      <c r="AA834" s="19">
        <v>27.384949687780061</v>
      </c>
      <c r="AB834" s="19">
        <v>37.973796900388365</v>
      </c>
      <c r="AC834" s="19">
        <v>28.765151152044186</v>
      </c>
      <c r="AD834" s="19">
        <v>19.56030278339005</v>
      </c>
      <c r="AE834" s="19">
        <v>19.56030278339005</v>
      </c>
      <c r="AF834" s="19">
        <v>19.56030278339005</v>
      </c>
      <c r="AG834" s="19">
        <v>19.56030278339005</v>
      </c>
      <c r="AH834" s="19">
        <v>19.56030278339005</v>
      </c>
      <c r="AI834" s="19">
        <v>19.56030278339005</v>
      </c>
      <c r="AJ834" s="19">
        <v>19.56030278339005</v>
      </c>
      <c r="AK834" s="19">
        <v>19.56030278339005</v>
      </c>
      <c r="AL834" s="19">
        <v>19.56030278339005</v>
      </c>
      <c r="AM834" s="19">
        <v>19.56030278339005</v>
      </c>
      <c r="AN834" s="19">
        <v>19.56030278339005</v>
      </c>
      <c r="AO834" s="19">
        <v>19.56030278339005</v>
      </c>
      <c r="AP834" s="19">
        <v>19.56030278339005</v>
      </c>
      <c r="AQ834" s="19">
        <v>19.56030278339005</v>
      </c>
      <c r="AR834" s="19">
        <v>19.56030278339005</v>
      </c>
      <c r="AS834" s="19">
        <v>19.56030278339005</v>
      </c>
      <c r="AT834" s="2"/>
      <c r="AU834" s="2"/>
    </row>
    <row r="835" spans="1:47" hidden="1" outlineLevel="1">
      <c r="A835" s="2"/>
      <c r="B835" s="2" t="s">
        <v>434</v>
      </c>
      <c r="C835" s="38" t="s">
        <v>846</v>
      </c>
      <c r="D835" s="38"/>
      <c r="E835" s="38"/>
      <c r="F835" s="38"/>
      <c r="G835" s="38"/>
      <c r="H835" s="38"/>
      <c r="I835" s="38"/>
      <c r="J835" s="38"/>
      <c r="K835" s="570">
        <v>52.585682812499954</v>
      </c>
      <c r="L835" s="19">
        <v>31.328071678124957</v>
      </c>
      <c r="M835" s="19">
        <v>-0.79810281703134933</v>
      </c>
      <c r="N835" s="19">
        <v>-8.0719408361953242</v>
      </c>
      <c r="O835" s="19">
        <v>78.386866121977107</v>
      </c>
      <c r="P835" s="19">
        <v>95.986104859462898</v>
      </c>
      <c r="Q835" s="19">
        <v>39.250835702816175</v>
      </c>
      <c r="R835" s="19">
        <v>99.088813755596561</v>
      </c>
      <c r="S835" s="19">
        <v>3.9600879063862493</v>
      </c>
      <c r="T835" s="19">
        <v>53.330503835303702</v>
      </c>
      <c r="U835" s="19">
        <v>33.972326920757638</v>
      </c>
      <c r="V835" s="19">
        <v>-7.0662439995175959</v>
      </c>
      <c r="W835" s="19">
        <v>-7.0097140475214488</v>
      </c>
      <c r="X835" s="19">
        <v>17.384090837853186</v>
      </c>
      <c r="Y835" s="19">
        <v>-8.8658863273051196</v>
      </c>
      <c r="Z835" s="19">
        <v>35.1089098561283</v>
      </c>
      <c r="AA835" s="19">
        <v>36.513266250373448</v>
      </c>
      <c r="AB835" s="19">
        <v>9.4934492250970948</v>
      </c>
      <c r="AC835" s="19">
        <v>19.176767434696128</v>
      </c>
      <c r="AD835" s="19">
        <v>0</v>
      </c>
      <c r="AE835" s="19">
        <v>0</v>
      </c>
      <c r="AF835" s="19">
        <v>0</v>
      </c>
      <c r="AG835" s="19">
        <v>0</v>
      </c>
      <c r="AH835" s="19">
        <v>0</v>
      </c>
      <c r="AI835" s="19">
        <v>0</v>
      </c>
      <c r="AJ835" s="19">
        <v>0</v>
      </c>
      <c r="AK835" s="19">
        <v>0</v>
      </c>
      <c r="AL835" s="19">
        <v>0</v>
      </c>
      <c r="AM835" s="19">
        <v>0</v>
      </c>
      <c r="AN835" s="19">
        <v>0</v>
      </c>
      <c r="AO835" s="19">
        <v>0</v>
      </c>
      <c r="AP835" s="19">
        <v>0</v>
      </c>
      <c r="AQ835" s="19">
        <v>0</v>
      </c>
      <c r="AR835" s="19">
        <v>0</v>
      </c>
      <c r="AS835" s="19">
        <v>0</v>
      </c>
      <c r="AT835" s="2"/>
      <c r="AU835" s="2"/>
    </row>
    <row r="836" spans="1:47" hidden="1" outlineLevel="1">
      <c r="A836" s="2"/>
      <c r="B836" s="2" t="s">
        <v>435</v>
      </c>
      <c r="C836" s="18" t="s">
        <v>192</v>
      </c>
      <c r="D836" s="18"/>
      <c r="E836" s="18"/>
      <c r="F836" s="18"/>
      <c r="G836" s="18"/>
      <c r="H836" s="18"/>
      <c r="I836" s="18"/>
      <c r="J836" s="18"/>
      <c r="K836" s="566">
        <v>2.1210524999999998</v>
      </c>
      <c r="L836" s="3">
        <v>2.1316577624999997</v>
      </c>
      <c r="M836" s="3">
        <v>2.1423160513124997</v>
      </c>
      <c r="N836" s="3">
        <v>2.1530276315690622</v>
      </c>
      <c r="O836" s="3">
        <v>2.1637927697269075</v>
      </c>
      <c r="P836" s="3">
        <v>2.1746117335755417</v>
      </c>
      <c r="Q836" s="3">
        <v>2.1854847922434191</v>
      </c>
      <c r="R836" s="3">
        <v>2.196412216204636</v>
      </c>
      <c r="S836" s="3">
        <v>2.2073942772856587</v>
      </c>
      <c r="T836" s="3">
        <v>2.2184312486720867</v>
      </c>
      <c r="U836" s="3">
        <v>2.2295234049154469</v>
      </c>
      <c r="V836" s="3">
        <v>2.2406710219400239</v>
      </c>
      <c r="W836" s="3">
        <v>2.2518743770497238</v>
      </c>
      <c r="X836" s="3">
        <v>2.2631337489349721</v>
      </c>
      <c r="Y836" s="3">
        <v>2.2744494176796466</v>
      </c>
      <c r="Z836" s="3">
        <v>2.2858216647680445</v>
      </c>
      <c r="AA836" s="3">
        <v>2.2972507730918843</v>
      </c>
      <c r="AB836" s="3">
        <v>2.3087370269573433</v>
      </c>
      <c r="AC836" s="3">
        <v>2.3202807120921296</v>
      </c>
      <c r="AD836" s="3">
        <v>2.33188211565259</v>
      </c>
      <c r="AE836" s="3">
        <v>2.3435415262308528</v>
      </c>
      <c r="AF836" s="3">
        <v>2.3552592338620069</v>
      </c>
      <c r="AG836" s="3">
        <v>2.3670355300313166</v>
      </c>
      <c r="AH836" s="3">
        <v>2.378870707681473</v>
      </c>
      <c r="AI836" s="3">
        <v>2.3907650612198803</v>
      </c>
      <c r="AJ836" s="3">
        <v>2.4027188865259794</v>
      </c>
      <c r="AK836" s="3">
        <v>2.4147324809586093</v>
      </c>
      <c r="AL836" s="3">
        <v>2.4268061433634021</v>
      </c>
      <c r="AM836" s="3">
        <v>2.4389401740802188</v>
      </c>
      <c r="AN836" s="3">
        <v>2.4511348749506197</v>
      </c>
      <c r="AO836" s="3">
        <v>2.4633905493253727</v>
      </c>
      <c r="AP836" s="3">
        <v>2.4757075020719994</v>
      </c>
      <c r="AQ836" s="3">
        <v>2.4757075020719994</v>
      </c>
      <c r="AR836" s="3">
        <v>2.4757075020719994</v>
      </c>
      <c r="AS836" s="3">
        <v>2.4757075020719994</v>
      </c>
      <c r="AT836" s="2"/>
      <c r="AU836" s="2"/>
    </row>
    <row r="837" spans="1:47" hidden="1" outlineLevel="1">
      <c r="A837" s="312"/>
      <c r="B837" s="514" t="s">
        <v>436</v>
      </c>
      <c r="C837" s="750" t="s">
        <v>733</v>
      </c>
      <c r="D837" s="750"/>
      <c r="E837" s="750"/>
      <c r="F837" s="750"/>
      <c r="G837" s="750"/>
      <c r="H837" s="750"/>
      <c r="I837" s="750"/>
      <c r="J837" s="750"/>
      <c r="K837" s="751">
        <v>8.4000000000000005E-2</v>
      </c>
      <c r="L837" s="751">
        <v>0.12</v>
      </c>
      <c r="M837" s="751">
        <v>0.14499999999999999</v>
      </c>
      <c r="N837" s="753">
        <v>0.16500000000000001</v>
      </c>
      <c r="O837" s="753">
        <v>0.16</v>
      </c>
      <c r="P837" s="753">
        <v>0.17</v>
      </c>
      <c r="Q837" s="753">
        <v>0.2</v>
      </c>
      <c r="R837" s="513">
        <v>0.2274626865671642</v>
      </c>
      <c r="S837" s="513">
        <v>0.25869636890175995</v>
      </c>
      <c r="T837" s="513">
        <v>0.27465574688375904</v>
      </c>
      <c r="U837" s="513">
        <v>0.29515244441239785</v>
      </c>
      <c r="V837" s="513">
        <v>0.31424190599130919</v>
      </c>
      <c r="W837" s="513">
        <v>0.33143922422963951</v>
      </c>
      <c r="X837" s="513">
        <v>0.33308817559396614</v>
      </c>
      <c r="Y837" s="513">
        <v>0.32480240008167849</v>
      </c>
      <c r="Z837" s="513">
        <v>0.31672273838810439</v>
      </c>
      <c r="AA837" s="513">
        <v>0.3182984734049607</v>
      </c>
      <c r="AB837" s="513">
        <v>0.31671489891040872</v>
      </c>
      <c r="AC837" s="513">
        <v>0.31513920289592912</v>
      </c>
      <c r="AD837" s="513">
        <v>0.31670705962675472</v>
      </c>
      <c r="AE837" s="513">
        <v>0.31828271663982316</v>
      </c>
      <c r="AF837" s="513">
        <v>0.31986621274250887</v>
      </c>
      <c r="AG837" s="513">
        <v>0.32145758693525767</v>
      </c>
      <c r="AH837" s="513">
        <v>0.3230568784125476</v>
      </c>
      <c r="AI837" s="513">
        <v>0.32466412656385379</v>
      </c>
      <c r="AJ837" s="513">
        <v>0.32627937097461929</v>
      </c>
      <c r="AK837" s="513">
        <v>0.32790265142722935</v>
      </c>
      <c r="AL837" s="513">
        <v>0.32953400790199172</v>
      </c>
      <c r="AM837" s="513">
        <v>0.33117348057812113</v>
      </c>
      <c r="AN837" s="513">
        <v>0.33282110983472868</v>
      </c>
      <c r="AO837" s="513">
        <v>0.3344769362518169</v>
      </c>
      <c r="AP837" s="513">
        <v>0.33614100061127872</v>
      </c>
      <c r="AQ837" s="513">
        <v>0.33614100061127872</v>
      </c>
      <c r="AR837" s="513">
        <v>0.33614100061127872</v>
      </c>
      <c r="AS837" s="513">
        <v>0.33614100061127872</v>
      </c>
      <c r="AT837" s="312"/>
      <c r="AU837" s="514"/>
    </row>
    <row r="838" spans="1:47" hidden="1" outlineLevel="1">
      <c r="A838" s="2"/>
      <c r="B838" s="2" t="s">
        <v>437</v>
      </c>
      <c r="C838" s="38" t="s">
        <v>846</v>
      </c>
      <c r="D838" s="38"/>
      <c r="E838" s="38"/>
      <c r="F838" s="38"/>
      <c r="G838" s="38"/>
      <c r="H838" s="38"/>
      <c r="I838" s="38"/>
      <c r="J838" s="38"/>
      <c r="K838" s="570">
        <v>178.16840999999999</v>
      </c>
      <c r="L838" s="19">
        <v>255.79893149999992</v>
      </c>
      <c r="M838" s="19">
        <v>310.63582744031243</v>
      </c>
      <c r="N838" s="19">
        <v>355.24955920889528</v>
      </c>
      <c r="O838" s="19">
        <v>346.20684315630518</v>
      </c>
      <c r="P838" s="19">
        <v>369.68399470784215</v>
      </c>
      <c r="Q838" s="19">
        <v>437.09695844868384</v>
      </c>
      <c r="R838" s="19">
        <v>499.60182350684562</v>
      </c>
      <c r="S838" s="19">
        <v>571.04488426832449</v>
      </c>
      <c r="T838" s="19">
        <v>609.3048915143022</v>
      </c>
      <c r="U838" s="19">
        <v>658.04928283544643</v>
      </c>
      <c r="V838" s="19">
        <v>704.11273263392764</v>
      </c>
      <c r="W838" s="19">
        <v>746.35949659196331</v>
      </c>
      <c r="X838" s="19">
        <v>753.82309155788289</v>
      </c>
      <c r="Y838" s="19">
        <v>738.74662972672525</v>
      </c>
      <c r="Z838" s="19">
        <v>723.97169713219068</v>
      </c>
      <c r="AA838" s="19">
        <v>731.21141410351254</v>
      </c>
      <c r="AB838" s="19">
        <v>731.21141410351254</v>
      </c>
      <c r="AC838" s="19">
        <v>731.21141410351254</v>
      </c>
      <c r="AD838" s="19">
        <v>738.52352824454772</v>
      </c>
      <c r="AE838" s="19">
        <v>745.9087635269932</v>
      </c>
      <c r="AF838" s="19">
        <v>753.36785116226315</v>
      </c>
      <c r="AG838" s="19">
        <v>760.90152967388576</v>
      </c>
      <c r="AH838" s="19">
        <v>768.51054497062466</v>
      </c>
      <c r="AI838" s="19">
        <v>776.19565042033094</v>
      </c>
      <c r="AJ838" s="19">
        <v>783.95760692453428</v>
      </c>
      <c r="AK838" s="19">
        <v>791.79718299377964</v>
      </c>
      <c r="AL838" s="19">
        <v>799.7151548237174</v>
      </c>
      <c r="AM838" s="19">
        <v>807.71230637195458</v>
      </c>
      <c r="AN838" s="19">
        <v>815.78942943567415</v>
      </c>
      <c r="AO838" s="19">
        <v>823.94732373003092</v>
      </c>
      <c r="AP838" s="19">
        <v>832.18679696733125</v>
      </c>
      <c r="AQ838" s="19">
        <v>832.18679696733125</v>
      </c>
      <c r="AR838" s="19">
        <v>832.18679696733125</v>
      </c>
      <c r="AS838" s="19">
        <v>832.18679696733125</v>
      </c>
      <c r="AT838" s="2"/>
      <c r="AU838" s="2"/>
    </row>
    <row r="839" spans="1:47" hidden="1" outlineLevel="1">
      <c r="A839" s="312"/>
      <c r="B839" s="514" t="s">
        <v>438</v>
      </c>
      <c r="C839" s="750" t="s">
        <v>733</v>
      </c>
      <c r="D839" s="750"/>
      <c r="E839" s="750"/>
      <c r="F839" s="750"/>
      <c r="G839" s="750"/>
      <c r="H839" s="750"/>
      <c r="I839" s="750"/>
      <c r="J839" s="750"/>
      <c r="K839" s="514"/>
      <c r="L839" s="514"/>
      <c r="M839" s="514"/>
      <c r="N839" s="514"/>
      <c r="O839" s="514"/>
      <c r="P839" s="513"/>
      <c r="Q839" s="313"/>
      <c r="R839" s="313">
        <v>0.27300000000000002</v>
      </c>
      <c r="S839" s="313">
        <v>0.27300000000000002</v>
      </c>
      <c r="T839" s="708">
        <v>0.2</v>
      </c>
      <c r="U839" s="313">
        <v>0.18000000000000002</v>
      </c>
      <c r="V839" s="743">
        <v>0.16000000000000003</v>
      </c>
      <c r="W839" s="755">
        <v>0.14000000000000004</v>
      </c>
      <c r="X839" s="756">
        <v>0.08</v>
      </c>
      <c r="Y839" s="756">
        <v>0.04</v>
      </c>
      <c r="Z839" s="756">
        <v>0.03</v>
      </c>
      <c r="AA839" s="756">
        <v>0.03</v>
      </c>
      <c r="AB839" s="756">
        <v>0.02</v>
      </c>
      <c r="AC839" s="756">
        <v>0.02</v>
      </c>
      <c r="AD839" s="756">
        <v>0.03</v>
      </c>
      <c r="AE839" s="756">
        <v>0.03</v>
      </c>
      <c r="AF839" s="756">
        <v>0.03</v>
      </c>
      <c r="AG839" s="756">
        <v>0.03</v>
      </c>
      <c r="AH839" s="756">
        <v>0.03</v>
      </c>
      <c r="AI839" s="756">
        <v>0.03</v>
      </c>
      <c r="AJ839" s="756">
        <v>0.03</v>
      </c>
      <c r="AK839" s="756">
        <v>0.03</v>
      </c>
      <c r="AL839" s="756">
        <v>0.03</v>
      </c>
      <c r="AM839" s="756">
        <v>0.03</v>
      </c>
      <c r="AN839" s="756">
        <v>0.03</v>
      </c>
      <c r="AO839" s="757">
        <v>0.03</v>
      </c>
      <c r="AP839" s="757">
        <v>0.03</v>
      </c>
      <c r="AQ839" s="757">
        <v>0.03</v>
      </c>
      <c r="AR839" s="757">
        <v>0.03</v>
      </c>
      <c r="AS839" s="757">
        <v>0.03</v>
      </c>
      <c r="AT839" s="312"/>
      <c r="AU839" s="514"/>
    </row>
    <row r="840" spans="1:47" hidden="1" outlineLevel="1">
      <c r="A840" s="2"/>
      <c r="B840" s="2" t="s">
        <v>438</v>
      </c>
      <c r="C840" s="38" t="s">
        <v>846</v>
      </c>
      <c r="D840" s="38"/>
      <c r="E840" s="38"/>
      <c r="F840" s="38"/>
      <c r="G840" s="38"/>
      <c r="H840" s="38"/>
      <c r="I840" s="38"/>
      <c r="J840" s="38"/>
      <c r="K840" s="19"/>
      <c r="L840" s="19"/>
      <c r="M840" s="19"/>
      <c r="N840" s="19"/>
      <c r="O840" s="19"/>
      <c r="P840" s="19"/>
      <c r="Q840" s="2"/>
      <c r="R840" s="19">
        <v>119.32746965649069</v>
      </c>
      <c r="S840" s="19">
        <v>136.39129781736887</v>
      </c>
      <c r="T840" s="19">
        <v>114.20897685366491</v>
      </c>
      <c r="U840" s="19">
        <v>109.67488047257442</v>
      </c>
      <c r="V840" s="19">
        <v>105.28788525367145</v>
      </c>
      <c r="W840" s="19">
        <v>98.575782568749901</v>
      </c>
      <c r="X840" s="19">
        <v>59.708759727357062</v>
      </c>
      <c r="Y840" s="19">
        <v>30.152923662315317</v>
      </c>
      <c r="Z840" s="19">
        <v>22.162398891801757</v>
      </c>
      <c r="AA840" s="19">
        <v>21.71915091396572</v>
      </c>
      <c r="AB840" s="19">
        <v>14.62422828207025</v>
      </c>
      <c r="AC840" s="19">
        <v>14.62422828207025</v>
      </c>
      <c r="AD840" s="19">
        <v>21.936342423105376</v>
      </c>
      <c r="AE840" s="19">
        <v>22.155705847336431</v>
      </c>
      <c r="AF840" s="19">
        <v>22.377262905809793</v>
      </c>
      <c r="AG840" s="19">
        <v>22.601035534867894</v>
      </c>
      <c r="AH840" s="19">
        <v>22.827045890216571</v>
      </c>
      <c r="AI840" s="19">
        <v>23.055316349118741</v>
      </c>
      <c r="AJ840" s="19">
        <v>23.285869512609928</v>
      </c>
      <c r="AK840" s="19">
        <v>23.518728207736029</v>
      </c>
      <c r="AL840" s="19">
        <v>23.753915489813387</v>
      </c>
      <c r="AM840" s="19">
        <v>23.991454644711521</v>
      </c>
      <c r="AN840" s="19">
        <v>24.231369191158638</v>
      </c>
      <c r="AO840" s="19">
        <v>24.473682883070225</v>
      </c>
      <c r="AP840" s="19">
        <v>24.718419711900928</v>
      </c>
      <c r="AQ840" s="19">
        <v>24.718419711900928</v>
      </c>
      <c r="AR840" s="19">
        <v>24.718419711900928</v>
      </c>
      <c r="AS840" s="19">
        <v>24.718419711900928</v>
      </c>
      <c r="AT840" s="2"/>
      <c r="AU840" s="2"/>
    </row>
    <row r="841" spans="1:47" hidden="1" outlineLevel="1">
      <c r="A841" s="312"/>
      <c r="B841" s="514" t="s">
        <v>439</v>
      </c>
      <c r="C841" s="750" t="s">
        <v>733</v>
      </c>
      <c r="D841" s="750"/>
      <c r="E841" s="750"/>
      <c r="F841" s="750"/>
      <c r="G841" s="750"/>
      <c r="H841" s="750"/>
      <c r="I841" s="750"/>
      <c r="J841" s="750"/>
      <c r="K841" s="514"/>
      <c r="L841" s="514"/>
      <c r="M841" s="514"/>
      <c r="N841" s="514"/>
      <c r="O841" s="514"/>
      <c r="P841" s="513"/>
      <c r="Q841" s="313"/>
      <c r="R841" s="313">
        <v>0.13</v>
      </c>
      <c r="S841" s="313">
        <v>0.13</v>
      </c>
      <c r="T841" s="708">
        <v>0.13300000000000001</v>
      </c>
      <c r="U841" s="708">
        <v>0.1</v>
      </c>
      <c r="V841" s="743">
        <v>9.0000000000000011E-2</v>
      </c>
      <c r="W841" s="755">
        <v>8.0000000000000016E-2</v>
      </c>
      <c r="X841" s="755">
        <v>7.0000000000000021E-2</v>
      </c>
      <c r="Y841" s="755">
        <v>6.0000000000000019E-2</v>
      </c>
      <c r="Z841" s="755">
        <v>5.0000000000000017E-2</v>
      </c>
      <c r="AA841" s="756">
        <v>0.02</v>
      </c>
      <c r="AB841" s="756">
        <v>0.02</v>
      </c>
      <c r="AC841" s="756">
        <v>0.02</v>
      </c>
      <c r="AD841" s="756">
        <v>0.02</v>
      </c>
      <c r="AE841" s="756">
        <v>0.02</v>
      </c>
      <c r="AF841" s="756">
        <v>0.02</v>
      </c>
      <c r="AG841" s="756">
        <v>0.02</v>
      </c>
      <c r="AH841" s="756">
        <v>0.02</v>
      </c>
      <c r="AI841" s="756">
        <v>0.02</v>
      </c>
      <c r="AJ841" s="756">
        <v>0.02</v>
      </c>
      <c r="AK841" s="756">
        <v>0.02</v>
      </c>
      <c r="AL841" s="756">
        <v>0.02</v>
      </c>
      <c r="AM841" s="756">
        <v>0.02</v>
      </c>
      <c r="AN841" s="756">
        <v>0.02</v>
      </c>
      <c r="AO841" s="757">
        <v>0.02</v>
      </c>
      <c r="AP841" s="757">
        <v>0.02</v>
      </c>
      <c r="AQ841" s="757">
        <v>0.02</v>
      </c>
      <c r="AR841" s="757">
        <v>0.02</v>
      </c>
      <c r="AS841" s="757">
        <v>0.02</v>
      </c>
      <c r="AT841" s="312"/>
      <c r="AU841" s="514"/>
    </row>
    <row r="842" spans="1:47" hidden="1" outlineLevel="1">
      <c r="A842" s="2"/>
      <c r="B842" s="2" t="s">
        <v>439</v>
      </c>
      <c r="C842" s="38" t="s">
        <v>846</v>
      </c>
      <c r="D842" s="38"/>
      <c r="E842" s="38"/>
      <c r="F842" s="38"/>
      <c r="G842" s="38"/>
      <c r="H842" s="38"/>
      <c r="I842" s="38"/>
      <c r="J842" s="38"/>
      <c r="K842" s="19"/>
      <c r="L842" s="19"/>
      <c r="M842" s="19"/>
      <c r="N842" s="19"/>
      <c r="O842" s="19"/>
      <c r="P842" s="19"/>
      <c r="Q842" s="19"/>
      <c r="R842" s="19">
        <v>56.822604598328901</v>
      </c>
      <c r="S842" s="19">
        <v>64.948237055889933</v>
      </c>
      <c r="T842" s="19">
        <v>75.948969607687161</v>
      </c>
      <c r="U842" s="19">
        <v>60.930489151430223</v>
      </c>
      <c r="V842" s="19">
        <v>59.224435455190189</v>
      </c>
      <c r="W842" s="19">
        <v>56.329018610714222</v>
      </c>
      <c r="X842" s="19">
        <v>52.245164761437444</v>
      </c>
      <c r="Y842" s="19">
        <v>45.229385493472989</v>
      </c>
      <c r="Z842" s="19">
        <v>36.937331486336276</v>
      </c>
      <c r="AA842" s="19">
        <v>14.479433942643814</v>
      </c>
      <c r="AB842" s="19">
        <v>14.62422828207025</v>
      </c>
      <c r="AC842" s="19">
        <v>14.62422828207025</v>
      </c>
      <c r="AD842" s="19">
        <v>14.62422828207025</v>
      </c>
      <c r="AE842" s="19">
        <v>14.770470564890955</v>
      </c>
      <c r="AF842" s="19">
        <v>14.918175270539864</v>
      </c>
      <c r="AG842" s="19">
        <v>15.067357023245263</v>
      </c>
      <c r="AH842" s="19">
        <v>15.218030593477716</v>
      </c>
      <c r="AI842" s="19">
        <v>15.370210899412493</v>
      </c>
      <c r="AJ842" s="19">
        <v>15.52391300840662</v>
      </c>
      <c r="AK842" s="19">
        <v>15.679152138490686</v>
      </c>
      <c r="AL842" s="19">
        <v>15.835943659875593</v>
      </c>
      <c r="AM842" s="19">
        <v>15.994303096474349</v>
      </c>
      <c r="AN842" s="19">
        <v>16.154246127439091</v>
      </c>
      <c r="AO842" s="19">
        <v>16.315788588713485</v>
      </c>
      <c r="AP842" s="19">
        <v>16.478946474600619</v>
      </c>
      <c r="AQ842" s="19">
        <v>16.478946474600619</v>
      </c>
      <c r="AR842" s="19">
        <v>16.478946474600619</v>
      </c>
      <c r="AS842" s="19">
        <v>16.478946474600619</v>
      </c>
      <c r="AT842" s="2"/>
      <c r="AU842" s="2"/>
    </row>
    <row r="843" spans="1:47" hidden="1" outlineLevel="1">
      <c r="A843" s="2"/>
      <c r="B843" s="2" t="s">
        <v>440</v>
      </c>
      <c r="C843" s="38" t="s">
        <v>846</v>
      </c>
      <c r="D843" s="38"/>
      <c r="E843" s="38"/>
      <c r="F843" s="38"/>
      <c r="G843" s="38"/>
      <c r="H843" s="38"/>
      <c r="I843" s="38"/>
      <c r="J843" s="38"/>
      <c r="K843" s="570">
        <v>87.416910000000001</v>
      </c>
      <c r="L843" s="19">
        <v>77.630521499999929</v>
      </c>
      <c r="M843" s="19">
        <v>54.836895940312502</v>
      </c>
      <c r="N843" s="19">
        <v>44.613731768582852</v>
      </c>
      <c r="O843" s="19">
        <v>-9.0427160525900945</v>
      </c>
      <c r="P843" s="19">
        <v>23.477151551536963</v>
      </c>
      <c r="Q843" s="19">
        <v>67.41296374084169</v>
      </c>
      <c r="R843" s="19">
        <v>62.504865058161791</v>
      </c>
      <c r="S843" s="19">
        <v>71.443060761478932</v>
      </c>
      <c r="T843" s="19">
        <v>38.260007245977746</v>
      </c>
      <c r="U843" s="19">
        <v>48.744391321144192</v>
      </c>
      <c r="V843" s="19">
        <v>46.063449798481258</v>
      </c>
      <c r="W843" s="19">
        <v>42.246763958035679</v>
      </c>
      <c r="X843" s="19">
        <v>7.4635949659196186</v>
      </c>
      <c r="Y843" s="19">
        <v>-15.076461831157673</v>
      </c>
      <c r="Z843" s="19">
        <v>-14.774932594534519</v>
      </c>
      <c r="AA843" s="19">
        <v>7.2397169713219061</v>
      </c>
      <c r="AB843" s="19">
        <v>0</v>
      </c>
      <c r="AC843" s="19">
        <v>0</v>
      </c>
      <c r="AD843" s="19">
        <v>7.312114141035126</v>
      </c>
      <c r="AE843" s="19">
        <v>7.3852352824454766</v>
      </c>
      <c r="AF843" s="19">
        <v>7.4590876352699294</v>
      </c>
      <c r="AG843" s="19">
        <v>7.5336785116226306</v>
      </c>
      <c r="AH843" s="19">
        <v>7.6090152967388551</v>
      </c>
      <c r="AI843" s="19">
        <v>7.6851054497062474</v>
      </c>
      <c r="AJ843" s="19">
        <v>7.7619565042033081</v>
      </c>
      <c r="AK843" s="19">
        <v>7.8395760692453429</v>
      </c>
      <c r="AL843" s="19">
        <v>7.9179718299377946</v>
      </c>
      <c r="AM843" s="19">
        <v>7.9971515482371718</v>
      </c>
      <c r="AN843" s="19">
        <v>8.0771230637195472</v>
      </c>
      <c r="AO843" s="19">
        <v>8.1578942943567405</v>
      </c>
      <c r="AP843" s="19">
        <v>8.2394732373003094</v>
      </c>
      <c r="AQ843" s="19">
        <v>8.2394732373003094</v>
      </c>
      <c r="AR843" s="19">
        <v>8.2394732373003094</v>
      </c>
      <c r="AS843" s="19">
        <v>8.2394732373003094</v>
      </c>
      <c r="AT843" s="2"/>
      <c r="AU843" s="2"/>
    </row>
    <row r="844" spans="1:47" hidden="1" outlineLevel="1">
      <c r="A844" s="2"/>
      <c r="B844" s="2" t="s">
        <v>475</v>
      </c>
      <c r="C844" s="38" t="s">
        <v>846</v>
      </c>
      <c r="D844" s="38"/>
      <c r="E844" s="38"/>
      <c r="F844" s="38"/>
      <c r="G844" s="38"/>
      <c r="H844" s="38"/>
      <c r="I844" s="38"/>
      <c r="J844" s="38"/>
      <c r="K844" s="570">
        <v>635.01534281249985</v>
      </c>
      <c r="L844" s="19">
        <v>743.9739359906248</v>
      </c>
      <c r="M844" s="19">
        <v>798.01272911390583</v>
      </c>
      <c r="N844" s="19">
        <v>834.55452004629342</v>
      </c>
      <c r="O844" s="19">
        <v>903.89867011568049</v>
      </c>
      <c r="P844" s="19">
        <v>1023.3619265266802</v>
      </c>
      <c r="Q844" s="19">
        <v>1130.025725970338</v>
      </c>
      <c r="R844" s="19">
        <v>1291.6194047840966</v>
      </c>
      <c r="S844" s="19">
        <v>1367.0225534519616</v>
      </c>
      <c r="T844" s="19">
        <v>1458.613064533243</v>
      </c>
      <c r="U844" s="19">
        <v>1541.3297827751448</v>
      </c>
      <c r="V844" s="19">
        <v>1580.3269885741083</v>
      </c>
      <c r="W844" s="19">
        <v>1615.5640384846226</v>
      </c>
      <c r="X844" s="19">
        <v>1640.4117242883954</v>
      </c>
      <c r="Y844" s="19">
        <v>1616.4693761299327</v>
      </c>
      <c r="Z844" s="19">
        <v>1636.8033533915263</v>
      </c>
      <c r="AA844" s="19">
        <v>1680.5563366132217</v>
      </c>
      <c r="AB844" s="19">
        <v>1690.0497858383187</v>
      </c>
      <c r="AC844" s="19">
        <v>1709.2265532730148</v>
      </c>
      <c r="AD844" s="19">
        <v>1716.53866741405</v>
      </c>
      <c r="AE844" s="19">
        <v>1723.9239026964956</v>
      </c>
      <c r="AF844" s="19">
        <v>1731.3829903317655</v>
      </c>
      <c r="AG844" s="19">
        <v>1738.9166688433882</v>
      </c>
      <c r="AH844" s="19">
        <v>1746.5256841401269</v>
      </c>
      <c r="AI844" s="19">
        <v>1754.2107895898334</v>
      </c>
      <c r="AJ844" s="19">
        <v>1761.9727460940367</v>
      </c>
      <c r="AK844" s="19">
        <v>1769.812322163282</v>
      </c>
      <c r="AL844" s="19">
        <v>1777.7302939932197</v>
      </c>
      <c r="AM844" s="19">
        <v>1785.727445541457</v>
      </c>
      <c r="AN844" s="19">
        <v>1793.8045686051764</v>
      </c>
      <c r="AO844" s="19">
        <v>1801.9624628995334</v>
      </c>
      <c r="AP844" s="19">
        <v>1810.2019361368336</v>
      </c>
      <c r="AQ844" s="19">
        <v>1810.2019361368336</v>
      </c>
      <c r="AR844" s="19">
        <v>1810.2019361368336</v>
      </c>
      <c r="AS844" s="19">
        <v>1810.2019361368336</v>
      </c>
      <c r="AT844" s="2"/>
      <c r="AU844" s="2"/>
    </row>
    <row r="845" spans="1:47" hidden="1" outlineLevel="1">
      <c r="A845" s="312"/>
      <c r="B845" s="758" t="s">
        <v>614</v>
      </c>
      <c r="C845" s="750" t="s">
        <v>733</v>
      </c>
      <c r="D845" s="750"/>
      <c r="E845" s="750"/>
      <c r="F845" s="750"/>
      <c r="G845" s="750"/>
      <c r="H845" s="750"/>
      <c r="I845" s="750"/>
      <c r="J845" s="750"/>
      <c r="K845" s="751">
        <v>0.28282623591513567</v>
      </c>
      <c r="L845" s="514">
        <v>0.17158418991192304</v>
      </c>
      <c r="M845" s="514">
        <v>7.2635331036599693E-2</v>
      </c>
      <c r="N845" s="514">
        <v>4.579098753595412E-2</v>
      </c>
      <c r="O845" s="514">
        <v>8.3091216216216068E-2</v>
      </c>
      <c r="P845" s="513">
        <v>0.13216443431176961</v>
      </c>
      <c r="Q845" s="513">
        <v>0.1042288135593219</v>
      </c>
      <c r="R845" s="513">
        <v>0.14300000000000024</v>
      </c>
      <c r="S845" s="513">
        <v>5.8378767296755729E-2</v>
      </c>
      <c r="T845" s="514">
        <v>6.6999999999999948E-2</v>
      </c>
      <c r="U845" s="514">
        <v>5.6709157660240317E-2</v>
      </c>
      <c r="V845" s="513">
        <v>2.5301013601871425E-2</v>
      </c>
      <c r="W845" s="513">
        <v>2.2297315786720784E-2</v>
      </c>
      <c r="X845" s="514">
        <v>1.5380192435503481E-2</v>
      </c>
      <c r="Y845" s="514">
        <v>-1.4595328601939128E-2</v>
      </c>
      <c r="Z845" s="513">
        <v>1.2579253007734881E-2</v>
      </c>
      <c r="AA845" s="513">
        <v>2.6730751211522907E-2</v>
      </c>
      <c r="AB845" s="513">
        <v>5.6489919547886291E-3</v>
      </c>
      <c r="AC845" s="513">
        <v>1.1346865397331429E-2</v>
      </c>
      <c r="AD845" s="513">
        <v>4.2780251260625679E-3</v>
      </c>
      <c r="AE845" s="513">
        <v>4.3023996037161449E-3</v>
      </c>
      <c r="AF845" s="513">
        <v>4.3268079429739092E-3</v>
      </c>
      <c r="AG845" s="513">
        <v>4.3512490036528018E-3</v>
      </c>
      <c r="AH845" s="513">
        <v>4.3757216392661391E-3</v>
      </c>
      <c r="AI845" s="513">
        <v>4.4002246972336678E-3</v>
      </c>
      <c r="AJ845" s="513">
        <v>4.4247570190911745E-3</v>
      </c>
      <c r="AK845" s="513">
        <v>4.449317440706313E-3</v>
      </c>
      <c r="AL845" s="513">
        <v>4.4739047924919895E-3</v>
      </c>
      <c r="AM845" s="513">
        <v>4.4985178996268527E-3</v>
      </c>
      <c r="AN845" s="513">
        <v>4.5231555822733416E-3</v>
      </c>
      <c r="AO845" s="513">
        <v>4.5478166558023947E-3</v>
      </c>
      <c r="AP845" s="513">
        <v>4.5724999310152725E-3</v>
      </c>
      <c r="AQ845" s="513">
        <v>4.5724999310152725E-3</v>
      </c>
      <c r="AR845" s="513">
        <v>4.5724999310152725E-3</v>
      </c>
      <c r="AS845" s="513">
        <v>4.5724999310152725E-3</v>
      </c>
      <c r="AT845" s="312"/>
      <c r="AU845" s="514"/>
    </row>
    <row r="846" spans="1:47" hidden="1" outlineLevel="1">
      <c r="A846" s="2"/>
      <c r="B846" s="2" t="s">
        <v>615</v>
      </c>
      <c r="C846" s="38" t="s">
        <v>846</v>
      </c>
      <c r="D846" s="38"/>
      <c r="E846" s="38"/>
      <c r="F846" s="38"/>
      <c r="G846" s="38"/>
      <c r="H846" s="38"/>
      <c r="I846" s="38"/>
      <c r="J846" s="38"/>
      <c r="K846" s="570">
        <v>140.00259281249998</v>
      </c>
      <c r="L846" s="19">
        <v>108.95859317812494</v>
      </c>
      <c r="M846" s="19">
        <v>54.038793123281039</v>
      </c>
      <c r="N846" s="19">
        <v>36.541790932387585</v>
      </c>
      <c r="O846" s="19">
        <v>69.344150069387069</v>
      </c>
      <c r="P846" s="19">
        <v>119.46325641099975</v>
      </c>
      <c r="Q846" s="19">
        <v>106.66379944365781</v>
      </c>
      <c r="R846" s="19">
        <v>161.59367881375852</v>
      </c>
      <c r="S846" s="19">
        <v>75.403148667865025</v>
      </c>
      <c r="T846" s="19">
        <v>91.59051108128142</v>
      </c>
      <c r="U846" s="19">
        <v>82.716718241901845</v>
      </c>
      <c r="V846" s="19">
        <v>38.997205798963478</v>
      </c>
      <c r="W846" s="19">
        <v>35.237049910514315</v>
      </c>
      <c r="X846" s="19">
        <v>24.84768580377272</v>
      </c>
      <c r="Y846" s="19">
        <v>-23.942348158462664</v>
      </c>
      <c r="Z846" s="19">
        <v>20.333977261593645</v>
      </c>
      <c r="AA846" s="19">
        <v>43.752983221695331</v>
      </c>
      <c r="AB846" s="19">
        <v>9.4934492250970379</v>
      </c>
      <c r="AC846" s="19">
        <v>19.176767434696103</v>
      </c>
      <c r="AD846" s="19">
        <v>7.3121141410351811</v>
      </c>
      <c r="AE846" s="19">
        <v>7.385235282445592</v>
      </c>
      <c r="AF846" s="19">
        <v>7.4590876352699524</v>
      </c>
      <c r="AG846" s="19">
        <v>7.533678511622611</v>
      </c>
      <c r="AH846" s="19">
        <v>7.6090152967387894</v>
      </c>
      <c r="AI846" s="19">
        <v>7.6851054497064979</v>
      </c>
      <c r="AJ846" s="19">
        <v>7.7619565042032264</v>
      </c>
      <c r="AK846" s="19">
        <v>7.8395760692453678</v>
      </c>
      <c r="AL846" s="19">
        <v>7.9179718299376418</v>
      </c>
      <c r="AM846" s="19">
        <v>7.9971515482372979</v>
      </c>
      <c r="AN846" s="19">
        <v>8.0771230637194549</v>
      </c>
      <c r="AO846" s="19">
        <v>8.1578942943569928</v>
      </c>
      <c r="AP846" s="19">
        <v>8.2394732373002171</v>
      </c>
      <c r="AQ846" s="19">
        <v>8.2394732373002171</v>
      </c>
      <c r="AR846" s="19">
        <v>8.2394732373002171</v>
      </c>
      <c r="AS846" s="19">
        <v>8.2394732373002171</v>
      </c>
      <c r="AT846" s="2"/>
      <c r="AU846" s="2"/>
    </row>
    <row r="847" spans="1:47" hidden="1" outlineLevel="1">
      <c r="A847" s="312"/>
      <c r="B847" s="758" t="s">
        <v>758</v>
      </c>
      <c r="C847" s="750" t="s">
        <v>733</v>
      </c>
      <c r="D847" s="750"/>
      <c r="E847" s="750"/>
      <c r="F847" s="750"/>
      <c r="G847" s="750"/>
      <c r="H847" s="750"/>
      <c r="I847" s="750"/>
      <c r="J847" s="750"/>
      <c r="K847" s="751">
        <v>0.13667663043478259</v>
      </c>
      <c r="L847" s="514">
        <v>0.15933152173913043</v>
      </c>
      <c r="M847" s="514">
        <v>0.17005434782608692</v>
      </c>
      <c r="N847" s="514">
        <v>0.1769565217391304</v>
      </c>
      <c r="O847" s="514">
        <v>0.19070652173913041</v>
      </c>
      <c r="P847" s="513">
        <v>0.21483695652173912</v>
      </c>
      <c r="Q847" s="513">
        <v>0.23604891304347828</v>
      </c>
      <c r="R847" s="513">
        <v>0.26846159961064248</v>
      </c>
      <c r="S847" s="513">
        <v>0.28272045458947964</v>
      </c>
      <c r="T847" s="514">
        <v>0.30016191546962667</v>
      </c>
      <c r="U847" s="514">
        <v>0.31560581577870001</v>
      </c>
      <c r="V847" s="513">
        <v>0.32198105752890216</v>
      </c>
      <c r="W847" s="513">
        <v>0.32752275706066308</v>
      </c>
      <c r="X847" s="514">
        <v>0.33090559213060977</v>
      </c>
      <c r="Y847" s="514">
        <v>0.32445364803705901</v>
      </c>
      <c r="Z847" s="513">
        <v>0.32690052991542257</v>
      </c>
      <c r="AA847" s="513">
        <v>0.33396898174279288</v>
      </c>
      <c r="AB847" s="513">
        <v>0.33418464660080294</v>
      </c>
      <c r="AC847" s="513">
        <v>0.33629511920759902</v>
      </c>
      <c r="AD847" s="513">
        <v>0.3360535305247177</v>
      </c>
      <c r="AE847" s="513">
        <v>0.33582026577241264</v>
      </c>
      <c r="AF847" s="513">
        <v>0.33559531897091377</v>
      </c>
      <c r="AG847" s="513">
        <v>0.33537868434648416</v>
      </c>
      <c r="AH847" s="513">
        <v>0.3351703563312714</v>
      </c>
      <c r="AI847" s="513">
        <v>0.33497032956316508</v>
      </c>
      <c r="AJ847" s="513">
        <v>0.33477859888565881</v>
      </c>
      <c r="AK847" s="513">
        <v>0.33459515934771744</v>
      </c>
      <c r="AL847" s="513">
        <v>0.33442000620364959</v>
      </c>
      <c r="AM847" s="513">
        <v>0.33425313491298503</v>
      </c>
      <c r="AN847" s="513">
        <v>0.33409454114035736</v>
      </c>
      <c r="AO847" s="513">
        <v>0.33394422075539121</v>
      </c>
      <c r="AP847" s="513">
        <v>0.33380216983259525</v>
      </c>
      <c r="AQ847" s="513">
        <v>0.33380216983259525</v>
      </c>
      <c r="AR847" s="513">
        <v>0.33380216983259525</v>
      </c>
      <c r="AS847" s="513">
        <v>0.33380216983259525</v>
      </c>
      <c r="AT847" s="312"/>
      <c r="AU847" s="514"/>
    </row>
    <row r="848" spans="1:47" hidden="1" outlineLevel="1">
      <c r="A848" s="312"/>
      <c r="B848" s="758" t="s">
        <v>759</v>
      </c>
      <c r="C848" s="750" t="s">
        <v>733</v>
      </c>
      <c r="D848" s="750"/>
      <c r="E848" s="750"/>
      <c r="F848" s="750"/>
      <c r="G848" s="750"/>
      <c r="H848" s="750"/>
      <c r="I848" s="750"/>
      <c r="J848" s="750"/>
      <c r="K848" s="751">
        <v>0.71942660596059405</v>
      </c>
      <c r="L848" s="514">
        <v>0.6561721867858239</v>
      </c>
      <c r="M848" s="514">
        <v>0.61073825503355705</v>
      </c>
      <c r="N848" s="514">
        <v>0.57432432432432423</v>
      </c>
      <c r="O848" s="514">
        <v>0.61698489598176098</v>
      </c>
      <c r="P848" s="513">
        <v>0.63875537566405249</v>
      </c>
      <c r="Q848" s="513">
        <v>0.61319733842930491</v>
      </c>
      <c r="R848" s="513">
        <v>0.61319733842930479</v>
      </c>
      <c r="S848" s="513">
        <v>0.58227105849399463</v>
      </c>
      <c r="T848" s="514">
        <v>0.58227105849399474</v>
      </c>
      <c r="U848" s="514">
        <v>0.57306392818113394</v>
      </c>
      <c r="V848" s="513">
        <v>0.55445123843057831</v>
      </c>
      <c r="W848" s="513">
        <v>0.53801924355035879</v>
      </c>
      <c r="X848" s="514">
        <v>0.54046713980608219</v>
      </c>
      <c r="Y848" s="514">
        <v>0.54298755012891475</v>
      </c>
      <c r="Z848" s="513">
        <v>0.55769170705076421</v>
      </c>
      <c r="AA848" s="513">
        <v>0.56489919547886003</v>
      </c>
      <c r="AB848" s="513">
        <v>0.56734326986656891</v>
      </c>
      <c r="AC848" s="513">
        <v>0.5721974873937522</v>
      </c>
      <c r="AD848" s="513">
        <v>0.5697600396283955</v>
      </c>
      <c r="AE848" s="513">
        <v>0.56731920570260008</v>
      </c>
      <c r="AF848" s="513">
        <v>0.56487509963471239</v>
      </c>
      <c r="AG848" s="513">
        <v>0.56242783607337155</v>
      </c>
      <c r="AH848" s="513">
        <v>0.55997753027663721</v>
      </c>
      <c r="AI848" s="513">
        <v>0.55752429809086979</v>
      </c>
      <c r="AJ848" s="513">
        <v>0.55506825592937159</v>
      </c>
      <c r="AK848" s="513">
        <v>0.55260952075079472</v>
      </c>
      <c r="AL848" s="513">
        <v>0.55014821003732783</v>
      </c>
      <c r="AM848" s="513">
        <v>0.5476844417726664</v>
      </c>
      <c r="AN848" s="513">
        <v>0.54521833441977785</v>
      </c>
      <c r="AO848" s="513">
        <v>0.54275000689846808</v>
      </c>
      <c r="AP848" s="513">
        <v>0.54027957856276099</v>
      </c>
      <c r="AQ848" s="513">
        <v>0.54027957856276099</v>
      </c>
      <c r="AR848" s="513">
        <v>0.54027957856276099</v>
      </c>
      <c r="AS848" s="513">
        <v>0.54027957856276099</v>
      </c>
      <c r="AT848" s="312"/>
      <c r="AU848" s="514"/>
    </row>
    <row r="849" spans="1:47" hidden="1" outlineLevel="1">
      <c r="A849" s="312"/>
      <c r="B849" s="758" t="s">
        <v>760</v>
      </c>
      <c r="C849" s="750" t="s">
        <v>733</v>
      </c>
      <c r="D849" s="750"/>
      <c r="E849" s="750"/>
      <c r="F849" s="750"/>
      <c r="G849" s="750"/>
      <c r="H849" s="750"/>
      <c r="I849" s="750"/>
      <c r="J849" s="750"/>
      <c r="K849" s="751">
        <v>0.28057339403940601</v>
      </c>
      <c r="L849" s="514">
        <v>0.34382781321417605</v>
      </c>
      <c r="M849" s="514">
        <v>0.38926174496644306</v>
      </c>
      <c r="N849" s="514">
        <v>0.42567567567567582</v>
      </c>
      <c r="O849" s="514">
        <v>0.38301510401823891</v>
      </c>
      <c r="P849" s="513">
        <v>0.36124462433594756</v>
      </c>
      <c r="Q849" s="513">
        <v>0.38680266157069521</v>
      </c>
      <c r="R849" s="513">
        <v>0.38680266157069515</v>
      </c>
      <c r="S849" s="513">
        <v>0.41772894150600531</v>
      </c>
      <c r="T849" s="514">
        <v>0.41772894150600531</v>
      </c>
      <c r="U849" s="514">
        <v>0.42693607181886606</v>
      </c>
      <c r="V849" s="513">
        <v>0.44554876156942175</v>
      </c>
      <c r="W849" s="513">
        <v>0.46198075644964126</v>
      </c>
      <c r="X849" s="514">
        <v>0.45953286019391787</v>
      </c>
      <c r="Y849" s="514">
        <v>0.45701244987108519</v>
      </c>
      <c r="Z849" s="513">
        <v>0.44230829294923574</v>
      </c>
      <c r="AA849" s="513">
        <v>0.43510080452114003</v>
      </c>
      <c r="AB849" s="513">
        <v>0.43265673013343114</v>
      </c>
      <c r="AC849" s="513">
        <v>0.42780251260624791</v>
      </c>
      <c r="AD849" s="513">
        <v>0.43023996037160456</v>
      </c>
      <c r="AE849" s="513">
        <v>0.43268079429739986</v>
      </c>
      <c r="AF849" s="513">
        <v>0.43512490036528756</v>
      </c>
      <c r="AG849" s="513">
        <v>0.43757216392662845</v>
      </c>
      <c r="AH849" s="513">
        <v>0.4400224697233629</v>
      </c>
      <c r="AI849" s="513">
        <v>0.4424757019091301</v>
      </c>
      <c r="AJ849" s="513">
        <v>0.44493174407062841</v>
      </c>
      <c r="AK849" s="513">
        <v>0.44739047924920528</v>
      </c>
      <c r="AL849" s="513">
        <v>0.44985178996267222</v>
      </c>
      <c r="AM849" s="513">
        <v>0.4523155582273336</v>
      </c>
      <c r="AN849" s="513">
        <v>0.45478166558022221</v>
      </c>
      <c r="AO849" s="513">
        <v>0.4572499931015318</v>
      </c>
      <c r="AP849" s="513">
        <v>0.45972042143723907</v>
      </c>
      <c r="AQ849" s="513">
        <v>0.45972042143723907</v>
      </c>
      <c r="AR849" s="513">
        <v>0.45972042143723907</v>
      </c>
      <c r="AS849" s="513">
        <v>0.45972042143723907</v>
      </c>
      <c r="AT849" s="312"/>
      <c r="AU849" s="514"/>
    </row>
    <row r="850" spans="1:47" hidden="1" outlineLevel="1">
      <c r="A850" s="2"/>
      <c r="B850" s="2" t="s">
        <v>761</v>
      </c>
      <c r="C850" s="38" t="s">
        <v>846</v>
      </c>
      <c r="D850" s="38"/>
      <c r="E850" s="38"/>
      <c r="F850" s="38"/>
      <c r="G850" s="38"/>
      <c r="H850" s="38"/>
      <c r="I850" s="38"/>
      <c r="J850" s="38"/>
      <c r="K850" s="570">
        <v>430.55409140624988</v>
      </c>
      <c r="L850" s="19">
        <v>472.51096865156234</v>
      </c>
      <c r="M850" s="19">
        <v>487.77595308210914</v>
      </c>
      <c r="N850" s="19">
        <v>483.34093125549578</v>
      </c>
      <c r="O850" s="19">
        <v>518.49839389838667</v>
      </c>
      <c r="P850" s="19">
        <v>605.68487938910675</v>
      </c>
      <c r="Q850" s="19">
        <v>673.30334967024623</v>
      </c>
      <c r="R850" s="19">
        <v>742.47317439945255</v>
      </c>
      <c r="S850" s="19">
        <v>793.99762523044399</v>
      </c>
      <c r="T850" s="19">
        <v>822.64292110128895</v>
      </c>
      <c r="U850" s="19">
        <v>866.29433647931955</v>
      </c>
      <c r="V850" s="19">
        <v>879.74737793993961</v>
      </c>
      <c r="W850" s="19">
        <v>872.70939891642001</v>
      </c>
      <c r="X850" s="19">
        <v>877.8965873115859</v>
      </c>
      <c r="Y850" s="19">
        <v>882.15568956685991</v>
      </c>
      <c r="Z850" s="19">
        <v>895.2772013312715</v>
      </c>
      <c r="AA850" s="19">
        <v>931.08828938452234</v>
      </c>
      <c r="AB850" s="19">
        <v>954.09164712225765</v>
      </c>
      <c r="AC850" s="19">
        <v>968.42675545215434</v>
      </c>
      <c r="AD850" s="19">
        <v>978.01513916950239</v>
      </c>
      <c r="AE850" s="19">
        <v>978.01513916950239</v>
      </c>
      <c r="AF850" s="19">
        <v>978.01513916950239</v>
      </c>
      <c r="AG850" s="19">
        <v>978.01513916950239</v>
      </c>
      <c r="AH850" s="19">
        <v>978.01513916950239</v>
      </c>
      <c r="AI850" s="19">
        <v>978.01513916950239</v>
      </c>
      <c r="AJ850" s="19">
        <v>978.01513916950239</v>
      </c>
      <c r="AK850" s="19">
        <v>978.01513916950239</v>
      </c>
      <c r="AL850" s="19">
        <v>978.01513916950239</v>
      </c>
      <c r="AM850" s="19">
        <v>978.01513916950239</v>
      </c>
      <c r="AN850" s="19">
        <v>978.01513916950239</v>
      </c>
      <c r="AO850" s="19">
        <v>978.01513916950239</v>
      </c>
      <c r="AP850" s="19">
        <v>978.01513916950239</v>
      </c>
      <c r="AQ850" s="19">
        <v>978.01513916950239</v>
      </c>
      <c r="AR850" s="19">
        <v>978.01513916950239</v>
      </c>
      <c r="AS850" s="19">
        <v>978.01513916950239</v>
      </c>
      <c r="AT850" s="2"/>
      <c r="AU850" s="2"/>
    </row>
    <row r="851" spans="1:47" hidden="1" outlineLevel="1">
      <c r="A851" s="2"/>
      <c r="B851" s="2" t="s">
        <v>93</v>
      </c>
      <c r="C851" s="38" t="s">
        <v>846</v>
      </c>
      <c r="D851" s="38"/>
      <c r="E851" s="38"/>
      <c r="F851" s="38"/>
      <c r="G851" s="38"/>
      <c r="H851" s="38"/>
      <c r="I851" s="38"/>
      <c r="J851" s="38"/>
      <c r="K851" s="570">
        <v>134.45995499999998</v>
      </c>
      <c r="L851" s="19">
        <v>216.98367074999996</v>
      </c>
      <c r="M851" s="19">
        <v>283.21737947015617</v>
      </c>
      <c r="N851" s="19">
        <v>332.94269332460385</v>
      </c>
      <c r="O851" s="19">
        <v>350.72820118260023</v>
      </c>
      <c r="P851" s="19">
        <v>357.94541893207366</v>
      </c>
      <c r="Q851" s="19">
        <v>403.39047657826302</v>
      </c>
      <c r="R851" s="19">
        <v>468.34939097776476</v>
      </c>
      <c r="S851" s="19">
        <v>535.32335388758509</v>
      </c>
      <c r="T851" s="19">
        <v>590.17488789131335</v>
      </c>
      <c r="U851" s="19">
        <v>633.67708717487426</v>
      </c>
      <c r="V851" s="19">
        <v>681.08100773468709</v>
      </c>
      <c r="W851" s="19">
        <v>725.23611461294547</v>
      </c>
      <c r="X851" s="19">
        <v>750.0912940749231</v>
      </c>
      <c r="Y851" s="19">
        <v>746.28486064230401</v>
      </c>
      <c r="Z851" s="19">
        <v>731.35916342945802</v>
      </c>
      <c r="AA851" s="19">
        <v>727.59155561785155</v>
      </c>
      <c r="AB851" s="19">
        <v>731.21141410351254</v>
      </c>
      <c r="AC851" s="19">
        <v>731.21141410351254</v>
      </c>
      <c r="AD851" s="19">
        <v>734.86747117403013</v>
      </c>
      <c r="AE851" s="19">
        <v>742.2161458857704</v>
      </c>
      <c r="AF851" s="19">
        <v>749.63830734462817</v>
      </c>
      <c r="AG851" s="19">
        <v>757.13469041807446</v>
      </c>
      <c r="AH851" s="19">
        <v>764.70603732225527</v>
      </c>
      <c r="AI851" s="19">
        <v>772.3530976954778</v>
      </c>
      <c r="AJ851" s="19">
        <v>780.07662867243266</v>
      </c>
      <c r="AK851" s="19">
        <v>787.87739495915696</v>
      </c>
      <c r="AL851" s="19">
        <v>795.75616890874858</v>
      </c>
      <c r="AM851" s="19">
        <v>803.71373059783605</v>
      </c>
      <c r="AN851" s="19">
        <v>811.75086790381442</v>
      </c>
      <c r="AO851" s="19">
        <v>819.86837658285253</v>
      </c>
      <c r="AP851" s="19">
        <v>828.06706034868103</v>
      </c>
      <c r="AQ851" s="19">
        <v>828.06706034868103</v>
      </c>
      <c r="AR851" s="19">
        <v>828.06706034868103</v>
      </c>
      <c r="AS851" s="19">
        <v>828.06706034868103</v>
      </c>
      <c r="AT851" s="2"/>
      <c r="AU851" s="2"/>
    </row>
    <row r="852" spans="1:47" hidden="1" outlineLevel="1">
      <c r="A852" s="2"/>
      <c r="B852" s="2" t="s">
        <v>94</v>
      </c>
      <c r="C852" s="38" t="s">
        <v>846</v>
      </c>
      <c r="D852" s="38"/>
      <c r="E852" s="38"/>
      <c r="F852" s="38"/>
      <c r="G852" s="38"/>
      <c r="H852" s="38"/>
      <c r="I852" s="38"/>
      <c r="J852" s="38"/>
      <c r="K852" s="570">
        <v>565.01404640624992</v>
      </c>
      <c r="L852" s="19">
        <v>689.49463940156227</v>
      </c>
      <c r="M852" s="19">
        <v>770.99333255226531</v>
      </c>
      <c r="N852" s="19">
        <v>816.28362458009963</v>
      </c>
      <c r="O852" s="19">
        <v>869.22659508098695</v>
      </c>
      <c r="P852" s="19">
        <v>963.63029832118036</v>
      </c>
      <c r="Q852" s="19">
        <v>1076.6938262485091</v>
      </c>
      <c r="R852" s="19">
        <v>1210.8225653772174</v>
      </c>
      <c r="S852" s="19">
        <v>1329.3209791180291</v>
      </c>
      <c r="T852" s="19">
        <v>1412.8178089926023</v>
      </c>
      <c r="U852" s="19">
        <v>1499.9714236541938</v>
      </c>
      <c r="V852" s="19">
        <v>1560.8283856746266</v>
      </c>
      <c r="W852" s="19">
        <v>1597.9455135293656</v>
      </c>
      <c r="X852" s="19">
        <v>1627.9878813865089</v>
      </c>
      <c r="Y852" s="19">
        <v>1628.440550209164</v>
      </c>
      <c r="Z852" s="19">
        <v>1626.6363647607295</v>
      </c>
      <c r="AA852" s="19">
        <v>1658.6798450023739</v>
      </c>
      <c r="AB852" s="19">
        <v>1685.3030612257703</v>
      </c>
      <c r="AC852" s="19">
        <v>1699.638169555667</v>
      </c>
      <c r="AD852" s="19">
        <v>1712.8826103435326</v>
      </c>
      <c r="AE852" s="19">
        <v>1720.2312850552728</v>
      </c>
      <c r="AF852" s="19">
        <v>1727.6534465141306</v>
      </c>
      <c r="AG852" s="19">
        <v>1735.1498295875767</v>
      </c>
      <c r="AH852" s="19">
        <v>1742.7211764917577</v>
      </c>
      <c r="AI852" s="19">
        <v>1750.3682368649802</v>
      </c>
      <c r="AJ852" s="19">
        <v>1758.0917678419351</v>
      </c>
      <c r="AK852" s="19">
        <v>1765.8925341286595</v>
      </c>
      <c r="AL852" s="19">
        <v>1773.771308078251</v>
      </c>
      <c r="AM852" s="19">
        <v>1781.7288697673384</v>
      </c>
      <c r="AN852" s="19">
        <v>1789.7660070733168</v>
      </c>
      <c r="AO852" s="19">
        <v>1797.8835157523549</v>
      </c>
      <c r="AP852" s="19">
        <v>1806.0821995181834</v>
      </c>
      <c r="AQ852" s="19">
        <v>1806.0821995181834</v>
      </c>
      <c r="AR852" s="19">
        <v>1806.0821995181834</v>
      </c>
      <c r="AS852" s="19">
        <v>1806.0821995181834</v>
      </c>
      <c r="AT852" s="2"/>
      <c r="AU852" s="2"/>
    </row>
    <row r="853" spans="1:47" hidden="1" outlineLevel="1">
      <c r="A853" s="2"/>
      <c r="B853" s="2"/>
      <c r="C853" s="38"/>
      <c r="D853" s="38"/>
      <c r="E853" s="38"/>
      <c r="F853" s="38"/>
      <c r="G853" s="38"/>
      <c r="H853" s="38"/>
      <c r="I853" s="38"/>
      <c r="J853" s="38"/>
      <c r="K853" s="19"/>
      <c r="L853" s="19"/>
      <c r="M853" s="19"/>
      <c r="N853" s="19"/>
      <c r="O853" s="19"/>
      <c r="P853" s="19"/>
      <c r="Q853" s="19"/>
      <c r="R853" s="19"/>
      <c r="S853" s="19"/>
      <c r="T853" s="19"/>
      <c r="U853" s="19"/>
      <c r="V853" s="19"/>
      <c r="W853" s="19"/>
      <c r="X853" s="19"/>
      <c r="Y853" s="19"/>
      <c r="Z853" s="19"/>
      <c r="AA853" s="19"/>
      <c r="AB853" s="19"/>
      <c r="AC853" s="19"/>
      <c r="AD853" s="19"/>
      <c r="AE853" s="19"/>
      <c r="AF853" s="19"/>
      <c r="AG853" s="19"/>
      <c r="AH853" s="19"/>
      <c r="AI853" s="19"/>
      <c r="AJ853" s="19"/>
      <c r="AK853" s="19"/>
      <c r="AL853" s="19"/>
      <c r="AM853" s="19"/>
      <c r="AN853" s="19"/>
      <c r="AO853" s="19"/>
      <c r="AP853" s="19"/>
      <c r="AQ853" s="19"/>
      <c r="AR853" s="19"/>
      <c r="AS853" s="19"/>
      <c r="AT853" s="2"/>
      <c r="AU853" s="2"/>
    </row>
    <row r="854" spans="1:47" hidden="1" outlineLevel="1">
      <c r="A854" s="312"/>
      <c r="B854" s="624" t="s">
        <v>95</v>
      </c>
      <c r="C854" s="625" t="s">
        <v>733</v>
      </c>
      <c r="D854" s="625"/>
      <c r="E854" s="625"/>
      <c r="F854" s="625"/>
      <c r="G854" s="625"/>
      <c r="H854" s="625"/>
      <c r="I854" s="625"/>
      <c r="J854" s="625"/>
      <c r="K854" s="626"/>
      <c r="L854" s="626"/>
      <c r="M854" s="626"/>
      <c r="N854" s="626"/>
      <c r="O854" s="626"/>
      <c r="P854" s="626"/>
      <c r="Q854" s="627"/>
      <c r="R854" s="628">
        <v>0.12</v>
      </c>
      <c r="S854" s="628">
        <v>0.13400000000000001</v>
      </c>
      <c r="T854" s="628">
        <v>0.13300000000000001</v>
      </c>
      <c r="U854" s="626"/>
      <c r="V854" s="626"/>
      <c r="W854" s="627"/>
      <c r="X854" s="627"/>
      <c r="Y854" s="626"/>
      <c r="Z854" s="626"/>
      <c r="AA854" s="627"/>
      <c r="AB854" s="627"/>
      <c r="AC854" s="627"/>
      <c r="AD854" s="627"/>
      <c r="AE854" s="627"/>
      <c r="AF854" s="627"/>
      <c r="AG854" s="627"/>
      <c r="AH854" s="627"/>
      <c r="AI854" s="627"/>
      <c r="AJ854" s="627"/>
      <c r="AK854" s="627"/>
      <c r="AL854" s="627"/>
      <c r="AM854" s="627"/>
      <c r="AN854" s="627"/>
      <c r="AO854" s="627"/>
      <c r="AP854" s="627"/>
      <c r="AQ854" s="627"/>
      <c r="AR854" s="627"/>
      <c r="AS854" s="627"/>
      <c r="AT854" s="312"/>
      <c r="AU854" s="514"/>
    </row>
    <row r="855" spans="1:47" hidden="1" outlineLevel="1">
      <c r="A855" s="2"/>
      <c r="B855" s="6"/>
      <c r="C855" s="37"/>
      <c r="D855" s="37"/>
      <c r="E855" s="37"/>
      <c r="F855" s="37"/>
      <c r="G855" s="37"/>
      <c r="H855" s="37"/>
      <c r="I855" s="37"/>
      <c r="J855" s="37"/>
      <c r="K855" s="6"/>
      <c r="L855" s="6"/>
      <c r="M855" s="6"/>
      <c r="N855" s="6"/>
      <c r="O855" s="6"/>
      <c r="P855" s="6"/>
      <c r="Q855" s="6"/>
      <c r="R855" s="6"/>
      <c r="S855" s="272"/>
      <c r="T855" s="6"/>
      <c r="U855" s="6"/>
      <c r="V855" s="6"/>
      <c r="W855" s="6"/>
      <c r="X855" s="6"/>
      <c r="Y855" s="6"/>
      <c r="Z855" s="6"/>
      <c r="AA855" s="6"/>
      <c r="AB855" s="6"/>
      <c r="AC855" s="6"/>
      <c r="AD855" s="6"/>
      <c r="AE855" s="6"/>
      <c r="AF855" s="6"/>
      <c r="AG855" s="6"/>
      <c r="AH855" s="6"/>
      <c r="AI855" s="6"/>
      <c r="AJ855" s="6"/>
      <c r="AK855" s="6"/>
      <c r="AL855" s="6"/>
      <c r="AM855" s="6"/>
      <c r="AN855" s="6"/>
      <c r="AO855" s="6"/>
      <c r="AP855" s="6"/>
      <c r="AQ855" s="6"/>
      <c r="AR855" s="6"/>
      <c r="AS855" s="6"/>
      <c r="AT855" s="2"/>
      <c r="AU855" s="2"/>
    </row>
    <row r="856" spans="1:47" hidden="1" outlineLevel="1">
      <c r="A856" s="312"/>
      <c r="B856" s="624" t="s">
        <v>96</v>
      </c>
      <c r="C856" s="625" t="s">
        <v>733</v>
      </c>
      <c r="D856" s="625"/>
      <c r="E856" s="625"/>
      <c r="F856" s="625"/>
      <c r="G856" s="625"/>
      <c r="H856" s="625"/>
      <c r="I856" s="625"/>
      <c r="J856" s="625"/>
      <c r="K856" s="626"/>
      <c r="L856" s="626"/>
      <c r="M856" s="626"/>
      <c r="N856" s="626"/>
      <c r="O856" s="626"/>
      <c r="P856" s="626"/>
      <c r="Q856" s="628">
        <v>0.1</v>
      </c>
      <c r="R856" s="628">
        <v>0.16</v>
      </c>
      <c r="S856" s="628">
        <v>0.25</v>
      </c>
      <c r="T856" s="628">
        <v>0.43</v>
      </c>
      <c r="U856" s="626"/>
      <c r="V856" s="626"/>
      <c r="W856" s="627"/>
      <c r="X856" s="627"/>
      <c r="Y856" s="626"/>
      <c r="Z856" s="626"/>
      <c r="AA856" s="627"/>
      <c r="AB856" s="627"/>
      <c r="AC856" s="627"/>
      <c r="AD856" s="627"/>
      <c r="AE856" s="627"/>
      <c r="AF856" s="627"/>
      <c r="AG856" s="627"/>
      <c r="AH856" s="627"/>
      <c r="AI856" s="627"/>
      <c r="AJ856" s="627"/>
      <c r="AK856" s="627"/>
      <c r="AL856" s="627"/>
      <c r="AM856" s="627"/>
      <c r="AN856" s="627"/>
      <c r="AO856" s="627"/>
      <c r="AP856" s="627"/>
      <c r="AQ856" s="627"/>
      <c r="AR856" s="627"/>
      <c r="AS856" s="627"/>
      <c r="AT856" s="312"/>
      <c r="AU856" s="514"/>
    </row>
    <row r="857" spans="1:47" hidden="1" outlineLevel="1">
      <c r="A857" s="2"/>
      <c r="B857" s="6"/>
      <c r="C857" s="37"/>
      <c r="D857" s="37"/>
      <c r="E857" s="37"/>
      <c r="F857" s="37"/>
      <c r="G857" s="37"/>
      <c r="H857" s="37"/>
      <c r="I857" s="37"/>
      <c r="J857" s="37"/>
      <c r="K857" s="6"/>
      <c r="L857" s="6"/>
      <c r="M857" s="6"/>
      <c r="N857" s="6"/>
      <c r="O857" s="6"/>
      <c r="P857" s="6"/>
      <c r="Q857" s="6"/>
      <c r="R857" s="6"/>
      <c r="S857" s="272"/>
      <c r="T857" s="6"/>
      <c r="U857" s="6"/>
      <c r="V857" s="6"/>
      <c r="W857" s="6"/>
      <c r="X857" s="6"/>
      <c r="Y857" s="6"/>
      <c r="Z857" s="6"/>
      <c r="AA857" s="6"/>
      <c r="AB857" s="6"/>
      <c r="AC857" s="6"/>
      <c r="AD857" s="6"/>
      <c r="AE857" s="6"/>
      <c r="AF857" s="6"/>
      <c r="AG857" s="6"/>
      <c r="AH857" s="6"/>
      <c r="AI857" s="6"/>
      <c r="AJ857" s="6"/>
      <c r="AK857" s="6"/>
      <c r="AL857" s="6"/>
      <c r="AM857" s="6"/>
      <c r="AN857" s="6"/>
      <c r="AO857" s="6"/>
      <c r="AP857" s="6"/>
      <c r="AQ857" s="6"/>
      <c r="AR857" s="6"/>
      <c r="AS857" s="6"/>
      <c r="AT857" s="2"/>
      <c r="AU857" s="2"/>
    </row>
    <row r="858" spans="1:47" hidden="1" outlineLevel="1">
      <c r="A858" s="2"/>
      <c r="B858" s="629" t="s">
        <v>97</v>
      </c>
      <c r="C858" s="630" t="s">
        <v>98</v>
      </c>
      <c r="D858" s="630"/>
      <c r="E858" s="630"/>
      <c r="F858" s="630"/>
      <c r="G858" s="630"/>
      <c r="H858" s="630"/>
      <c r="I858" s="630"/>
      <c r="J858" s="630"/>
      <c r="K858" s="631"/>
      <c r="L858" s="631"/>
      <c r="M858" s="631"/>
      <c r="N858" s="631"/>
      <c r="O858" s="631"/>
      <c r="P858" s="631"/>
      <c r="Q858" s="631"/>
      <c r="R858" s="631"/>
      <c r="S858" s="632">
        <v>40000</v>
      </c>
      <c r="T858" s="632">
        <v>125000</v>
      </c>
      <c r="U858" s="631"/>
      <c r="V858" s="631"/>
      <c r="W858" s="631"/>
      <c r="X858" s="631"/>
      <c r="Y858" s="631"/>
      <c r="Z858" s="631"/>
      <c r="AA858" s="631"/>
      <c r="AB858" s="631"/>
      <c r="AC858" s="631"/>
      <c r="AD858" s="631"/>
      <c r="AE858" s="631"/>
      <c r="AF858" s="631"/>
      <c r="AG858" s="631"/>
      <c r="AH858" s="631"/>
      <c r="AI858" s="631"/>
      <c r="AJ858" s="631"/>
      <c r="AK858" s="631"/>
      <c r="AL858" s="631"/>
      <c r="AM858" s="631"/>
      <c r="AN858" s="631"/>
      <c r="AO858" s="631"/>
      <c r="AP858" s="631"/>
      <c r="AQ858" s="631"/>
      <c r="AR858" s="631"/>
      <c r="AS858" s="631"/>
      <c r="AT858" s="2"/>
      <c r="AU858" s="2"/>
    </row>
    <row r="859" spans="1:47" hidden="1" outlineLevel="1">
      <c r="A859" s="2"/>
      <c r="B859" s="6"/>
      <c r="C859" s="37"/>
      <c r="D859" s="37"/>
      <c r="E859" s="37"/>
      <c r="F859" s="37"/>
      <c r="G859" s="37"/>
      <c r="H859" s="37"/>
      <c r="I859" s="37"/>
      <c r="J859" s="37"/>
      <c r="K859" s="6"/>
      <c r="L859" s="6"/>
      <c r="M859" s="6"/>
      <c r="N859" s="6"/>
      <c r="O859" s="6"/>
      <c r="P859" s="6"/>
      <c r="Q859" s="6"/>
      <c r="R859" s="6"/>
      <c r="S859" s="272"/>
      <c r="T859" s="273"/>
      <c r="U859" s="6"/>
      <c r="V859" s="6"/>
      <c r="W859" s="6"/>
      <c r="X859" s="6"/>
      <c r="Y859" s="6"/>
      <c r="Z859" s="6"/>
      <c r="AA859" s="6"/>
      <c r="AB859" s="6"/>
      <c r="AC859" s="6"/>
      <c r="AD859" s="6"/>
      <c r="AE859" s="6"/>
      <c r="AF859" s="6"/>
      <c r="AG859" s="6"/>
      <c r="AH859" s="6"/>
      <c r="AI859" s="6"/>
      <c r="AJ859" s="6"/>
      <c r="AK859" s="6"/>
      <c r="AL859" s="6"/>
      <c r="AM859" s="6"/>
      <c r="AN859" s="6"/>
      <c r="AO859" s="6"/>
      <c r="AP859" s="6"/>
      <c r="AQ859" s="6"/>
      <c r="AR859" s="6"/>
      <c r="AS859" s="6"/>
      <c r="AT859" s="2"/>
      <c r="AU859" s="2"/>
    </row>
    <row r="860" spans="1:47" hidden="1" outlineLevel="1">
      <c r="A860" s="312"/>
      <c r="B860" s="633" t="s">
        <v>99</v>
      </c>
      <c r="C860" s="634" t="s">
        <v>733</v>
      </c>
      <c r="D860" s="634"/>
      <c r="E860" s="634"/>
      <c r="F860" s="634"/>
      <c r="G860" s="634"/>
      <c r="H860" s="634"/>
      <c r="I860" s="634"/>
      <c r="J860" s="634"/>
      <c r="K860" s="635"/>
      <c r="L860" s="635"/>
      <c r="M860" s="635"/>
      <c r="N860" s="635"/>
      <c r="O860" s="635"/>
      <c r="P860" s="635"/>
      <c r="Q860" s="636"/>
      <c r="R860" s="636"/>
      <c r="S860" s="637">
        <v>0.59899999999999998</v>
      </c>
      <c r="T860" s="637">
        <v>0.60099999999999998</v>
      </c>
      <c r="U860" s="635"/>
      <c r="V860" s="635"/>
      <c r="W860" s="636"/>
      <c r="X860" s="636"/>
      <c r="Y860" s="635"/>
      <c r="Z860" s="635"/>
      <c r="AA860" s="636"/>
      <c r="AB860" s="636"/>
      <c r="AC860" s="636"/>
      <c r="AD860" s="636"/>
      <c r="AE860" s="636"/>
      <c r="AF860" s="636"/>
      <c r="AG860" s="636"/>
      <c r="AH860" s="636"/>
      <c r="AI860" s="636"/>
      <c r="AJ860" s="636"/>
      <c r="AK860" s="636"/>
      <c r="AL860" s="636"/>
      <c r="AM860" s="636"/>
      <c r="AN860" s="636"/>
      <c r="AO860" s="636"/>
      <c r="AP860" s="636"/>
      <c r="AQ860" s="636"/>
      <c r="AR860" s="636"/>
      <c r="AS860" s="636"/>
      <c r="AT860" s="312"/>
      <c r="AU860" s="514"/>
    </row>
    <row r="861" spans="1:47" hidden="1" outlineLevel="1">
      <c r="A861" s="312"/>
      <c r="B861" s="633" t="s">
        <v>100</v>
      </c>
      <c r="C861" s="634" t="s">
        <v>733</v>
      </c>
      <c r="D861" s="634"/>
      <c r="E861" s="634"/>
      <c r="F861" s="634"/>
      <c r="G861" s="634"/>
      <c r="H861" s="634"/>
      <c r="I861" s="634"/>
      <c r="J861" s="634"/>
      <c r="K861" s="635"/>
      <c r="L861" s="635"/>
      <c r="M861" s="635"/>
      <c r="N861" s="635"/>
      <c r="O861" s="635"/>
      <c r="P861" s="635"/>
      <c r="Q861" s="636"/>
      <c r="R861" s="636"/>
      <c r="S861" s="637">
        <v>0.22800000000000001</v>
      </c>
      <c r="T861" s="637">
        <v>0.23799999999999999</v>
      </c>
      <c r="U861" s="635"/>
      <c r="V861" s="635"/>
      <c r="W861" s="636"/>
      <c r="X861" s="636"/>
      <c r="Y861" s="635"/>
      <c r="Z861" s="635"/>
      <c r="AA861" s="636"/>
      <c r="AB861" s="636"/>
      <c r="AC861" s="636"/>
      <c r="AD861" s="636"/>
      <c r="AE861" s="636"/>
      <c r="AF861" s="636"/>
      <c r="AG861" s="636"/>
      <c r="AH861" s="636"/>
      <c r="AI861" s="636"/>
      <c r="AJ861" s="636"/>
      <c r="AK861" s="636"/>
      <c r="AL861" s="636"/>
      <c r="AM861" s="636"/>
      <c r="AN861" s="636"/>
      <c r="AO861" s="636"/>
      <c r="AP861" s="636"/>
      <c r="AQ861" s="636"/>
      <c r="AR861" s="636"/>
      <c r="AS861" s="636"/>
      <c r="AT861" s="312"/>
      <c r="AU861" s="514"/>
    </row>
    <row r="862" spans="1:47" hidden="1" outlineLevel="1">
      <c r="A862" s="2"/>
      <c r="B862" s="6"/>
      <c r="C862" s="37"/>
      <c r="D862" s="37"/>
      <c r="E862" s="37"/>
      <c r="F862" s="37"/>
      <c r="G862" s="37"/>
      <c r="H862" s="37"/>
      <c r="I862" s="37"/>
      <c r="J862" s="37"/>
      <c r="K862" s="6"/>
      <c r="L862" s="6"/>
      <c r="M862" s="6"/>
      <c r="N862" s="6"/>
      <c r="O862" s="6"/>
      <c r="P862" s="6"/>
      <c r="Q862" s="6"/>
      <c r="R862" s="6"/>
      <c r="S862" s="272"/>
      <c r="T862" s="6"/>
      <c r="U862" s="6"/>
      <c r="V862" s="6"/>
      <c r="W862" s="6"/>
      <c r="X862" s="6"/>
      <c r="Y862" s="6"/>
      <c r="Z862" s="6"/>
      <c r="AA862" s="6"/>
      <c r="AB862" s="6"/>
      <c r="AC862" s="6"/>
      <c r="AD862" s="6"/>
      <c r="AE862" s="6"/>
      <c r="AF862" s="6"/>
      <c r="AG862" s="6"/>
      <c r="AH862" s="6"/>
      <c r="AI862" s="6"/>
      <c r="AJ862" s="6"/>
      <c r="AK862" s="6"/>
      <c r="AL862" s="6"/>
      <c r="AM862" s="6"/>
      <c r="AN862" s="6"/>
      <c r="AO862" s="6"/>
      <c r="AP862" s="6"/>
      <c r="AQ862" s="6"/>
      <c r="AR862" s="6"/>
      <c r="AS862" s="6"/>
      <c r="AT862" s="2"/>
      <c r="AU862" s="2"/>
    </row>
    <row r="863" spans="1:47" hidden="1" outlineLevel="1">
      <c r="A863" s="2"/>
      <c r="B863" s="6"/>
      <c r="C863" s="37"/>
      <c r="D863" s="37"/>
      <c r="E863" s="37"/>
      <c r="F863" s="37"/>
      <c r="G863" s="37"/>
      <c r="H863" s="37"/>
      <c r="I863" s="37"/>
      <c r="J863" s="37"/>
      <c r="K863" s="6"/>
      <c r="L863" s="6"/>
      <c r="M863" s="6"/>
      <c r="N863" s="6"/>
      <c r="O863" s="6"/>
      <c r="P863" s="6"/>
      <c r="Q863" s="6"/>
      <c r="R863" s="6"/>
      <c r="S863" s="272"/>
      <c r="T863" s="6"/>
      <c r="U863" s="6"/>
      <c r="V863" s="6"/>
      <c r="W863" s="6"/>
      <c r="X863" s="6"/>
      <c r="Y863" s="6"/>
      <c r="Z863" s="6"/>
      <c r="AA863" s="6"/>
      <c r="AB863" s="6"/>
      <c r="AC863" s="6"/>
      <c r="AD863" s="6"/>
      <c r="AE863" s="6"/>
      <c r="AF863" s="6"/>
      <c r="AG863" s="6"/>
      <c r="AH863" s="6"/>
      <c r="AI863" s="6"/>
      <c r="AJ863" s="6"/>
      <c r="AK863" s="6"/>
      <c r="AL863" s="6"/>
      <c r="AM863" s="6"/>
      <c r="AN863" s="6"/>
      <c r="AO863" s="6"/>
      <c r="AP863" s="6"/>
      <c r="AQ863" s="6"/>
      <c r="AR863" s="6"/>
      <c r="AS863" s="6"/>
      <c r="AT863" s="2"/>
      <c r="AU863" s="2"/>
    </row>
    <row r="864" spans="1:47" hidden="1" outlineLevel="1">
      <c r="A864" s="2"/>
      <c r="B864" s="2"/>
      <c r="C864" s="38"/>
      <c r="D864" s="38"/>
      <c r="E864" s="38"/>
      <c r="F864" s="38"/>
      <c r="G864" s="38"/>
      <c r="H864" s="38"/>
      <c r="I864" s="38"/>
      <c r="J864" s="38"/>
      <c r="K864" s="19"/>
      <c r="L864" s="19"/>
      <c r="M864" s="19"/>
      <c r="N864" s="19"/>
      <c r="O864" s="19"/>
      <c r="P864" s="19"/>
      <c r="Q864" s="19"/>
      <c r="R864" s="19"/>
      <c r="S864" s="19"/>
      <c r="T864" s="19"/>
      <c r="U864" s="19"/>
      <c r="V864" s="19"/>
      <c r="W864" s="19"/>
      <c r="X864" s="19"/>
      <c r="Y864" s="19"/>
      <c r="Z864" s="19"/>
      <c r="AA864" s="19"/>
      <c r="AB864" s="19"/>
      <c r="AC864" s="19"/>
      <c r="AD864" s="19"/>
      <c r="AE864" s="19"/>
      <c r="AF864" s="19"/>
      <c r="AG864" s="19"/>
      <c r="AH864" s="19"/>
      <c r="AI864" s="19"/>
      <c r="AJ864" s="19"/>
      <c r="AK864" s="19"/>
      <c r="AL864" s="19"/>
      <c r="AM864" s="19"/>
      <c r="AN864" s="19"/>
      <c r="AO864" s="19"/>
      <c r="AP864" s="19"/>
      <c r="AQ864" s="19"/>
      <c r="AR864" s="19"/>
      <c r="AS864" s="19"/>
      <c r="AT864" s="2"/>
      <c r="AU864" s="2"/>
    </row>
    <row r="865" spans="1:47" hidden="1" outlineLevel="1">
      <c r="A865" s="2"/>
      <c r="B865" s="2" t="s">
        <v>101</v>
      </c>
      <c r="C865" s="18"/>
      <c r="D865" s="18"/>
      <c r="E865" s="18"/>
      <c r="F865" s="18"/>
      <c r="G865" s="18"/>
      <c r="H865" s="18"/>
      <c r="I865" s="18"/>
      <c r="J865" s="18"/>
      <c r="K865" s="2"/>
      <c r="L865" s="80"/>
      <c r="M865" s="80"/>
      <c r="N865" s="80"/>
      <c r="O865" s="80"/>
      <c r="P865" s="80"/>
      <c r="Q865" s="80"/>
      <c r="R865" s="80"/>
      <c r="S865" s="80"/>
      <c r="T865" s="80"/>
      <c r="U865" s="3"/>
      <c r="V865" s="3"/>
      <c r="W865" s="80"/>
      <c r="X865" s="80"/>
      <c r="Y865" s="80"/>
      <c r="Z865" s="80"/>
      <c r="AA865" s="80"/>
      <c r="AB865" s="80"/>
      <c r="AC865" s="80"/>
      <c r="AD865" s="80"/>
      <c r="AE865" s="80"/>
      <c r="AF865" s="80"/>
      <c r="AG865" s="80"/>
      <c r="AH865" s="80"/>
      <c r="AI865" s="80"/>
      <c r="AJ865" s="80"/>
      <c r="AK865" s="80"/>
      <c r="AL865" s="80"/>
      <c r="AM865" s="80"/>
      <c r="AN865" s="80"/>
      <c r="AO865" s="80"/>
      <c r="AP865" s="80"/>
      <c r="AQ865" s="80"/>
      <c r="AR865" s="80"/>
      <c r="AS865" s="80"/>
      <c r="AT865" s="2"/>
      <c r="AU865" s="2"/>
    </row>
    <row r="866" spans="1:47" hidden="1" outlineLevel="1">
      <c r="A866" s="2"/>
      <c r="B866" s="2" t="s">
        <v>843</v>
      </c>
      <c r="C866" s="18" t="s">
        <v>192</v>
      </c>
      <c r="D866" s="18"/>
      <c r="E866" s="18"/>
      <c r="F866" s="18"/>
      <c r="G866" s="18"/>
      <c r="H866" s="18"/>
      <c r="I866" s="18"/>
      <c r="J866" s="18"/>
      <c r="K866" s="566">
        <v>2.2000000000000002</v>
      </c>
      <c r="L866" s="566">
        <v>2.2000000000000002</v>
      </c>
      <c r="M866" s="566">
        <v>2.2000000000000002</v>
      </c>
      <c r="N866" s="3">
        <v>2.2109999999999999</v>
      </c>
      <c r="O866" s="3">
        <v>2.2220549999999997</v>
      </c>
      <c r="P866" s="3">
        <v>2.2331652749999993</v>
      </c>
      <c r="Q866" s="3">
        <v>2.2443311013749989</v>
      </c>
      <c r="R866" s="3">
        <v>2.2555527568818738</v>
      </c>
      <c r="S866" s="3">
        <v>2.2668305206662831</v>
      </c>
      <c r="T866" s="3">
        <v>2.2781646732696141</v>
      </c>
      <c r="U866" s="3">
        <v>2.2895554966359621</v>
      </c>
      <c r="V866" s="3">
        <v>2.3010032741191417</v>
      </c>
      <c r="W866" s="3">
        <v>2.3125082904897374</v>
      </c>
      <c r="X866" s="3">
        <v>2.3240708319421857</v>
      </c>
      <c r="Y866" s="3">
        <v>2.3356911861018963</v>
      </c>
      <c r="Z866" s="3">
        <v>2.3473696420324055</v>
      </c>
      <c r="AA866" s="3">
        <v>2.3591064902425671</v>
      </c>
      <c r="AB866" s="3">
        <v>2.3709020226937798</v>
      </c>
      <c r="AC866" s="3">
        <v>2.3827565328072486</v>
      </c>
      <c r="AD866" s="3">
        <v>2.3946703154712847</v>
      </c>
      <c r="AE866" s="3">
        <v>2.4066436670486411</v>
      </c>
      <c r="AF866" s="3">
        <v>2.418676885383884</v>
      </c>
      <c r="AG866" s="3">
        <v>2.4307702698108034</v>
      </c>
      <c r="AH866" s="3">
        <v>2.4429241211598569</v>
      </c>
      <c r="AI866" s="3">
        <v>2.4551387417656558</v>
      </c>
      <c r="AJ866" s="3">
        <v>2.4674144354744838</v>
      </c>
      <c r="AK866" s="3">
        <v>2.4797515076518559</v>
      </c>
      <c r="AL866" s="3">
        <v>2.4921502651901148</v>
      </c>
      <c r="AM866" s="3">
        <v>2.5046110165160651</v>
      </c>
      <c r="AN866" s="3">
        <v>2.5171340715986452</v>
      </c>
      <c r="AO866" s="3">
        <v>2.529719741956638</v>
      </c>
      <c r="AP866" s="3">
        <v>2.542368340666421</v>
      </c>
      <c r="AQ866" s="3">
        <v>2.542368340666421</v>
      </c>
      <c r="AR866" s="3">
        <v>2.542368340666421</v>
      </c>
      <c r="AS866" s="3">
        <v>2.542368340666421</v>
      </c>
      <c r="AT866" s="2"/>
      <c r="AU866" s="2"/>
    </row>
    <row r="867" spans="1:47" hidden="1" outlineLevel="1">
      <c r="A867" s="312"/>
      <c r="B867" s="514" t="s">
        <v>844</v>
      </c>
      <c r="C867" s="750" t="s">
        <v>733</v>
      </c>
      <c r="D867" s="750"/>
      <c r="E867" s="750"/>
      <c r="F867" s="750"/>
      <c r="G867" s="750"/>
      <c r="H867" s="750"/>
      <c r="I867" s="750"/>
      <c r="J867" s="750"/>
      <c r="K867" s="759">
        <v>9.8636363636363619E-2</v>
      </c>
      <c r="L867" s="312">
        <v>0.10545454545454544</v>
      </c>
      <c r="M867" s="312">
        <v>0.12272727272727271</v>
      </c>
      <c r="N867" s="708">
        <v>0.10100000000000001</v>
      </c>
      <c r="O867" s="708">
        <v>8.7999999999999995E-2</v>
      </c>
      <c r="P867" s="708">
        <v>7.0499999999999993E-2</v>
      </c>
      <c r="Q867" s="708">
        <v>5.5E-2</v>
      </c>
      <c r="R867" s="708">
        <v>7.9000000000000001E-2</v>
      </c>
      <c r="S867" s="708">
        <v>7.6999999999999999E-2</v>
      </c>
      <c r="T867" s="708">
        <v>7.5200000000000003E-2</v>
      </c>
      <c r="U867" s="708">
        <v>3.95E-2</v>
      </c>
      <c r="V867" s="754">
        <v>3.1E-2</v>
      </c>
      <c r="W867" s="755">
        <v>7.5999999999999998E-2</v>
      </c>
      <c r="X867" s="755">
        <v>7.1999999999999995E-2</v>
      </c>
      <c r="Y867" s="755">
        <v>6.7999999999999991E-2</v>
      </c>
      <c r="Z867" s="755">
        <v>6.3999999999999987E-2</v>
      </c>
      <c r="AA867" s="755">
        <v>5.9999999999999984E-2</v>
      </c>
      <c r="AB867" s="755">
        <v>5.599999999999998E-2</v>
      </c>
      <c r="AC867" s="755">
        <v>5.1999999999999977E-2</v>
      </c>
      <c r="AD867" s="755">
        <v>4.7999999999999973E-2</v>
      </c>
      <c r="AE867" s="755">
        <v>4.399999999999997E-2</v>
      </c>
      <c r="AF867" s="755">
        <v>3.9999999999999966E-2</v>
      </c>
      <c r="AG867" s="755">
        <v>3.5999999999999963E-2</v>
      </c>
      <c r="AH867" s="755">
        <v>3.1999999999999959E-2</v>
      </c>
      <c r="AI867" s="755">
        <v>2.7999999999999959E-2</v>
      </c>
      <c r="AJ867" s="755">
        <v>2.3999999999999959E-2</v>
      </c>
      <c r="AK867" s="755">
        <v>1.9999999999999959E-2</v>
      </c>
      <c r="AL867" s="755">
        <v>1.5999999999999959E-2</v>
      </c>
      <c r="AM867" s="755">
        <v>1.1999999999999959E-2</v>
      </c>
      <c r="AN867" s="755">
        <v>7.9999999999999585E-3</v>
      </c>
      <c r="AO867" s="760">
        <v>3.9999999999999584E-3</v>
      </c>
      <c r="AP867" s="760">
        <v>-4.163336342344337E-17</v>
      </c>
      <c r="AQ867" s="760">
        <v>-4.163336342344337E-17</v>
      </c>
      <c r="AR867" s="760">
        <v>-4.163336342344337E-17</v>
      </c>
      <c r="AS867" s="760">
        <v>-4.163336342344337E-17</v>
      </c>
      <c r="AT867" s="312"/>
      <c r="AU867" s="514"/>
    </row>
    <row r="868" spans="1:47" hidden="1" outlineLevel="1">
      <c r="A868" s="2"/>
      <c r="B868" s="2" t="s">
        <v>498</v>
      </c>
      <c r="C868" s="38" t="s">
        <v>846</v>
      </c>
      <c r="D868" s="38"/>
      <c r="E868" s="38"/>
      <c r="F868" s="38"/>
      <c r="G868" s="38"/>
      <c r="H868" s="38"/>
      <c r="I868" s="38"/>
      <c r="J868" s="38"/>
      <c r="K868" s="570">
        <v>217</v>
      </c>
      <c r="L868" s="570">
        <v>232</v>
      </c>
      <c r="M868" s="570">
        <v>270</v>
      </c>
      <c r="N868" s="19">
        <v>223.31100000000001</v>
      </c>
      <c r="O868" s="19">
        <v>195.54083999999997</v>
      </c>
      <c r="P868" s="19">
        <v>157.43815188749994</v>
      </c>
      <c r="Q868" s="19">
        <v>123.43821057562495</v>
      </c>
      <c r="R868" s="19">
        <v>178.18866779366803</v>
      </c>
      <c r="S868" s="19">
        <v>174.54595009130381</v>
      </c>
      <c r="T868" s="19">
        <v>171.317983429875</v>
      </c>
      <c r="U868" s="19">
        <v>90.437442117120497</v>
      </c>
      <c r="V868" s="19">
        <v>71.331101497693396</v>
      </c>
      <c r="W868" s="19">
        <v>175.75063007722002</v>
      </c>
      <c r="X868" s="19"/>
      <c r="Y868" s="19"/>
      <c r="Z868" s="19"/>
      <c r="AA868" s="19"/>
      <c r="AB868" s="19"/>
      <c r="AC868" s="19"/>
      <c r="AD868" s="19"/>
      <c r="AE868" s="19"/>
      <c r="AF868" s="19"/>
      <c r="AG868" s="19"/>
      <c r="AH868" s="19"/>
      <c r="AI868" s="19"/>
      <c r="AJ868" s="19"/>
      <c r="AK868" s="19"/>
      <c r="AL868" s="19"/>
      <c r="AM868" s="19"/>
      <c r="AN868" s="19"/>
      <c r="AO868" s="19"/>
      <c r="AP868" s="19"/>
      <c r="AQ868" s="19"/>
      <c r="AR868" s="19"/>
      <c r="AS868" s="19"/>
      <c r="AT868" s="2"/>
      <c r="AU868" s="2"/>
    </row>
    <row r="869" spans="1:47" hidden="1" outlineLevel="1">
      <c r="A869" s="312"/>
      <c r="B869" s="758" t="s">
        <v>614</v>
      </c>
      <c r="C869" s="750" t="s">
        <v>733</v>
      </c>
      <c r="D869" s="750"/>
      <c r="E869" s="750"/>
      <c r="F869" s="750"/>
      <c r="G869" s="750"/>
      <c r="H869" s="750"/>
      <c r="I869" s="750"/>
      <c r="J869" s="750"/>
      <c r="K869" s="759">
        <v>3.8277511961722466E-2</v>
      </c>
      <c r="L869" s="312">
        <v>6.9124423963133674E-2</v>
      </c>
      <c r="M869" s="312">
        <v>0.1637931034482758</v>
      </c>
      <c r="N869" s="312">
        <v>-0.1729222222222222</v>
      </c>
      <c r="O869" s="312">
        <v>-0.12435643564356447</v>
      </c>
      <c r="P869" s="312">
        <v>-0.19485795454545474</v>
      </c>
      <c r="Q869" s="313">
        <v>-0.2159574468085107</v>
      </c>
      <c r="R869" s="313">
        <v>0.44354545454545447</v>
      </c>
      <c r="S869" s="313">
        <v>-2.0443037974683498E-2</v>
      </c>
      <c r="T869" s="312">
        <v>-1.8493506493506673E-2</v>
      </c>
      <c r="U869" s="313">
        <v>-0.47210771276595753</v>
      </c>
      <c r="V869" s="313">
        <v>-0.2112658227848101</v>
      </c>
      <c r="W869" s="313">
        <v>1.463870967741935</v>
      </c>
      <c r="X869" s="312"/>
      <c r="Y869" s="313"/>
      <c r="Z869" s="313"/>
      <c r="AA869" s="313"/>
      <c r="AB869" s="313"/>
      <c r="AC869" s="313"/>
      <c r="AD869" s="313"/>
      <c r="AE869" s="313"/>
      <c r="AF869" s="313"/>
      <c r="AG869" s="313"/>
      <c r="AH869" s="313"/>
      <c r="AI869" s="313"/>
      <c r="AJ869" s="313"/>
      <c r="AK869" s="313"/>
      <c r="AL869" s="313"/>
      <c r="AM869" s="313"/>
      <c r="AN869" s="313"/>
      <c r="AO869" s="313"/>
      <c r="AP869" s="313"/>
      <c r="AQ869" s="313"/>
      <c r="AR869" s="313"/>
      <c r="AS869" s="313"/>
      <c r="AT869" s="312"/>
      <c r="AU869" s="514"/>
    </row>
    <row r="870" spans="1:47" hidden="1" outlineLevel="1">
      <c r="A870" s="2"/>
      <c r="B870" s="2" t="s">
        <v>499</v>
      </c>
      <c r="C870" s="38"/>
      <c r="D870" s="38"/>
      <c r="E870" s="38"/>
      <c r="F870" s="38"/>
      <c r="G870" s="38"/>
      <c r="H870" s="38"/>
      <c r="I870" s="38"/>
      <c r="J870" s="38"/>
      <c r="K870" s="570">
        <v>8</v>
      </c>
      <c r="L870" s="19">
        <v>15</v>
      </c>
      <c r="M870" s="19">
        <v>38</v>
      </c>
      <c r="N870" s="19">
        <v>-46.688999999999993</v>
      </c>
      <c r="O870" s="19">
        <v>-27.770160000000033</v>
      </c>
      <c r="P870" s="19">
        <v>-38.102688112500033</v>
      </c>
      <c r="Q870" s="19">
        <v>-33.999941311874991</v>
      </c>
      <c r="R870" s="19">
        <v>54.750457218043081</v>
      </c>
      <c r="S870" s="19">
        <v>-3.642717702364223</v>
      </c>
      <c r="T870" s="19">
        <v>-3.2279666614288089</v>
      </c>
      <c r="U870" s="19">
        <v>-80.880541312754502</v>
      </c>
      <c r="V870" s="19">
        <v>-19.106340619427101</v>
      </c>
      <c r="W870" s="19">
        <v>104.41952857952663</v>
      </c>
      <c r="X870" s="19"/>
      <c r="Y870" s="19"/>
      <c r="Z870" s="19"/>
      <c r="AA870" s="19"/>
      <c r="AB870" s="19"/>
      <c r="AC870" s="19"/>
      <c r="AD870" s="19"/>
      <c r="AE870" s="19"/>
      <c r="AF870" s="19"/>
      <c r="AG870" s="19"/>
      <c r="AH870" s="19"/>
      <c r="AI870" s="19"/>
      <c r="AJ870" s="19"/>
      <c r="AK870" s="19"/>
      <c r="AL870" s="19"/>
      <c r="AM870" s="19"/>
      <c r="AN870" s="19"/>
      <c r="AO870" s="19"/>
      <c r="AP870" s="19"/>
      <c r="AQ870" s="19"/>
      <c r="AR870" s="19"/>
      <c r="AS870" s="19"/>
      <c r="AT870" s="2"/>
      <c r="AU870" s="2"/>
    </row>
    <row r="871" spans="1:47" hidden="1" outlineLevel="1">
      <c r="A871" s="2"/>
      <c r="B871" s="2" t="s">
        <v>753</v>
      </c>
      <c r="C871" s="38" t="s">
        <v>846</v>
      </c>
      <c r="D871" s="38"/>
      <c r="E871" s="38"/>
      <c r="F871" s="38"/>
      <c r="G871" s="38"/>
      <c r="H871" s="38"/>
      <c r="I871" s="38"/>
      <c r="J871" s="38"/>
      <c r="K871" s="570">
        <v>213</v>
      </c>
      <c r="L871" s="19">
        <v>224.5</v>
      </c>
      <c r="M871" s="19">
        <v>251</v>
      </c>
      <c r="N871" s="19">
        <v>246.65550000000002</v>
      </c>
      <c r="O871" s="19">
        <v>209.42591999999999</v>
      </c>
      <c r="P871" s="19">
        <v>176.48949594374994</v>
      </c>
      <c r="Q871" s="19">
        <v>140.43818123156245</v>
      </c>
      <c r="R871" s="19">
        <v>150.81343918464648</v>
      </c>
      <c r="S871" s="19">
        <v>176.36730894248592</v>
      </c>
      <c r="T871" s="19">
        <v>172.9319667605894</v>
      </c>
      <c r="U871" s="19">
        <v>130.87771277349776</v>
      </c>
      <c r="V871" s="19">
        <v>80.884271807406947</v>
      </c>
      <c r="W871" s="19">
        <v>123.54086578745671</v>
      </c>
      <c r="X871" s="19"/>
      <c r="Y871" s="19"/>
      <c r="Z871" s="19"/>
      <c r="AA871" s="19"/>
      <c r="AB871" s="19"/>
      <c r="AC871" s="19"/>
      <c r="AD871" s="19"/>
      <c r="AE871" s="19"/>
      <c r="AF871" s="19"/>
      <c r="AG871" s="19"/>
      <c r="AH871" s="19"/>
      <c r="AI871" s="19"/>
      <c r="AJ871" s="19"/>
      <c r="AK871" s="19"/>
      <c r="AL871" s="19"/>
      <c r="AM871" s="19"/>
      <c r="AN871" s="19"/>
      <c r="AO871" s="19"/>
      <c r="AP871" s="19"/>
      <c r="AQ871" s="19"/>
      <c r="AR871" s="19"/>
      <c r="AS871" s="19"/>
      <c r="AT871" s="2"/>
      <c r="AU871" s="2"/>
    </row>
    <row r="872" spans="1:47" hidden="1" outlineLevel="1">
      <c r="A872" s="312"/>
      <c r="B872" s="758" t="s">
        <v>614</v>
      </c>
      <c r="C872" s="750" t="s">
        <v>733</v>
      </c>
      <c r="D872" s="750"/>
      <c r="E872" s="750"/>
      <c r="F872" s="750"/>
      <c r="G872" s="750"/>
      <c r="H872" s="750"/>
      <c r="I872" s="750"/>
      <c r="J872" s="750"/>
      <c r="K872" s="759">
        <v>7.8481012658227822E-2</v>
      </c>
      <c r="L872" s="312">
        <v>5.39906103286385E-2</v>
      </c>
      <c r="M872" s="312">
        <v>0.11804008908685959</v>
      </c>
      <c r="N872" s="312">
        <v>-1.7308764940238919E-2</v>
      </c>
      <c r="O872" s="312">
        <v>-0.15093756271398784</v>
      </c>
      <c r="P872" s="312">
        <v>-0.15727004592483129</v>
      </c>
      <c r="Q872" s="313">
        <v>-0.20426889724744657</v>
      </c>
      <c r="R872" s="313">
        <v>7.3877757901013474E-2</v>
      </c>
      <c r="S872" s="313">
        <v>0.1694402693552588</v>
      </c>
      <c r="T872" s="312">
        <v>-1.9478338715349985E-2</v>
      </c>
      <c r="U872" s="312">
        <v>-0.24318380675859896</v>
      </c>
      <c r="V872" s="313">
        <v>-0.38198590047651182</v>
      </c>
      <c r="W872" s="313">
        <v>0.52737810487580483</v>
      </c>
      <c r="X872" s="312"/>
      <c r="Y872" s="313"/>
      <c r="Z872" s="313"/>
      <c r="AA872" s="313"/>
      <c r="AB872" s="313"/>
      <c r="AC872" s="313"/>
      <c r="AD872" s="313"/>
      <c r="AE872" s="313"/>
      <c r="AF872" s="313"/>
      <c r="AG872" s="313"/>
      <c r="AH872" s="313"/>
      <c r="AI872" s="313"/>
      <c r="AJ872" s="313"/>
      <c r="AK872" s="313"/>
      <c r="AL872" s="313"/>
      <c r="AM872" s="313"/>
      <c r="AN872" s="313"/>
      <c r="AO872" s="313"/>
      <c r="AP872" s="313"/>
      <c r="AQ872" s="313"/>
      <c r="AR872" s="313"/>
      <c r="AS872" s="313"/>
      <c r="AT872" s="312"/>
      <c r="AU872" s="514"/>
    </row>
    <row r="873" spans="1:47" hidden="1" outlineLevel="1">
      <c r="A873" s="298"/>
      <c r="B873" s="6" t="s">
        <v>754</v>
      </c>
      <c r="C873" s="37"/>
      <c r="D873" s="37"/>
      <c r="E873" s="37"/>
      <c r="F873" s="37"/>
      <c r="G873" s="37"/>
      <c r="H873" s="37"/>
      <c r="I873" s="37"/>
      <c r="J873" s="37"/>
      <c r="K873" s="272"/>
      <c r="L873" s="272"/>
      <c r="M873" s="272"/>
      <c r="N873" s="272"/>
      <c r="O873" s="272"/>
      <c r="P873" s="272"/>
      <c r="Q873" s="24">
        <v>1253.463936545963</v>
      </c>
      <c r="R873" s="24">
        <v>1469.8080725777645</v>
      </c>
      <c r="S873" s="24">
        <v>1541.5685035432655</v>
      </c>
      <c r="T873" s="24">
        <v>1629.9310479631181</v>
      </c>
      <c r="U873" s="24">
        <v>1631.7672248922654</v>
      </c>
      <c r="V873" s="24">
        <v>1651.6580900718018</v>
      </c>
      <c r="W873" s="24">
        <v>1791.3146685618426</v>
      </c>
      <c r="X873" s="24">
        <v>1640.4117242883954</v>
      </c>
      <c r="Y873" s="24">
        <v>1616.4693761299327</v>
      </c>
      <c r="Z873" s="24">
        <v>1636.8033533915263</v>
      </c>
      <c r="AA873" s="24">
        <v>1680.5563366132217</v>
      </c>
      <c r="AB873" s="24">
        <v>1690.0497858383187</v>
      </c>
      <c r="AC873" s="24">
        <v>1709.2265532730148</v>
      </c>
      <c r="AD873" s="24">
        <v>1716.53866741405</v>
      </c>
      <c r="AE873" s="24">
        <v>1723.9239026964956</v>
      </c>
      <c r="AF873" s="24">
        <v>1731.3829903317655</v>
      </c>
      <c r="AG873" s="24">
        <v>1738.9166688433882</v>
      </c>
      <c r="AH873" s="24">
        <v>1746.5256841401269</v>
      </c>
      <c r="AI873" s="24">
        <v>1754.2107895898334</v>
      </c>
      <c r="AJ873" s="24">
        <v>1761.9727460940367</v>
      </c>
      <c r="AK873" s="24">
        <v>1769.812322163282</v>
      </c>
      <c r="AL873" s="24">
        <v>1777.7302939932197</v>
      </c>
      <c r="AM873" s="24">
        <v>1785.727445541457</v>
      </c>
      <c r="AN873" s="24">
        <v>1793.8045686051764</v>
      </c>
      <c r="AO873" s="24">
        <v>1801.9624628995334</v>
      </c>
      <c r="AP873" s="24">
        <v>1810.2019361368336</v>
      </c>
      <c r="AQ873" s="24">
        <v>1810.2019361368336</v>
      </c>
      <c r="AR873" s="24">
        <v>1810.2019361368336</v>
      </c>
      <c r="AS873" s="24">
        <v>1810.2019361368336</v>
      </c>
      <c r="AT873" s="2"/>
      <c r="AU873" s="2"/>
    </row>
    <row r="874" spans="1:47" hidden="1" outlineLevel="1">
      <c r="A874" s="298"/>
      <c r="B874" s="55"/>
      <c r="C874" s="38"/>
      <c r="D874" s="38"/>
      <c r="E874" s="38"/>
      <c r="F874" s="38"/>
      <c r="G874" s="38"/>
      <c r="H874" s="38"/>
      <c r="I874" s="38"/>
      <c r="J874" s="38"/>
      <c r="K874" s="80"/>
      <c r="L874" s="80"/>
      <c r="M874" s="80"/>
      <c r="N874" s="80"/>
      <c r="O874" s="80"/>
      <c r="P874" s="80"/>
      <c r="Q874" s="80"/>
      <c r="R874" s="80"/>
      <c r="S874" s="5">
        <v>4.8822994174774648E-2</v>
      </c>
      <c r="T874" s="761">
        <v>5.7319894780383018E-2</v>
      </c>
      <c r="U874" s="761">
        <v>1.1265365681829564E-3</v>
      </c>
      <c r="V874" s="761">
        <v>1.2189768783258614E-2</v>
      </c>
      <c r="W874" s="761">
        <v>8.4555380638113631E-2</v>
      </c>
      <c r="X874" s="761">
        <v>-8.4241449546438307E-2</v>
      </c>
      <c r="Y874" s="761">
        <v>-1.4595328601939128E-2</v>
      </c>
      <c r="Z874" s="761">
        <v>1.2579253007734881E-2</v>
      </c>
      <c r="AA874" s="761">
        <v>2.6730751211522907E-2</v>
      </c>
      <c r="AB874" s="761">
        <v>5.6489919547886291E-3</v>
      </c>
      <c r="AC874" s="761">
        <v>1.1346865397331429E-2</v>
      </c>
      <c r="AD874" s="761">
        <v>4.2780251260625679E-3</v>
      </c>
      <c r="AE874" s="761">
        <v>4.3023996037161449E-3</v>
      </c>
      <c r="AF874" s="761">
        <v>4.3268079429739092E-3</v>
      </c>
      <c r="AG874" s="761">
        <v>4.3512490036528018E-3</v>
      </c>
      <c r="AH874" s="761">
        <v>4.3757216392661391E-3</v>
      </c>
      <c r="AI874" s="761">
        <v>4.4002246972336678E-3</v>
      </c>
      <c r="AJ874" s="761">
        <v>4.4247570190911745E-3</v>
      </c>
      <c r="AK874" s="761">
        <v>4.449317440706313E-3</v>
      </c>
      <c r="AL874" s="761">
        <v>4.4739047924919895E-3</v>
      </c>
      <c r="AM874" s="761">
        <v>4.4985178996268527E-3</v>
      </c>
      <c r="AN874" s="761">
        <v>4.5231555822733416E-3</v>
      </c>
      <c r="AO874" s="761">
        <v>4.5478166558023947E-3</v>
      </c>
      <c r="AP874" s="761">
        <v>4.5724999310152725E-3</v>
      </c>
      <c r="AQ874" s="761">
        <v>4.5724999310152725E-3</v>
      </c>
      <c r="AR874" s="761">
        <v>4.5724999310152725E-3</v>
      </c>
      <c r="AS874" s="761">
        <v>4.5724999310152725E-3</v>
      </c>
      <c r="AT874" s="2"/>
      <c r="AU874" s="2"/>
    </row>
    <row r="875" spans="1:47" hidden="1" outlineLevel="1">
      <c r="A875" s="298"/>
      <c r="B875" s="2" t="s">
        <v>755</v>
      </c>
      <c r="C875" s="18"/>
      <c r="D875" s="18"/>
      <c r="E875" s="18"/>
      <c r="F875" s="18"/>
      <c r="G875" s="18"/>
      <c r="H875" s="18"/>
      <c r="I875" s="18"/>
      <c r="J875" s="18"/>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row>
    <row r="876" spans="1:47" hidden="1" outlineLevel="1">
      <c r="A876" s="298"/>
      <c r="B876" s="2" t="s">
        <v>435</v>
      </c>
      <c r="C876" s="18" t="s">
        <v>192</v>
      </c>
      <c r="D876" s="18"/>
      <c r="E876" s="18"/>
      <c r="F876" s="18"/>
      <c r="G876" s="18"/>
      <c r="H876" s="18"/>
      <c r="I876" s="18"/>
      <c r="J876" s="18"/>
      <c r="K876" s="530">
        <v>1.9</v>
      </c>
      <c r="L876" s="530">
        <v>2.1</v>
      </c>
      <c r="M876" s="530">
        <v>2.2000000000000002</v>
      </c>
      <c r="N876" s="3">
        <v>2.2109999999999999</v>
      </c>
      <c r="O876" s="3">
        <v>2.2220549999999997</v>
      </c>
      <c r="P876" s="3">
        <v>2.2331652749999993</v>
      </c>
      <c r="Q876" s="3">
        <v>2.2443311013749989</v>
      </c>
      <c r="R876" s="3">
        <v>2.2555527568818738</v>
      </c>
      <c r="S876" s="3">
        <v>2.2668305206662831</v>
      </c>
      <c r="T876" s="3">
        <v>2.2781646732696141</v>
      </c>
      <c r="U876" s="3">
        <v>2.2895554966359621</v>
      </c>
      <c r="V876" s="3">
        <v>2.3010032741191417</v>
      </c>
      <c r="W876" s="3">
        <v>2.3125082904897374</v>
      </c>
      <c r="X876" s="3">
        <v>2.3240708319421857</v>
      </c>
      <c r="Y876" s="3">
        <v>2.3356911861018963</v>
      </c>
      <c r="Z876" s="3">
        <v>2.3473696420324055</v>
      </c>
      <c r="AA876" s="3">
        <v>2.3591064902425671</v>
      </c>
      <c r="AB876" s="3">
        <v>2.3709020226937798</v>
      </c>
      <c r="AC876" s="3">
        <v>2.3827565328072486</v>
      </c>
      <c r="AD876" s="3">
        <v>2.3946703154712847</v>
      </c>
      <c r="AE876" s="3">
        <v>2.4066436670486411</v>
      </c>
      <c r="AF876" s="3">
        <v>2.418676885383884</v>
      </c>
      <c r="AG876" s="3">
        <v>2.4307702698108034</v>
      </c>
      <c r="AH876" s="3">
        <v>2.4429241211598569</v>
      </c>
      <c r="AI876" s="3">
        <v>2.4551387417656558</v>
      </c>
      <c r="AJ876" s="3">
        <v>2.4674144354744838</v>
      </c>
      <c r="AK876" s="3">
        <v>2.4797515076518559</v>
      </c>
      <c r="AL876" s="3">
        <v>2.4921502651901148</v>
      </c>
      <c r="AM876" s="3">
        <v>2.5046110165160651</v>
      </c>
      <c r="AN876" s="3">
        <v>2.5171340715986452</v>
      </c>
      <c r="AO876" s="3">
        <v>2.529719741956638</v>
      </c>
      <c r="AP876" s="3">
        <v>2.542368340666421</v>
      </c>
      <c r="AQ876" s="3">
        <v>2.542368340666421</v>
      </c>
      <c r="AR876" s="3">
        <v>2.542368340666421</v>
      </c>
      <c r="AS876" s="3">
        <v>2.542368340666421</v>
      </c>
      <c r="AT876" s="2"/>
      <c r="AU876" s="2"/>
    </row>
    <row r="877" spans="1:47" hidden="1" outlineLevel="1">
      <c r="A877" s="308"/>
      <c r="B877" s="514" t="s">
        <v>436</v>
      </c>
      <c r="C877" s="750" t="s">
        <v>733</v>
      </c>
      <c r="D877" s="750"/>
      <c r="E877" s="750"/>
      <c r="F877" s="750"/>
      <c r="G877" s="750"/>
      <c r="H877" s="750"/>
      <c r="I877" s="750"/>
      <c r="J877" s="750"/>
      <c r="K877" s="751">
        <v>0.21129340421052631</v>
      </c>
      <c r="L877" s="514">
        <v>0.19117022285714286</v>
      </c>
      <c r="M877" s="514">
        <v>0.18248066727272727</v>
      </c>
      <c r="N877" s="514">
        <v>0.18420171867933061</v>
      </c>
      <c r="O877" s="514">
        <v>0.20701557792223868</v>
      </c>
      <c r="P877" s="514">
        <v>0.23016657376601923</v>
      </c>
      <c r="Q877" s="513">
        <v>0.2543644294062713</v>
      </c>
      <c r="R877" s="513">
        <v>0.28335759296694296</v>
      </c>
      <c r="S877" s="513">
        <v>0.30662768727663819</v>
      </c>
      <c r="T877" s="514">
        <v>0.31987108243327517</v>
      </c>
      <c r="U877" s="514">
        <v>0.32632884465905398</v>
      </c>
      <c r="V877" s="513">
        <v>0.33213772817970727</v>
      </c>
      <c r="W877" s="513">
        <v>0.33709500770477752</v>
      </c>
      <c r="X877" s="514">
        <v>0.32535538057078039</v>
      </c>
      <c r="Y877" s="513">
        <v>0.33021143102706063</v>
      </c>
      <c r="Z877" s="513">
        <v>0.33513995984836015</v>
      </c>
      <c r="AA877" s="513">
        <v>0.34014204880132082</v>
      </c>
      <c r="AB877" s="513">
        <v>0.34521879579835546</v>
      </c>
      <c r="AC877" s="513">
        <v>0.3503713151386294</v>
      </c>
      <c r="AD877" s="513">
        <v>0.35560073775263884</v>
      </c>
      <c r="AE877" s="513">
        <v>0.36090821145043944</v>
      </c>
      <c r="AF877" s="513">
        <v>0.36629490117358032</v>
      </c>
      <c r="AG877" s="513">
        <v>0.37176198925079795</v>
      </c>
      <c r="AH877" s="513">
        <v>0.37731067565752635</v>
      </c>
      <c r="AI877" s="513">
        <v>0.38294217827928062</v>
      </c>
      <c r="AJ877" s="513">
        <v>0.3886577331789714</v>
      </c>
      <c r="AK877" s="513">
        <v>0.39445859486820983</v>
      </c>
      <c r="AL877" s="513">
        <v>0.40034603658266077</v>
      </c>
      <c r="AM877" s="513">
        <v>0.40632135056150653</v>
      </c>
      <c r="AN877" s="513">
        <v>0.41238584833108127</v>
      </c>
      <c r="AO877" s="513">
        <v>0.41854086099273935</v>
      </c>
      <c r="AP877" s="513">
        <v>0.42478773951501908</v>
      </c>
      <c r="AQ877" s="513">
        <v>0.42478773951501908</v>
      </c>
      <c r="AR877" s="513">
        <v>0.42478773951501908</v>
      </c>
      <c r="AS877" s="513">
        <v>0.42478773951501908</v>
      </c>
      <c r="AT877" s="312"/>
      <c r="AU877" s="514"/>
    </row>
    <row r="878" spans="1:47" hidden="1" outlineLevel="1">
      <c r="A878" s="298"/>
      <c r="B878" s="2" t="s">
        <v>756</v>
      </c>
      <c r="C878" s="38" t="s">
        <v>846</v>
      </c>
      <c r="D878" s="38"/>
      <c r="E878" s="38"/>
      <c r="F878" s="38"/>
      <c r="G878" s="38"/>
      <c r="H878" s="38"/>
      <c r="I878" s="38"/>
      <c r="J878" s="38"/>
      <c r="K878" s="570">
        <v>401.45746800000001</v>
      </c>
      <c r="L878" s="570">
        <v>401.45746800000001</v>
      </c>
      <c r="M878" s="570">
        <v>401.45746800000001</v>
      </c>
      <c r="N878" s="570">
        <v>407.27</v>
      </c>
      <c r="O878" s="570">
        <v>460</v>
      </c>
      <c r="P878" s="570">
        <v>514</v>
      </c>
      <c r="Q878" s="570">
        <v>570.87800000000004</v>
      </c>
      <c r="R878" s="570">
        <v>639.12800000000004</v>
      </c>
      <c r="S878" s="570">
        <v>695.07299999999998</v>
      </c>
      <c r="T878" s="570">
        <v>728.71900000000005</v>
      </c>
      <c r="U878" s="570">
        <v>747.14800000000002</v>
      </c>
      <c r="V878" s="570">
        <v>764.25</v>
      </c>
      <c r="W878" s="19">
        <v>779.53499999999997</v>
      </c>
      <c r="X878" s="19">
        <v>756.1489499999999</v>
      </c>
      <c r="Y878" s="19">
        <v>771.27192899999989</v>
      </c>
      <c r="Z878" s="19">
        <v>786.69736757999988</v>
      </c>
      <c r="AA878" s="19">
        <v>802.4313149315999</v>
      </c>
      <c r="AB878" s="19">
        <v>818.47994123023193</v>
      </c>
      <c r="AC878" s="19">
        <v>834.84954005483655</v>
      </c>
      <c r="AD878" s="19">
        <v>851.54653085593327</v>
      </c>
      <c r="AE878" s="19">
        <v>868.57746147305193</v>
      </c>
      <c r="AF878" s="19">
        <v>885.94901070251296</v>
      </c>
      <c r="AG878" s="19">
        <v>903.66799091656321</v>
      </c>
      <c r="AH878" s="19">
        <v>921.74135073489447</v>
      </c>
      <c r="AI878" s="19">
        <v>940.1761777495924</v>
      </c>
      <c r="AJ878" s="19">
        <v>958.9797013045843</v>
      </c>
      <c r="AK878" s="19">
        <v>978.15929533067595</v>
      </c>
      <c r="AL878" s="19">
        <v>997.72248123728946</v>
      </c>
      <c r="AM878" s="19">
        <v>1017.6769308620353</v>
      </c>
      <c r="AN878" s="19">
        <v>1038.030469479276</v>
      </c>
      <c r="AO878" s="19">
        <v>1058.7910788688616</v>
      </c>
      <c r="AP878" s="19">
        <v>1079.9669004462389</v>
      </c>
      <c r="AQ878" s="19">
        <v>1079.9669004462389</v>
      </c>
      <c r="AR878" s="19">
        <v>1079.9669004462389</v>
      </c>
      <c r="AS878" s="19">
        <v>1079.9669004462389</v>
      </c>
      <c r="AT878" s="2"/>
      <c r="AU878" s="2"/>
    </row>
    <row r="879" spans="1:47" hidden="1" outlineLevel="1">
      <c r="A879" s="308"/>
      <c r="B879" s="758" t="s">
        <v>614</v>
      </c>
      <c r="C879" s="750" t="s">
        <v>733</v>
      </c>
      <c r="D879" s="750"/>
      <c r="E879" s="750"/>
      <c r="F879" s="750"/>
      <c r="G879" s="750"/>
      <c r="H879" s="750"/>
      <c r="I879" s="750"/>
      <c r="J879" s="750"/>
      <c r="K879" s="759">
        <v>0.19752806026753778</v>
      </c>
      <c r="L879" s="312">
        <v>0</v>
      </c>
      <c r="M879" s="312">
        <v>0</v>
      </c>
      <c r="N879" s="312">
        <v>1.4478574851171988E-2</v>
      </c>
      <c r="O879" s="312">
        <v>0.12947184914184695</v>
      </c>
      <c r="P879" s="312">
        <v>0.11739130434782608</v>
      </c>
      <c r="Q879" s="312">
        <v>0.11065758754863819</v>
      </c>
      <c r="R879" s="312">
        <v>0.11955268901586669</v>
      </c>
      <c r="S879" s="312">
        <v>8.7533326657570854E-2</v>
      </c>
      <c r="T879" s="312">
        <v>4.8406426375359191E-2</v>
      </c>
      <c r="U879" s="312">
        <v>2.5289583502008384E-2</v>
      </c>
      <c r="V879" s="743">
        <v>2.2889708598564207E-2</v>
      </c>
      <c r="W879" s="756">
        <v>0.02</v>
      </c>
      <c r="X879" s="756">
        <v>-0.03</v>
      </c>
      <c r="Y879" s="756">
        <v>0.02</v>
      </c>
      <c r="Z879" s="756">
        <v>0.02</v>
      </c>
      <c r="AA879" s="755">
        <v>0.02</v>
      </c>
      <c r="AB879" s="755">
        <v>0.02</v>
      </c>
      <c r="AC879" s="756">
        <v>0.02</v>
      </c>
      <c r="AD879" s="755">
        <v>0.02</v>
      </c>
      <c r="AE879" s="755">
        <v>0.02</v>
      </c>
      <c r="AF879" s="755">
        <v>0.02</v>
      </c>
      <c r="AG879" s="755">
        <v>0.02</v>
      </c>
      <c r="AH879" s="755">
        <v>0.02</v>
      </c>
      <c r="AI879" s="755">
        <v>0.02</v>
      </c>
      <c r="AJ879" s="755">
        <v>0.02</v>
      </c>
      <c r="AK879" s="755">
        <v>0.02</v>
      </c>
      <c r="AL879" s="755">
        <v>0.02</v>
      </c>
      <c r="AM879" s="755">
        <v>0.02</v>
      </c>
      <c r="AN879" s="755">
        <v>0.02</v>
      </c>
      <c r="AO879" s="760">
        <v>0.02</v>
      </c>
      <c r="AP879" s="760">
        <v>0.02</v>
      </c>
      <c r="AQ879" s="760">
        <v>0.02</v>
      </c>
      <c r="AR879" s="760">
        <v>0.02</v>
      </c>
      <c r="AS879" s="760">
        <v>0.02</v>
      </c>
      <c r="AT879" s="312"/>
      <c r="AU879" s="514"/>
    </row>
    <row r="880" spans="1:47" hidden="1" outlineLevel="1">
      <c r="A880" s="298"/>
      <c r="B880" s="2" t="s">
        <v>757</v>
      </c>
      <c r="C880" s="38"/>
      <c r="D880" s="38"/>
      <c r="E880" s="38"/>
      <c r="F880" s="38"/>
      <c r="G880" s="38"/>
      <c r="H880" s="38"/>
      <c r="I880" s="38"/>
      <c r="J880" s="38"/>
      <c r="K880" s="570">
        <v>66.219003600000008</v>
      </c>
      <c r="L880" s="19">
        <v>0</v>
      </c>
      <c r="M880" s="19">
        <v>0</v>
      </c>
      <c r="N880" s="19">
        <v>5.8125319999999761</v>
      </c>
      <c r="O880" s="19">
        <v>52.730000000000018</v>
      </c>
      <c r="P880" s="19">
        <v>54</v>
      </c>
      <c r="Q880" s="19">
        <v>56.878000000000043</v>
      </c>
      <c r="R880" s="19">
        <v>68.25</v>
      </c>
      <c r="S880" s="19">
        <v>55.944999999999936</v>
      </c>
      <c r="T880" s="19">
        <v>33.646000000000072</v>
      </c>
      <c r="U880" s="19">
        <v>18.428999999999974</v>
      </c>
      <c r="V880" s="19">
        <v>17.101999999999975</v>
      </c>
      <c r="W880" s="19">
        <v>15.284999999999968</v>
      </c>
      <c r="X880" s="19">
        <v>-23.386050000000068</v>
      </c>
      <c r="Y880" s="19">
        <v>15.122978999999987</v>
      </c>
      <c r="Z880" s="19">
        <v>15.425438579999991</v>
      </c>
      <c r="AA880" s="19">
        <v>15.733947351600023</v>
      </c>
      <c r="AB880" s="19">
        <v>16.04862629863203</v>
      </c>
      <c r="AC880" s="19">
        <v>16.369598824604623</v>
      </c>
      <c r="AD880" s="19">
        <v>16.696990801096717</v>
      </c>
      <c r="AE880" s="19">
        <v>17.030930617118656</v>
      </c>
      <c r="AF880" s="19">
        <v>17.371549229461039</v>
      </c>
      <c r="AG880" s="19">
        <v>17.718980214050248</v>
      </c>
      <c r="AH880" s="19">
        <v>18.073359818331255</v>
      </c>
      <c r="AI880" s="19">
        <v>18.43482701469793</v>
      </c>
      <c r="AJ880" s="19">
        <v>18.803523554991898</v>
      </c>
      <c r="AK880" s="19">
        <v>19.17959402609165</v>
      </c>
      <c r="AL880" s="19">
        <v>19.563185906613512</v>
      </c>
      <c r="AM880" s="19">
        <v>19.954449624745848</v>
      </c>
      <c r="AN880" s="19">
        <v>20.353538617240702</v>
      </c>
      <c r="AO880" s="19">
        <v>20.760609389585625</v>
      </c>
      <c r="AP880" s="19">
        <v>21.175821577377292</v>
      </c>
      <c r="AQ880" s="19">
        <v>21.175821577377292</v>
      </c>
      <c r="AR880" s="19">
        <v>21.175821577377292</v>
      </c>
      <c r="AS880" s="19">
        <v>21.175821577377292</v>
      </c>
      <c r="AT880" s="2"/>
      <c r="AU880" s="2"/>
    </row>
    <row r="881" spans="1:47" hidden="1" outlineLevel="1">
      <c r="A881" s="298"/>
      <c r="B881" s="2" t="s">
        <v>773</v>
      </c>
      <c r="C881" s="38" t="s">
        <v>846</v>
      </c>
      <c r="D881" s="38"/>
      <c r="E881" s="38"/>
      <c r="F881" s="38"/>
      <c r="G881" s="38"/>
      <c r="H881" s="38"/>
      <c r="I881" s="38"/>
      <c r="J881" s="38"/>
      <c r="K881" s="570">
        <v>368.34796619999997</v>
      </c>
      <c r="L881" s="19">
        <v>401.45746800000001</v>
      </c>
      <c r="M881" s="19">
        <v>401.45746800000001</v>
      </c>
      <c r="N881" s="19">
        <v>404.36373400000002</v>
      </c>
      <c r="O881" s="19">
        <v>433.63499999999999</v>
      </c>
      <c r="P881" s="19">
        <v>487</v>
      </c>
      <c r="Q881" s="19">
        <v>542.43900000000008</v>
      </c>
      <c r="R881" s="19">
        <v>605.00300000000004</v>
      </c>
      <c r="S881" s="19">
        <v>667.10050000000001</v>
      </c>
      <c r="T881" s="19">
        <v>711.89599999999996</v>
      </c>
      <c r="U881" s="19">
        <v>737.93350000000009</v>
      </c>
      <c r="V881" s="19">
        <v>755.69900000000007</v>
      </c>
      <c r="W881" s="19">
        <v>771.89249999999993</v>
      </c>
      <c r="X881" s="19">
        <v>767.84197499999993</v>
      </c>
      <c r="Y881" s="19">
        <v>763.71043949999989</v>
      </c>
      <c r="Z881" s="19">
        <v>778.98464828999988</v>
      </c>
      <c r="AA881" s="19">
        <v>794.56434125579995</v>
      </c>
      <c r="AB881" s="19">
        <v>810.45562808091586</v>
      </c>
      <c r="AC881" s="19">
        <v>826.6647406425343</v>
      </c>
      <c r="AD881" s="19">
        <v>843.19803545538491</v>
      </c>
      <c r="AE881" s="19">
        <v>860.0619961644926</v>
      </c>
      <c r="AF881" s="19">
        <v>877.26323608778239</v>
      </c>
      <c r="AG881" s="19">
        <v>894.80850080953815</v>
      </c>
      <c r="AH881" s="19">
        <v>912.70467082572884</v>
      </c>
      <c r="AI881" s="19">
        <v>930.95876424224343</v>
      </c>
      <c r="AJ881" s="19">
        <v>949.57793952708835</v>
      </c>
      <c r="AK881" s="19">
        <v>968.56949831763018</v>
      </c>
      <c r="AL881" s="19">
        <v>987.94088828398276</v>
      </c>
      <c r="AM881" s="19">
        <v>1007.6997060496624</v>
      </c>
      <c r="AN881" s="19">
        <v>1027.8537001706557</v>
      </c>
      <c r="AO881" s="19">
        <v>1048.4107741740688</v>
      </c>
      <c r="AP881" s="19">
        <v>1069.3789896575504</v>
      </c>
      <c r="AQ881" s="19">
        <v>1069.3789896575504</v>
      </c>
      <c r="AR881" s="19">
        <v>1069.3789896575504</v>
      </c>
      <c r="AS881" s="19">
        <v>1069.3789896575504</v>
      </c>
      <c r="AT881" s="2"/>
      <c r="AU881" s="2"/>
    </row>
    <row r="882" spans="1:47" hidden="1" outlineLevel="1">
      <c r="A882" s="308"/>
      <c r="B882" s="758" t="s">
        <v>614</v>
      </c>
      <c r="C882" s="750" t="s">
        <v>733</v>
      </c>
      <c r="D882" s="750"/>
      <c r="E882" s="750"/>
      <c r="F882" s="750"/>
      <c r="G882" s="750"/>
      <c r="H882" s="750"/>
      <c r="I882" s="750"/>
      <c r="J882" s="750"/>
      <c r="K882" s="759">
        <v>0.33813707858338682</v>
      </c>
      <c r="L882" s="312">
        <v>8.9886479194031255E-2</v>
      </c>
      <c r="M882" s="312">
        <v>0</v>
      </c>
      <c r="N882" s="312">
        <v>7.239287425585994E-3</v>
      </c>
      <c r="O882" s="312">
        <v>7.23884550932552E-2</v>
      </c>
      <c r="P882" s="312">
        <v>0.1230643282945334</v>
      </c>
      <c r="Q882" s="313">
        <v>0.1138377823408625</v>
      </c>
      <c r="R882" s="313">
        <v>0.11533831453859311</v>
      </c>
      <c r="S882" s="312">
        <v>0.10263998690915566</v>
      </c>
      <c r="T882" s="312">
        <v>6.7149552428756865E-2</v>
      </c>
      <c r="U882" s="312">
        <v>3.657486486790229E-2</v>
      </c>
      <c r="V882" s="313">
        <v>2.407466255428159E-2</v>
      </c>
      <c r="W882" s="313">
        <v>2.1428505264662112E-2</v>
      </c>
      <c r="X882" s="312">
        <v>-5.2475247524752522E-3</v>
      </c>
      <c r="Y882" s="312">
        <v>-5.3807106598985355E-3</v>
      </c>
      <c r="Z882" s="313">
        <v>2.0000000000000018E-2</v>
      </c>
      <c r="AA882" s="313">
        <v>2.0000000000000018E-2</v>
      </c>
      <c r="AB882" s="313">
        <v>1.9999999999999796E-2</v>
      </c>
      <c r="AC882" s="313">
        <v>2.000000000000024E-2</v>
      </c>
      <c r="AD882" s="313">
        <v>2.0000000000000018E-2</v>
      </c>
      <c r="AE882" s="313">
        <v>2.0000000000000018E-2</v>
      </c>
      <c r="AF882" s="313">
        <v>2.0000000000000018E-2</v>
      </c>
      <c r="AG882" s="313">
        <v>2.0000000000000018E-2</v>
      </c>
      <c r="AH882" s="313">
        <v>2.0000000000000018E-2</v>
      </c>
      <c r="AI882" s="313">
        <v>2.0000000000000018E-2</v>
      </c>
      <c r="AJ882" s="313">
        <v>2.0000000000000018E-2</v>
      </c>
      <c r="AK882" s="313">
        <v>2.0000000000000018E-2</v>
      </c>
      <c r="AL882" s="313">
        <v>2.0000000000000018E-2</v>
      </c>
      <c r="AM882" s="313">
        <v>2.0000000000000018E-2</v>
      </c>
      <c r="AN882" s="313">
        <v>2.0000000000000018E-2</v>
      </c>
      <c r="AO882" s="313">
        <v>2.0000000000000018E-2</v>
      </c>
      <c r="AP882" s="313">
        <v>2.000000000000024E-2</v>
      </c>
      <c r="AQ882" s="313">
        <v>2.000000000000024E-2</v>
      </c>
      <c r="AR882" s="313">
        <v>2.000000000000024E-2</v>
      </c>
      <c r="AS882" s="313">
        <v>2.000000000000024E-2</v>
      </c>
      <c r="AT882" s="312"/>
      <c r="AU882" s="514"/>
    </row>
    <row r="883" spans="1:47" hidden="1" outlineLevel="1">
      <c r="A883" s="298"/>
      <c r="B883" s="2" t="s">
        <v>774</v>
      </c>
      <c r="C883" s="38" t="s">
        <v>846</v>
      </c>
      <c r="D883" s="38"/>
      <c r="E883" s="38"/>
      <c r="F883" s="38"/>
      <c r="G883" s="38"/>
      <c r="H883" s="38"/>
      <c r="I883" s="38"/>
      <c r="J883" s="38"/>
      <c r="K883" s="570">
        <v>1036.4728108124998</v>
      </c>
      <c r="L883" s="19">
        <v>1145.4314039906249</v>
      </c>
      <c r="M883" s="19">
        <v>1199.4701971139059</v>
      </c>
      <c r="N883" s="19">
        <v>1241.8245200462934</v>
      </c>
      <c r="O883" s="19">
        <v>1363.8986701156805</v>
      </c>
      <c r="P883" s="19">
        <v>1537.3619265266802</v>
      </c>
      <c r="Q883" s="19">
        <v>1700.9037259703382</v>
      </c>
      <c r="R883" s="19">
        <v>1930.7474047840965</v>
      </c>
      <c r="S883" s="19">
        <v>2062.0955534519617</v>
      </c>
      <c r="T883" s="19">
        <v>2187.3320645332433</v>
      </c>
      <c r="U883" s="19">
        <v>2288.477782775145</v>
      </c>
      <c r="V883" s="19">
        <v>2344.5769885741083</v>
      </c>
      <c r="W883" s="19">
        <v>2395.0990384846227</v>
      </c>
      <c r="X883" s="19">
        <v>2396.5606742883951</v>
      </c>
      <c r="Y883" s="19">
        <v>2387.7413051299327</v>
      </c>
      <c r="Z883" s="19">
        <v>2423.5007209715263</v>
      </c>
      <c r="AA883" s="19">
        <v>2482.9876515448213</v>
      </c>
      <c r="AB883" s="19">
        <v>2508.5297270685505</v>
      </c>
      <c r="AC883" s="19">
        <v>2544.0760933278516</v>
      </c>
      <c r="AD883" s="19">
        <v>2568.0851982699833</v>
      </c>
      <c r="AE883" s="19">
        <v>2592.5013641695477</v>
      </c>
      <c r="AF883" s="19">
        <v>2617.3320010342786</v>
      </c>
      <c r="AG883" s="19">
        <v>2642.5846597599511</v>
      </c>
      <c r="AH883" s="19">
        <v>2668.2670348750216</v>
      </c>
      <c r="AI883" s="19">
        <v>2694.3869673394256</v>
      </c>
      <c r="AJ883" s="19">
        <v>2720.9524473986212</v>
      </c>
      <c r="AK883" s="19">
        <v>2747.9716174939581</v>
      </c>
      <c r="AL883" s="19">
        <v>2775.4527752305094</v>
      </c>
      <c r="AM883" s="19">
        <v>2803.4043764034923</v>
      </c>
      <c r="AN883" s="19">
        <v>2831.8350380844522</v>
      </c>
      <c r="AO883" s="19">
        <v>2860.7535417683948</v>
      </c>
      <c r="AP883" s="19">
        <v>2890.1688365830723</v>
      </c>
      <c r="AQ883" s="19">
        <v>2890.1688365830723</v>
      </c>
      <c r="AR883" s="19">
        <v>2890.1688365830723</v>
      </c>
      <c r="AS883" s="19">
        <v>2890.1688365830723</v>
      </c>
      <c r="AT883" s="2"/>
      <c r="AU883" s="2"/>
    </row>
    <row r="884" spans="1:47" hidden="1" outlineLevel="1">
      <c r="A884" s="308"/>
      <c r="B884" s="758" t="s">
        <v>614</v>
      </c>
      <c r="C884" s="750" t="s">
        <v>733</v>
      </c>
      <c r="D884" s="750"/>
      <c r="E884" s="750"/>
      <c r="F884" s="750"/>
      <c r="G884" s="750"/>
      <c r="H884" s="750"/>
      <c r="I884" s="750"/>
      <c r="J884" s="750"/>
      <c r="K884" s="759">
        <v>0.24838457666277636</v>
      </c>
      <c r="L884" s="312">
        <v>0.1051244104442175</v>
      </c>
      <c r="M884" s="312">
        <v>4.7177677279505836E-2</v>
      </c>
      <c r="N884" s="312">
        <v>3.5310858939470169E-2</v>
      </c>
      <c r="O884" s="312">
        <v>9.8302254544656797E-2</v>
      </c>
      <c r="P884" s="312">
        <v>0.12718192356349123</v>
      </c>
      <c r="Q884" s="312">
        <v>0.10637820322059333</v>
      </c>
      <c r="R884" s="312">
        <v>0.13513032825102211</v>
      </c>
      <c r="S884" s="312">
        <v>6.8029690648504504E-2</v>
      </c>
      <c r="T884" s="312">
        <v>6.0732642030886907E-2</v>
      </c>
      <c r="U884" s="312">
        <v>4.6241592615013039E-2</v>
      </c>
      <c r="V884" s="313">
        <v>2.4513764661037829E-2</v>
      </c>
      <c r="W884" s="313">
        <v>2.1548471283615367E-2</v>
      </c>
      <c r="X884" s="312">
        <v>6.1026111249962156E-4</v>
      </c>
      <c r="Y884" s="312">
        <v>-3.680010797590616E-3</v>
      </c>
      <c r="Z884" s="313">
        <v>1.4976252144554447E-2</v>
      </c>
      <c r="AA884" s="313">
        <v>2.4545868733824028E-2</v>
      </c>
      <c r="AB884" s="313">
        <v>1.0286831474106473E-2</v>
      </c>
      <c r="AC884" s="313">
        <v>1.4170199330601596E-2</v>
      </c>
      <c r="AD884" s="313">
        <v>9.4372589739348811E-3</v>
      </c>
      <c r="AE884" s="313">
        <v>9.5075373340467451E-3</v>
      </c>
      <c r="AF884" s="313">
        <v>9.5778683891589722E-3</v>
      </c>
      <c r="AG884" s="313">
        <v>9.6482443632268655E-3</v>
      </c>
      <c r="AH884" s="313">
        <v>9.7186574591723307E-3</v>
      </c>
      <c r="AI884" s="313">
        <v>9.7890998625733694E-3</v>
      </c>
      <c r="AJ884" s="313">
        <v>9.859563745376887E-3</v>
      </c>
      <c r="AK884" s="313">
        <v>9.9300412696181617E-3</v>
      </c>
      <c r="AL884" s="313">
        <v>1.0000524591157633E-2</v>
      </c>
      <c r="AM884" s="313">
        <v>1.0071005863416804E-2</v>
      </c>
      <c r="AN884" s="313">
        <v>1.0141477241122798E-2</v>
      </c>
      <c r="AO884" s="313">
        <v>1.0211930884047593E-2</v>
      </c>
      <c r="AP884" s="313">
        <v>1.0282358960742366E-2</v>
      </c>
      <c r="AQ884" s="313">
        <v>1.0282358960742366E-2</v>
      </c>
      <c r="AR884" s="313">
        <v>1.0282358960742366E-2</v>
      </c>
      <c r="AS884" s="313">
        <v>1.0282358960742366E-2</v>
      </c>
      <c r="AT884" s="312"/>
      <c r="AU884" s="514"/>
    </row>
    <row r="885" spans="1:47" hidden="1" outlineLevel="1">
      <c r="A885" s="298"/>
      <c r="B885" s="2" t="s">
        <v>775</v>
      </c>
      <c r="C885" s="38" t="s">
        <v>846</v>
      </c>
      <c r="D885" s="38"/>
      <c r="E885" s="38"/>
      <c r="F885" s="38"/>
      <c r="G885" s="38"/>
      <c r="H885" s="38"/>
      <c r="I885" s="38"/>
      <c r="J885" s="38"/>
      <c r="K885" s="570">
        <v>933.36201260624989</v>
      </c>
      <c r="L885" s="19">
        <v>1090.9521074015622</v>
      </c>
      <c r="M885" s="19">
        <v>1172.4508005522653</v>
      </c>
      <c r="N885" s="19">
        <v>1223.5536245800995</v>
      </c>
      <c r="O885" s="19">
        <v>1329.226595080987</v>
      </c>
      <c r="P885" s="19">
        <v>1477.6302983211804</v>
      </c>
      <c r="Q885" s="19">
        <v>1647.5718262485093</v>
      </c>
      <c r="R885" s="19">
        <v>1849.9505653772176</v>
      </c>
      <c r="S885" s="19">
        <v>2024.3939791180292</v>
      </c>
      <c r="T885" s="19">
        <v>2141.5368089926023</v>
      </c>
      <c r="U885" s="19">
        <v>2247.1194236541937</v>
      </c>
      <c r="V885" s="19">
        <v>2325.0783856746266</v>
      </c>
      <c r="W885" s="19">
        <v>2377.4805135293655</v>
      </c>
      <c r="X885" s="19">
        <v>2384.1368313865087</v>
      </c>
      <c r="Y885" s="19">
        <v>2399.712479209164</v>
      </c>
      <c r="Z885" s="19">
        <v>2413.3337323407295</v>
      </c>
      <c r="AA885" s="19">
        <v>2461.1111599339738</v>
      </c>
      <c r="AB885" s="19">
        <v>2503.7830024560021</v>
      </c>
      <c r="AC885" s="19">
        <v>2534.4877096105038</v>
      </c>
      <c r="AD885" s="19">
        <v>2564.4291411994659</v>
      </c>
      <c r="AE885" s="19">
        <v>2588.8087465283247</v>
      </c>
      <c r="AF885" s="19">
        <v>2613.6024572166434</v>
      </c>
      <c r="AG885" s="19">
        <v>2638.8178205041399</v>
      </c>
      <c r="AH885" s="19">
        <v>2664.4625272266521</v>
      </c>
      <c r="AI885" s="19">
        <v>2690.5444146145728</v>
      </c>
      <c r="AJ885" s="19">
        <v>2717.0714691465191</v>
      </c>
      <c r="AK885" s="19">
        <v>2744.0518294593353</v>
      </c>
      <c r="AL885" s="19">
        <v>2771.4937893155402</v>
      </c>
      <c r="AM885" s="19">
        <v>2799.4058006293735</v>
      </c>
      <c r="AN885" s="19">
        <v>2827.796476552593</v>
      </c>
      <c r="AO885" s="19">
        <v>2856.6745946212168</v>
      </c>
      <c r="AP885" s="19">
        <v>2886.0490999644226</v>
      </c>
      <c r="AQ885" s="19">
        <v>2886.0490999644226</v>
      </c>
      <c r="AR885" s="19">
        <v>2886.0490999644226</v>
      </c>
      <c r="AS885" s="19">
        <v>2886.0490999644226</v>
      </c>
      <c r="AT885" s="2"/>
      <c r="AU885" s="2"/>
    </row>
    <row r="886" spans="1:47" hidden="1" outlineLevel="1">
      <c r="A886" s="308"/>
      <c r="B886" s="758" t="s">
        <v>614</v>
      </c>
      <c r="C886" s="750" t="s">
        <v>733</v>
      </c>
      <c r="D886" s="750"/>
      <c r="E886" s="750"/>
      <c r="F886" s="750"/>
      <c r="G886" s="750"/>
      <c r="H886" s="750"/>
      <c r="I886" s="750"/>
      <c r="J886" s="750"/>
      <c r="K886" s="759">
        <v>0.36301877986381914</v>
      </c>
      <c r="L886" s="312">
        <v>0.16884134201612677</v>
      </c>
      <c r="M886" s="312">
        <v>7.4704189668616472E-2</v>
      </c>
      <c r="N886" s="312">
        <v>4.3586327037145711E-2</v>
      </c>
      <c r="O886" s="312">
        <v>8.6365622542414089E-2</v>
      </c>
      <c r="P886" s="312">
        <v>0.11164665512214755</v>
      </c>
      <c r="Q886" s="312">
        <v>0.11500950415026634</v>
      </c>
      <c r="R886" s="312">
        <v>0.12283454712230713</v>
      </c>
      <c r="S886" s="312">
        <v>9.4296256886865271E-2</v>
      </c>
      <c r="T886" s="312">
        <v>5.7865628470999964E-2</v>
      </c>
      <c r="U886" s="312">
        <v>4.930226471860566E-2</v>
      </c>
      <c r="V886" s="313">
        <v>3.4692843290748954E-2</v>
      </c>
      <c r="W886" s="313">
        <v>2.253778976984222E-2</v>
      </c>
      <c r="X886" s="312">
        <v>2.799736031174449E-3</v>
      </c>
      <c r="Y886" s="312">
        <v>6.5330343534004687E-3</v>
      </c>
      <c r="Z886" s="313">
        <v>5.6762021490401882E-3</v>
      </c>
      <c r="AA886" s="313">
        <v>1.9797273353861611E-2</v>
      </c>
      <c r="AB886" s="313">
        <v>1.7338445827523419E-2</v>
      </c>
      <c r="AC886" s="313">
        <v>1.2263325984872786E-2</v>
      </c>
      <c r="AD886" s="313">
        <v>1.1813602991810779E-2</v>
      </c>
      <c r="AE886" s="313">
        <v>9.5068352395402123E-3</v>
      </c>
      <c r="AF886" s="313">
        <v>9.5772662702751088E-3</v>
      </c>
      <c r="AG886" s="313">
        <v>9.6477424169356674E-3</v>
      </c>
      <c r="AH886" s="313">
        <v>9.7182558504977923E-3</v>
      </c>
      <c r="AI886" s="313">
        <v>9.7887987244724695E-3</v>
      </c>
      <c r="AJ886" s="313">
        <v>9.8593631786398905E-3</v>
      </c>
      <c r="AK886" s="313">
        <v>9.929941342798454E-3</v>
      </c>
      <c r="AL886" s="313">
        <v>1.0000525340518651E-2</v>
      </c>
      <c r="AM886" s="313">
        <v>1.0071107292910941E-2</v>
      </c>
      <c r="AN886" s="313">
        <v>1.0141679322389185E-2</v>
      </c>
      <c r="AO886" s="313">
        <v>1.0212233556436745E-2</v>
      </c>
      <c r="AP886" s="313">
        <v>1.0282762131365697E-2</v>
      </c>
      <c r="AQ886" s="313">
        <v>1.0282762131365697E-2</v>
      </c>
      <c r="AR886" s="313">
        <v>1.0282762131365697E-2</v>
      </c>
      <c r="AS886" s="313">
        <v>1.0282762131365697E-2</v>
      </c>
      <c r="AT886" s="312"/>
      <c r="AU886" s="514"/>
    </row>
    <row r="887" spans="1:47" hidden="1" outlineLevel="1">
      <c r="A887" s="301"/>
      <c r="B887" s="2" t="s">
        <v>600</v>
      </c>
      <c r="C887" s="38" t="s">
        <v>846</v>
      </c>
      <c r="D887" s="38"/>
      <c r="E887" s="38"/>
      <c r="F887" s="38"/>
      <c r="G887" s="38"/>
      <c r="H887" s="38"/>
      <c r="I887" s="38"/>
      <c r="J887" s="38"/>
      <c r="K887" s="570">
        <v>1253.4728108124998</v>
      </c>
      <c r="L887" s="19">
        <v>1377.4314039906249</v>
      </c>
      <c r="M887" s="19">
        <v>1469.4701971139059</v>
      </c>
      <c r="N887" s="19">
        <v>1465.1355200462933</v>
      </c>
      <c r="O887" s="19">
        <v>1559.4395101156804</v>
      </c>
      <c r="P887" s="19">
        <v>1694.8000784141802</v>
      </c>
      <c r="Q887" s="19">
        <v>1824.3419365459631</v>
      </c>
      <c r="R887" s="19">
        <v>2108.9360725777647</v>
      </c>
      <c r="S887" s="19">
        <v>2236.6415035432656</v>
      </c>
      <c r="T887" s="19">
        <v>2358.6500479631181</v>
      </c>
      <c r="U887" s="19">
        <v>2378.9152248922655</v>
      </c>
      <c r="V887" s="19">
        <v>2415.9080900718018</v>
      </c>
      <c r="W887" s="19">
        <v>2570.8496685618429</v>
      </c>
      <c r="X887" s="19">
        <v>2396.5606742883951</v>
      </c>
      <c r="Y887" s="19">
        <v>2387.7413051299327</v>
      </c>
      <c r="Z887" s="19">
        <v>2423.5007209715263</v>
      </c>
      <c r="AA887" s="19">
        <v>2482.9876515448213</v>
      </c>
      <c r="AB887" s="19">
        <v>2508.5297270685505</v>
      </c>
      <c r="AC887" s="19">
        <v>2544.0760933278516</v>
      </c>
      <c r="AD887" s="19">
        <v>2568.0851982699833</v>
      </c>
      <c r="AE887" s="19">
        <v>2592.5013641695477</v>
      </c>
      <c r="AF887" s="19">
        <v>2617.3320010342786</v>
      </c>
      <c r="AG887" s="19">
        <v>2642.5846597599511</v>
      </c>
      <c r="AH887" s="19">
        <v>2668.2670348750216</v>
      </c>
      <c r="AI887" s="19">
        <v>2694.3869673394256</v>
      </c>
      <c r="AJ887" s="19">
        <v>2720.9524473986212</v>
      </c>
      <c r="AK887" s="19">
        <v>2747.9716174939581</v>
      </c>
      <c r="AL887" s="19">
        <v>2775.4527752305094</v>
      </c>
      <c r="AM887" s="19">
        <v>2803.4043764034923</v>
      </c>
      <c r="AN887" s="19">
        <v>2831.8350380844522</v>
      </c>
      <c r="AO887" s="19">
        <v>2860.7535417683948</v>
      </c>
      <c r="AP887" s="19">
        <v>2890.1688365830723</v>
      </c>
      <c r="AQ887" s="19">
        <v>2890.1688365830723</v>
      </c>
      <c r="AR887" s="19">
        <v>2890.1688365830723</v>
      </c>
      <c r="AS887" s="19">
        <v>2890.1688365830723</v>
      </c>
      <c r="AT887" s="6"/>
      <c r="AU887" s="6"/>
    </row>
    <row r="888" spans="1:47" hidden="1" outlineLevel="1">
      <c r="A888" s="326"/>
      <c r="B888" s="758" t="s">
        <v>614</v>
      </c>
      <c r="C888" s="750" t="s">
        <v>733</v>
      </c>
      <c r="D888" s="750"/>
      <c r="E888" s="750"/>
      <c r="F888" s="750"/>
      <c r="G888" s="750"/>
      <c r="H888" s="750"/>
      <c r="I888" s="750"/>
      <c r="J888" s="750"/>
      <c r="K888" s="759">
        <v>0.20613071550383366</v>
      </c>
      <c r="L888" s="312">
        <v>9.8892127622437487E-2</v>
      </c>
      <c r="M888" s="312">
        <v>6.6819148203410172E-2</v>
      </c>
      <c r="N888" s="312">
        <v>-2.9498230560416339E-3</v>
      </c>
      <c r="O888" s="312">
        <v>6.436537015115662E-2</v>
      </c>
      <c r="P888" s="312">
        <v>8.6800781575977037E-2</v>
      </c>
      <c r="Q888" s="312">
        <v>7.6434890334082795E-2</v>
      </c>
      <c r="R888" s="312">
        <v>0.15599824261597872</v>
      </c>
      <c r="S888" s="312">
        <v>6.0554434354857412E-2</v>
      </c>
      <c r="T888" s="312">
        <v>5.4549888404810343E-2</v>
      </c>
      <c r="U888" s="312">
        <v>8.591854033898727E-3</v>
      </c>
      <c r="V888" s="313">
        <v>1.555030830542159E-2</v>
      </c>
      <c r="W888" s="313">
        <v>6.4133887843984994E-2</v>
      </c>
      <c r="X888" s="312">
        <v>-6.779431578780204E-2</v>
      </c>
      <c r="Y888" s="312">
        <v>-3.680010797590616E-3</v>
      </c>
      <c r="Z888" s="313">
        <v>1.4976252144554447E-2</v>
      </c>
      <c r="AA888" s="313">
        <v>2.4545868733824028E-2</v>
      </c>
      <c r="AB888" s="313">
        <v>1.0286831474106473E-2</v>
      </c>
      <c r="AC888" s="313">
        <v>1.4170199330601596E-2</v>
      </c>
      <c r="AD888" s="313">
        <v>9.4372589739348811E-3</v>
      </c>
      <c r="AE888" s="313">
        <v>9.5075373340467451E-3</v>
      </c>
      <c r="AF888" s="313">
        <v>9.5778683891589722E-3</v>
      </c>
      <c r="AG888" s="313">
        <v>9.6482443632268655E-3</v>
      </c>
      <c r="AH888" s="313">
        <v>9.7186574591723307E-3</v>
      </c>
      <c r="AI888" s="313">
        <v>9.7890998625733694E-3</v>
      </c>
      <c r="AJ888" s="313">
        <v>9.859563745376887E-3</v>
      </c>
      <c r="AK888" s="313">
        <v>9.9300412696181617E-3</v>
      </c>
      <c r="AL888" s="313">
        <v>1.0000524591157633E-2</v>
      </c>
      <c r="AM888" s="313">
        <v>1.0071005863416804E-2</v>
      </c>
      <c r="AN888" s="313">
        <v>1.0141477241122798E-2</v>
      </c>
      <c r="AO888" s="313">
        <v>1.0211930884047593E-2</v>
      </c>
      <c r="AP888" s="313">
        <v>1.0282358960742366E-2</v>
      </c>
      <c r="AQ888" s="313">
        <v>1.0282358960742366E-2</v>
      </c>
      <c r="AR888" s="313">
        <v>1.0282358960742366E-2</v>
      </c>
      <c r="AS888" s="313">
        <v>1.0282358960742366E-2</v>
      </c>
      <c r="AT888" s="327"/>
      <c r="AU888" s="517"/>
    </row>
    <row r="889" spans="1:47" hidden="1" outlineLevel="1">
      <c r="A889" s="301"/>
      <c r="B889" s="2" t="s">
        <v>452</v>
      </c>
      <c r="C889" s="38" t="s">
        <v>846</v>
      </c>
      <c r="D889" s="38"/>
      <c r="E889" s="38"/>
      <c r="F889" s="38"/>
      <c r="G889" s="38"/>
      <c r="H889" s="38"/>
      <c r="I889" s="38"/>
      <c r="J889" s="38"/>
      <c r="K889" s="570">
        <v>1146.3620126062499</v>
      </c>
      <c r="L889" s="19">
        <v>1315.4521074015622</v>
      </c>
      <c r="M889" s="19">
        <v>1423.4508005522653</v>
      </c>
      <c r="N889" s="19">
        <v>1470.2091245800996</v>
      </c>
      <c r="O889" s="19">
        <v>1538.6525150809869</v>
      </c>
      <c r="P889" s="19">
        <v>1654.1197942649303</v>
      </c>
      <c r="Q889" s="19">
        <v>1788.0100074800716</v>
      </c>
      <c r="R889" s="19">
        <v>2000.7640045618641</v>
      </c>
      <c r="S889" s="19">
        <v>2200.7612880605152</v>
      </c>
      <c r="T889" s="19">
        <v>2314.4687757531919</v>
      </c>
      <c r="U889" s="19">
        <v>2377.9971364276917</v>
      </c>
      <c r="V889" s="19">
        <v>2405.9626574820336</v>
      </c>
      <c r="W889" s="19">
        <v>2501.0213793168223</v>
      </c>
      <c r="X889" s="19">
        <v>2384.1368313865087</v>
      </c>
      <c r="Y889" s="19">
        <v>2399.712479209164</v>
      </c>
      <c r="Z889" s="19">
        <v>2413.3337323407295</v>
      </c>
      <c r="AA889" s="19">
        <v>2461.1111599339738</v>
      </c>
      <c r="AB889" s="19">
        <v>2503.7830024560021</v>
      </c>
      <c r="AC889" s="19">
        <v>2534.4877096105038</v>
      </c>
      <c r="AD889" s="19">
        <v>2564.4291411994659</v>
      </c>
      <c r="AE889" s="19">
        <v>2588.8087465283247</v>
      </c>
      <c r="AF889" s="19">
        <v>2613.6024572166434</v>
      </c>
      <c r="AG889" s="19">
        <v>2638.8178205041399</v>
      </c>
      <c r="AH889" s="19">
        <v>2664.4625272266521</v>
      </c>
      <c r="AI889" s="19">
        <v>2690.5444146145728</v>
      </c>
      <c r="AJ889" s="19">
        <v>2717.0714691465191</v>
      </c>
      <c r="AK889" s="19">
        <v>2744.0518294593353</v>
      </c>
      <c r="AL889" s="19">
        <v>2771.4937893155402</v>
      </c>
      <c r="AM889" s="19">
        <v>2799.4058006293735</v>
      </c>
      <c r="AN889" s="19">
        <v>2827.796476552593</v>
      </c>
      <c r="AO889" s="19">
        <v>2856.6745946212168</v>
      </c>
      <c r="AP889" s="19">
        <v>2886.0490999644226</v>
      </c>
      <c r="AQ889" s="19">
        <v>2886.0490999644226</v>
      </c>
      <c r="AR889" s="19">
        <v>2886.0490999644226</v>
      </c>
      <c r="AS889" s="19">
        <v>2886.0490999644226</v>
      </c>
      <c r="AT889" s="6"/>
      <c r="AU889" s="6"/>
    </row>
    <row r="890" spans="1:47" hidden="1" outlineLevel="1">
      <c r="A890" s="308"/>
      <c r="B890" s="758" t="s">
        <v>614</v>
      </c>
      <c r="C890" s="750" t="s">
        <v>733</v>
      </c>
      <c r="D890" s="750"/>
      <c r="E890" s="750"/>
      <c r="F890" s="750"/>
      <c r="G890" s="750"/>
      <c r="H890" s="750"/>
      <c r="I890" s="750"/>
      <c r="J890" s="750"/>
      <c r="K890" s="759">
        <v>0.29932416044500831</v>
      </c>
      <c r="L890" s="312">
        <v>0.14750148115156625</v>
      </c>
      <c r="M890" s="312">
        <v>8.2100057115750857E-2</v>
      </c>
      <c r="N890" s="312">
        <v>3.2848570536960775E-2</v>
      </c>
      <c r="O890" s="312">
        <v>4.6553506815185219E-2</v>
      </c>
      <c r="P890" s="312">
        <v>7.5044415845812784E-2</v>
      </c>
      <c r="Q890" s="312">
        <v>8.0943480441596716E-2</v>
      </c>
      <c r="R890" s="312">
        <v>0.11898926526794829</v>
      </c>
      <c r="S890" s="312">
        <v>9.9960456626891014E-2</v>
      </c>
      <c r="T890" s="312">
        <v>5.1667342709796893E-2</v>
      </c>
      <c r="U890" s="312">
        <v>2.7448355035088357E-2</v>
      </c>
      <c r="V890" s="313">
        <v>1.1760115529976023E-2</v>
      </c>
      <c r="W890" s="313">
        <v>3.9509641406601403E-2</v>
      </c>
      <c r="X890" s="312">
        <v>-4.6734725619275497E-2</v>
      </c>
      <c r="Y890" s="312">
        <v>6.5330343534004687E-3</v>
      </c>
      <c r="Z890" s="313">
        <v>5.6762021490401882E-3</v>
      </c>
      <c r="AA890" s="313">
        <v>1.9797273353861611E-2</v>
      </c>
      <c r="AB890" s="313">
        <v>1.7338445827523419E-2</v>
      </c>
      <c r="AC890" s="313">
        <v>1.2263325984872786E-2</v>
      </c>
      <c r="AD890" s="313">
        <v>1.1813602991810779E-2</v>
      </c>
      <c r="AE890" s="313">
        <v>9.5068352395402123E-3</v>
      </c>
      <c r="AF890" s="313">
        <v>9.5772662702751088E-3</v>
      </c>
      <c r="AG890" s="313">
        <v>9.6477424169356674E-3</v>
      </c>
      <c r="AH890" s="313">
        <v>9.7182558504977923E-3</v>
      </c>
      <c r="AI890" s="313">
        <v>9.7887987244724695E-3</v>
      </c>
      <c r="AJ890" s="313">
        <v>9.8593631786398905E-3</v>
      </c>
      <c r="AK890" s="313">
        <v>9.929941342798454E-3</v>
      </c>
      <c r="AL890" s="313">
        <v>1.0000525340518651E-2</v>
      </c>
      <c r="AM890" s="313">
        <v>1.0071107292910941E-2</v>
      </c>
      <c r="AN890" s="313">
        <v>1.0141679322389185E-2</v>
      </c>
      <c r="AO890" s="313">
        <v>1.0212233556436745E-2</v>
      </c>
      <c r="AP890" s="313">
        <v>1.0282762131365697E-2</v>
      </c>
      <c r="AQ890" s="313">
        <v>1.0282762131365697E-2</v>
      </c>
      <c r="AR890" s="313">
        <v>1.0282762131365697E-2</v>
      </c>
      <c r="AS890" s="313">
        <v>1.0282762131365697E-2</v>
      </c>
      <c r="AT890" s="312"/>
      <c r="AU890" s="514"/>
    </row>
    <row r="891" spans="1:47" hidden="1" outlineLevel="1">
      <c r="A891" s="308"/>
      <c r="B891" s="517" t="s">
        <v>453</v>
      </c>
      <c r="C891" s="762"/>
      <c r="D891" s="762"/>
      <c r="E891" s="762"/>
      <c r="F891" s="762"/>
      <c r="G891" s="762"/>
      <c r="H891" s="762"/>
      <c r="I891" s="762"/>
      <c r="J891" s="762"/>
      <c r="K891" s="763">
        <v>0.17808325282296844</v>
      </c>
      <c r="L891" s="327">
        <v>0.18631562342629851</v>
      </c>
      <c r="M891" s="327">
        <v>0.1956658629197888</v>
      </c>
      <c r="N891" s="327">
        <v>0.19164624199428298</v>
      </c>
      <c r="O891" s="327">
        <v>0.20036483491143264</v>
      </c>
      <c r="P891" s="327">
        <v>0.21398990889067931</v>
      </c>
      <c r="Q891" s="327">
        <v>0.22640133240828533</v>
      </c>
      <c r="R891" s="327">
        <v>0.25762717720226785</v>
      </c>
      <c r="S891" s="327">
        <v>0.26898875568770486</v>
      </c>
      <c r="T891" s="327">
        <v>0.27929544676887125</v>
      </c>
      <c r="U891" s="327">
        <v>0.27742451602242163</v>
      </c>
      <c r="V891" s="764">
        <v>0.27749920630275693</v>
      </c>
      <c r="W891" s="764">
        <v>0.29150672189197713</v>
      </c>
      <c r="X891" s="327">
        <v>0.2682568836463628</v>
      </c>
      <c r="Y891" s="327">
        <v>0.26383977830011468</v>
      </c>
      <c r="Z891" s="764">
        <v>0.26435450083484757</v>
      </c>
      <c r="AA891" s="764">
        <v>0.26736753377249289</v>
      </c>
      <c r="AB891" s="764">
        <v>0.26665142994477592</v>
      </c>
      <c r="AC891" s="764">
        <v>0.26695946086760453</v>
      </c>
      <c r="AD891" s="764">
        <v>0.26602055916619372</v>
      </c>
      <c r="AE891" s="764">
        <v>0.26510341516692026</v>
      </c>
      <c r="AF891" s="764">
        <v>0.26420783888144683</v>
      </c>
      <c r="AG891" s="764">
        <v>0.26333364331061709</v>
      </c>
      <c r="AH891" s="764">
        <v>0.26248064441009761</v>
      </c>
      <c r="AI891" s="764">
        <v>0.26164866105648638</v>
      </c>
      <c r="AJ891" s="764">
        <v>0.2608375150138848</v>
      </c>
      <c r="AK891" s="764">
        <v>0.26004703090092535</v>
      </c>
      <c r="AL891" s="764">
        <v>0.25927703615825026</v>
      </c>
      <c r="AM891" s="764">
        <v>0.25852736101643575</v>
      </c>
      <c r="AN891" s="764">
        <v>0.25779783846435489</v>
      </c>
      <c r="AO891" s="764">
        <v>0.25708830421797602</v>
      </c>
      <c r="AP891" s="764">
        <v>0.25639859668958914</v>
      </c>
      <c r="AQ891" s="764">
        <v>0.25639859668958914</v>
      </c>
      <c r="AR891" s="764">
        <v>0.25639859668958914</v>
      </c>
      <c r="AS891" s="764">
        <v>0.25639859668958914</v>
      </c>
      <c r="AT891" s="312"/>
      <c r="AU891" s="514"/>
    </row>
    <row r="892" spans="1:47" hidden="1" outlineLevel="1">
      <c r="A892" s="308"/>
      <c r="B892" s="517" t="s">
        <v>454</v>
      </c>
      <c r="C892" s="762"/>
      <c r="D892" s="762"/>
      <c r="E892" s="762"/>
      <c r="F892" s="762"/>
      <c r="G892" s="762"/>
      <c r="H892" s="762"/>
      <c r="I892" s="762"/>
      <c r="J892" s="762"/>
      <c r="K892" s="763">
        <v>0.16286581915189469</v>
      </c>
      <c r="L892" s="327">
        <v>0.1779321124579416</v>
      </c>
      <c r="M892" s="327">
        <v>0.18953819530395935</v>
      </c>
      <c r="N892" s="327">
        <v>0.19230989203140608</v>
      </c>
      <c r="O892" s="327">
        <v>0.19769401452922866</v>
      </c>
      <c r="P892" s="327">
        <v>0.20885350937688515</v>
      </c>
      <c r="Q892" s="327">
        <v>0.22189253009184309</v>
      </c>
      <c r="R892" s="327">
        <v>0.24441290063057222</v>
      </c>
      <c r="S892" s="327">
        <v>0.26467363656771081</v>
      </c>
      <c r="T892" s="327">
        <v>0.27406379819457571</v>
      </c>
      <c r="U892" s="327">
        <v>0.27731745031226729</v>
      </c>
      <c r="V892" s="764">
        <v>0.27635684096968</v>
      </c>
      <c r="W892" s="764">
        <v>0.28358894437971682</v>
      </c>
      <c r="X892" s="327">
        <v>0.26686623186127428</v>
      </c>
      <c r="Y892" s="327">
        <v>0.26516256477965106</v>
      </c>
      <c r="Z892" s="764">
        <v>0.26324548973316719</v>
      </c>
      <c r="AA892" s="764">
        <v>0.26501187823552402</v>
      </c>
      <c r="AB892" s="764">
        <v>0.26614686310953695</v>
      </c>
      <c r="AC892" s="764">
        <v>0.2659533157469896</v>
      </c>
      <c r="AD892" s="764">
        <v>0.26564183873008906</v>
      </c>
      <c r="AE892" s="764">
        <v>0.26472581631157416</v>
      </c>
      <c r="AF892" s="764">
        <v>0.26383135828529714</v>
      </c>
      <c r="AG892" s="764">
        <v>0.2629582776619388</v>
      </c>
      <c r="AH892" s="764">
        <v>0.26210639040697309</v>
      </c>
      <c r="AI892" s="764">
        <v>0.2612755154067769</v>
      </c>
      <c r="AJ892" s="764">
        <v>0.26046547443520102</v>
      </c>
      <c r="AK892" s="764">
        <v>0.259676092120599</v>
      </c>
      <c r="AL892" s="764">
        <v>0.25890719591330491</v>
      </c>
      <c r="AM892" s="764">
        <v>0.25815861605355839</v>
      </c>
      <c r="AN892" s="764">
        <v>0.25743018553986713</v>
      </c>
      <c r="AO892" s="764">
        <v>0.25672174009780557</v>
      </c>
      <c r="AP892" s="764">
        <v>0.25603311814924157</v>
      </c>
      <c r="AQ892" s="764">
        <v>0.25603311814924157</v>
      </c>
      <c r="AR892" s="764">
        <v>0.25603311814924157</v>
      </c>
      <c r="AS892" s="764">
        <v>0.25603311814924157</v>
      </c>
      <c r="AT892" s="312"/>
      <c r="AU892" s="514"/>
    </row>
    <row r="893" spans="1:47" hidden="1" outlineLevel="1">
      <c r="A893" s="298"/>
      <c r="B893" s="6"/>
      <c r="C893" s="37"/>
      <c r="D893" s="37"/>
      <c r="E893" s="37"/>
      <c r="F893" s="37"/>
      <c r="G893" s="37"/>
      <c r="H893" s="37"/>
      <c r="I893" s="37"/>
      <c r="J893" s="37"/>
      <c r="K893" s="272"/>
      <c r="L893" s="272"/>
      <c r="M893" s="272"/>
      <c r="N893" s="272"/>
      <c r="O893" s="272"/>
      <c r="P893" s="272"/>
      <c r="Q893" s="272"/>
      <c r="R893" s="272"/>
      <c r="S893" s="272"/>
      <c r="T893" s="272"/>
      <c r="U893" s="272"/>
      <c r="V893" s="272"/>
      <c r="W893" s="272"/>
      <c r="X893" s="272"/>
      <c r="Y893" s="272"/>
      <c r="Z893" s="272"/>
      <c r="AA893" s="272"/>
      <c r="AB893" s="272"/>
      <c r="AC893" s="272"/>
      <c r="AD893" s="272"/>
      <c r="AE893" s="272"/>
      <c r="AF893" s="272"/>
      <c r="AG893" s="272"/>
      <c r="AH893" s="272"/>
      <c r="AI893" s="272"/>
      <c r="AJ893" s="272"/>
      <c r="AK893" s="272"/>
      <c r="AL893" s="272"/>
      <c r="AM893" s="272"/>
      <c r="AN893" s="272"/>
      <c r="AO893" s="272"/>
      <c r="AP893" s="272"/>
      <c r="AQ893" s="272"/>
      <c r="AR893" s="272"/>
      <c r="AS893" s="272"/>
      <c r="AT893" s="2"/>
      <c r="AU893" s="2"/>
    </row>
    <row r="894" spans="1:47" hidden="1" outlineLevel="1">
      <c r="A894" s="298"/>
      <c r="B894" s="25"/>
      <c r="C894" s="40" t="s">
        <v>229</v>
      </c>
      <c r="D894" s="765"/>
      <c r="E894" s="765"/>
      <c r="F894" s="765"/>
      <c r="G894" s="765"/>
      <c r="H894" s="765"/>
      <c r="I894" s="765"/>
      <c r="J894" s="765"/>
      <c r="K894" s="41">
        <v>0</v>
      </c>
      <c r="L894" s="41">
        <v>1</v>
      </c>
      <c r="M894" s="41">
        <v>2</v>
      </c>
      <c r="N894" s="41">
        <v>3</v>
      </c>
      <c r="O894" s="41">
        <v>4</v>
      </c>
      <c r="P894" s="41">
        <v>5</v>
      </c>
      <c r="Q894" s="41">
        <v>6</v>
      </c>
      <c r="R894" s="41">
        <v>7</v>
      </c>
      <c r="S894" s="41">
        <v>8</v>
      </c>
      <c r="T894" s="41">
        <v>9</v>
      </c>
      <c r="U894" s="41">
        <v>10</v>
      </c>
      <c r="V894" s="41">
        <v>11</v>
      </c>
      <c r="W894" s="41">
        <v>12</v>
      </c>
      <c r="X894" s="41">
        <v>13</v>
      </c>
      <c r="Y894" s="41">
        <v>14</v>
      </c>
      <c r="Z894" s="41">
        <v>15</v>
      </c>
      <c r="AA894" s="41">
        <v>16</v>
      </c>
      <c r="AB894" s="41">
        <v>17</v>
      </c>
      <c r="AC894" s="41">
        <v>18</v>
      </c>
      <c r="AD894" s="41">
        <v>19</v>
      </c>
      <c r="AE894" s="41">
        <v>20</v>
      </c>
      <c r="AF894" s="41">
        <v>21</v>
      </c>
      <c r="AG894" s="41">
        <v>22</v>
      </c>
      <c r="AH894" s="41">
        <v>23</v>
      </c>
      <c r="AI894" s="41">
        <v>24</v>
      </c>
      <c r="AJ894" s="41">
        <v>25</v>
      </c>
      <c r="AK894" s="41">
        <v>26</v>
      </c>
      <c r="AL894" s="41">
        <v>27</v>
      </c>
      <c r="AM894" s="41">
        <v>28</v>
      </c>
      <c r="AN894" s="41">
        <v>29</v>
      </c>
      <c r="AO894" s="41">
        <v>30</v>
      </c>
      <c r="AP894" s="41">
        <v>31</v>
      </c>
      <c r="AQ894" s="41">
        <v>31</v>
      </c>
      <c r="AR894" s="41">
        <v>31</v>
      </c>
      <c r="AS894" s="41">
        <v>31</v>
      </c>
      <c r="AT894" s="2"/>
      <c r="AU894" s="2"/>
    </row>
    <row r="895" spans="1:47" hidden="1" outlineLevel="1">
      <c r="A895" s="298"/>
      <c r="B895" s="6" t="s">
        <v>399</v>
      </c>
      <c r="C895" s="38"/>
      <c r="D895" s="38"/>
      <c r="E895" s="38"/>
      <c r="F895" s="38"/>
      <c r="G895" s="38"/>
      <c r="H895" s="38"/>
      <c r="I895" s="38"/>
      <c r="J895" s="38"/>
      <c r="K895" s="80"/>
      <c r="L895" s="80"/>
      <c r="M895" s="80"/>
      <c r="N895" s="80"/>
      <c r="O895" s="80"/>
      <c r="P895" s="80"/>
      <c r="Q895" s="80"/>
      <c r="R895" s="80"/>
      <c r="S895" s="80"/>
      <c r="T895" s="80"/>
      <c r="U895" s="80"/>
      <c r="V895" s="80"/>
      <c r="W895" s="80"/>
      <c r="X895" s="80"/>
      <c r="Y895" s="80"/>
      <c r="Z895" s="80"/>
      <c r="AA895" s="80"/>
      <c r="AB895" s="80"/>
      <c r="AC895" s="80"/>
      <c r="AD895" s="80"/>
      <c r="AE895" s="80"/>
      <c r="AF895" s="80"/>
      <c r="AG895" s="80"/>
      <c r="AH895" s="80"/>
      <c r="AI895" s="80"/>
      <c r="AJ895" s="80"/>
      <c r="AK895" s="80"/>
      <c r="AL895" s="80"/>
      <c r="AM895" s="80"/>
      <c r="AN895" s="80"/>
      <c r="AO895" s="80"/>
      <c r="AP895" s="80"/>
      <c r="AQ895" s="80"/>
      <c r="AR895" s="80"/>
      <c r="AS895" s="80"/>
      <c r="AT895" s="2"/>
      <c r="AU895" s="2"/>
    </row>
    <row r="896" spans="1:47" hidden="1" outlineLevel="1">
      <c r="A896" s="298"/>
      <c r="B896" s="2" t="s">
        <v>400</v>
      </c>
      <c r="C896" s="38"/>
      <c r="D896" s="38"/>
      <c r="E896" s="38"/>
      <c r="F896" s="38"/>
      <c r="G896" s="38"/>
      <c r="H896" s="38"/>
      <c r="I896" s="38"/>
      <c r="J896" s="38"/>
      <c r="K896" s="80"/>
      <c r="L896" s="80"/>
      <c r="M896" s="80"/>
      <c r="N896" s="80"/>
      <c r="O896" s="80"/>
      <c r="P896" s="80"/>
      <c r="Q896" s="80"/>
      <c r="R896" s="80"/>
      <c r="S896" s="80"/>
      <c r="T896" s="80"/>
      <c r="U896" s="80"/>
      <c r="V896" s="80"/>
      <c r="W896" s="80"/>
      <c r="X896" s="80"/>
      <c r="Y896" s="80"/>
      <c r="Z896" s="80"/>
      <c r="AA896" s="80"/>
      <c r="AB896" s="80"/>
      <c r="AC896" s="80"/>
      <c r="AD896" s="80"/>
      <c r="AE896" s="80"/>
      <c r="AF896" s="80"/>
      <c r="AG896" s="80"/>
      <c r="AH896" s="80"/>
      <c r="AI896" s="80"/>
      <c r="AJ896" s="80"/>
      <c r="AK896" s="80"/>
      <c r="AL896" s="80"/>
      <c r="AM896" s="80"/>
      <c r="AN896" s="80"/>
      <c r="AO896" s="80"/>
      <c r="AP896" s="80"/>
      <c r="AQ896" s="80"/>
      <c r="AR896" s="80"/>
      <c r="AS896" s="80"/>
      <c r="AT896" s="2"/>
      <c r="AU896" s="2"/>
    </row>
    <row r="897" spans="1:47" hidden="1" outlineLevel="1">
      <c r="A897" s="298"/>
      <c r="B897" s="2" t="s">
        <v>466</v>
      </c>
      <c r="C897" s="38" t="s">
        <v>846</v>
      </c>
      <c r="D897" s="38"/>
      <c r="E897" s="38"/>
      <c r="F897" s="38"/>
      <c r="G897" s="38"/>
      <c r="H897" s="38"/>
      <c r="I897" s="38"/>
      <c r="J897" s="38"/>
      <c r="K897" s="570">
        <v>933.36201260624989</v>
      </c>
      <c r="L897" s="19">
        <v>1090.9521074015622</v>
      </c>
      <c r="M897" s="19">
        <v>1423.4508005522653</v>
      </c>
      <c r="N897" s="19">
        <v>1470.2091245800996</v>
      </c>
      <c r="O897" s="19">
        <v>1538.6525150809869</v>
      </c>
      <c r="P897" s="19">
        <v>1654.1197942649303</v>
      </c>
      <c r="Q897" s="19">
        <v>1788.0100074800716</v>
      </c>
      <c r="R897" s="19">
        <v>2000.7640045618641</v>
      </c>
      <c r="S897" s="19">
        <v>2200.7612880605152</v>
      </c>
      <c r="T897" s="19">
        <v>2314.4687757531919</v>
      </c>
      <c r="U897" s="19">
        <v>2377.9971364276917</v>
      </c>
      <c r="V897" s="19">
        <v>2405.9626574820336</v>
      </c>
      <c r="W897" s="19">
        <v>2501.0213793168223</v>
      </c>
      <c r="X897" s="19">
        <v>2384.1368313865087</v>
      </c>
      <c r="Y897" s="19">
        <v>2399.712479209164</v>
      </c>
      <c r="Z897" s="19">
        <v>2413.3337323407295</v>
      </c>
      <c r="AA897" s="19">
        <v>2461.1111599339738</v>
      </c>
      <c r="AB897" s="19">
        <v>2503.7830024560021</v>
      </c>
      <c r="AC897" s="19">
        <v>2534.4877096105038</v>
      </c>
      <c r="AD897" s="19">
        <v>2564.4291411994659</v>
      </c>
      <c r="AE897" s="19">
        <v>2588.8087465283247</v>
      </c>
      <c r="AF897" s="19">
        <v>2613.6024572166434</v>
      </c>
      <c r="AG897" s="19">
        <v>2638.8178205041399</v>
      </c>
      <c r="AH897" s="19">
        <v>2664.4625272266521</v>
      </c>
      <c r="AI897" s="19">
        <v>2690.5444146145728</v>
      </c>
      <c r="AJ897" s="19">
        <v>2717.0714691465191</v>
      </c>
      <c r="AK897" s="19">
        <v>2744.0518294593353</v>
      </c>
      <c r="AL897" s="19">
        <v>2771.4937893155402</v>
      </c>
      <c r="AM897" s="19">
        <v>2799.4058006293735</v>
      </c>
      <c r="AN897" s="19">
        <v>2827.796476552593</v>
      </c>
      <c r="AO897" s="19">
        <v>2856.6745946212168</v>
      </c>
      <c r="AP897" s="19">
        <v>2886.0490999644226</v>
      </c>
      <c r="AQ897" s="19">
        <v>2886.0490999644226</v>
      </c>
      <c r="AR897" s="19">
        <v>2886.0490999644226</v>
      </c>
      <c r="AS897" s="19">
        <v>2886.0490999644226</v>
      </c>
      <c r="AT897" s="2"/>
      <c r="AU897" s="2"/>
    </row>
    <row r="898" spans="1:47" hidden="1" outlineLevel="1">
      <c r="A898" s="308"/>
      <c r="B898" s="758" t="s">
        <v>614</v>
      </c>
      <c r="C898" s="750" t="s">
        <v>733</v>
      </c>
      <c r="D898" s="750"/>
      <c r="E898" s="750"/>
      <c r="F898" s="750"/>
      <c r="G898" s="750"/>
      <c r="H898" s="750"/>
      <c r="I898" s="750"/>
      <c r="J898" s="750"/>
      <c r="K898" s="759">
        <v>0.36301877986381914</v>
      </c>
      <c r="L898" s="312">
        <v>0.16884134201612677</v>
      </c>
      <c r="M898" s="312">
        <v>0.30477845076320609</v>
      </c>
      <c r="N898" s="312">
        <v>3.2848570536960775E-2</v>
      </c>
      <c r="O898" s="312">
        <v>4.6553506815185219E-2</v>
      </c>
      <c r="P898" s="312">
        <v>7.5044415845812784E-2</v>
      </c>
      <c r="Q898" s="312">
        <v>8.0943480441596716E-2</v>
      </c>
      <c r="R898" s="312">
        <v>0.11898926526794829</v>
      </c>
      <c r="S898" s="312">
        <v>9.9960456626891014E-2</v>
      </c>
      <c r="T898" s="312">
        <v>5.1667342709796893E-2</v>
      </c>
      <c r="U898" s="312">
        <v>2.7448355035088357E-2</v>
      </c>
      <c r="V898" s="313">
        <v>1.1760115529976023E-2</v>
      </c>
      <c r="W898" s="313">
        <v>3.9509641406601403E-2</v>
      </c>
      <c r="X898" s="312">
        <v>-4.6734725619275497E-2</v>
      </c>
      <c r="Y898" s="312">
        <v>6.5330343534004687E-3</v>
      </c>
      <c r="Z898" s="313">
        <v>5.6762021490401882E-3</v>
      </c>
      <c r="AA898" s="313">
        <v>1.9797273353861611E-2</v>
      </c>
      <c r="AB898" s="313">
        <v>1.7338445827523419E-2</v>
      </c>
      <c r="AC898" s="313">
        <v>1.2263325984872786E-2</v>
      </c>
      <c r="AD898" s="313">
        <v>1.1813602991810779E-2</v>
      </c>
      <c r="AE898" s="313">
        <v>9.5068352395402123E-3</v>
      </c>
      <c r="AF898" s="313">
        <v>9.5772662702751088E-3</v>
      </c>
      <c r="AG898" s="313">
        <v>9.6477424169356674E-3</v>
      </c>
      <c r="AH898" s="313">
        <v>9.7182558504977923E-3</v>
      </c>
      <c r="AI898" s="313">
        <v>9.7887987244724695E-3</v>
      </c>
      <c r="AJ898" s="313">
        <v>9.8593631786398905E-3</v>
      </c>
      <c r="AK898" s="313">
        <v>9.929941342798454E-3</v>
      </c>
      <c r="AL898" s="313">
        <v>1.0000525340518651E-2</v>
      </c>
      <c r="AM898" s="313">
        <v>1.0071107292910941E-2</v>
      </c>
      <c r="AN898" s="313">
        <v>1.0141679322389185E-2</v>
      </c>
      <c r="AO898" s="313">
        <v>1.0212233556436745E-2</v>
      </c>
      <c r="AP898" s="313">
        <v>1.0282762131365697E-2</v>
      </c>
      <c r="AQ898" s="313">
        <v>1.0282762131365697E-2</v>
      </c>
      <c r="AR898" s="313">
        <v>1.0282762131365697E-2</v>
      </c>
      <c r="AS898" s="313">
        <v>1.0282762131365697E-2</v>
      </c>
      <c r="AT898" s="312"/>
      <c r="AU898" s="514"/>
    </row>
    <row r="899" spans="1:47" hidden="1" outlineLevel="1">
      <c r="A899" s="298"/>
      <c r="B899" s="2" t="s">
        <v>467</v>
      </c>
      <c r="C899" s="38" t="s">
        <v>468</v>
      </c>
      <c r="D899" s="38"/>
      <c r="E899" s="38"/>
      <c r="F899" s="38"/>
      <c r="G899" s="38"/>
      <c r="H899" s="38"/>
      <c r="I899" s="38"/>
      <c r="J899" s="38"/>
      <c r="K899" s="766">
        <v>7.25</v>
      </c>
      <c r="L899" s="767">
        <v>7.25</v>
      </c>
      <c r="M899" s="766">
        <v>7</v>
      </c>
      <c r="N899" s="766">
        <v>7</v>
      </c>
      <c r="O899" s="767">
        <v>7</v>
      </c>
      <c r="P899" s="767">
        <v>7</v>
      </c>
      <c r="Q899" s="767">
        <v>7</v>
      </c>
      <c r="R899" s="767">
        <v>9.5868550408867268</v>
      </c>
      <c r="S899" s="767">
        <v>10.110137851256217</v>
      </c>
      <c r="T899" s="767">
        <v>11.373905082663244</v>
      </c>
      <c r="U899" s="767">
        <v>11.260166031836611</v>
      </c>
      <c r="V899" s="767">
        <v>11.260166031836611</v>
      </c>
      <c r="W899" s="767">
        <v>11.260166031836611</v>
      </c>
      <c r="X899" s="767">
        <v>11.372767692154978</v>
      </c>
      <c r="Y899" s="767">
        <v>11.486495369076529</v>
      </c>
      <c r="Z899" s="767">
        <v>11.141900508004232</v>
      </c>
      <c r="AA899" s="767">
        <v>11.141900508004232</v>
      </c>
      <c r="AB899" s="767">
        <v>11.141900508004232</v>
      </c>
      <c r="AC899" s="767">
        <v>11.141900508004232</v>
      </c>
      <c r="AD899" s="767">
        <v>11.141900508004232</v>
      </c>
      <c r="AE899" s="767">
        <v>11.141900508004232</v>
      </c>
      <c r="AF899" s="767">
        <v>11.141900508004232</v>
      </c>
      <c r="AG899" s="767">
        <v>11.141900508004232</v>
      </c>
      <c r="AH899" s="767">
        <v>11.141900508004232</v>
      </c>
      <c r="AI899" s="767">
        <v>11.141900508004232</v>
      </c>
      <c r="AJ899" s="767">
        <v>11.141900508004232</v>
      </c>
      <c r="AK899" s="767">
        <v>11.141900508004232</v>
      </c>
      <c r="AL899" s="767">
        <v>11.141900508004232</v>
      </c>
      <c r="AM899" s="767">
        <v>11.141900508004232</v>
      </c>
      <c r="AN899" s="767">
        <v>11.141900508004232</v>
      </c>
      <c r="AO899" s="767">
        <v>11.141900508004232</v>
      </c>
      <c r="AP899" s="767">
        <v>11.141900508004232</v>
      </c>
      <c r="AQ899" s="767">
        <v>11.141900508004232</v>
      </c>
      <c r="AR899" s="767">
        <v>11.141900508004232</v>
      </c>
      <c r="AS899" s="767">
        <v>11.141900508004232</v>
      </c>
      <c r="AT899" s="2"/>
      <c r="AU899" s="2"/>
    </row>
    <row r="900" spans="1:47" hidden="1" outlineLevel="1">
      <c r="A900" s="308"/>
      <c r="B900" s="758" t="s">
        <v>614</v>
      </c>
      <c r="C900" s="750" t="s">
        <v>733</v>
      </c>
      <c r="D900" s="750"/>
      <c r="E900" s="750"/>
      <c r="F900" s="750"/>
      <c r="G900" s="750"/>
      <c r="H900" s="750"/>
      <c r="I900" s="750"/>
      <c r="J900" s="750"/>
      <c r="K900" s="759">
        <v>0</v>
      </c>
      <c r="L900" s="759">
        <v>0</v>
      </c>
      <c r="M900" s="759">
        <v>0</v>
      </c>
      <c r="N900" s="759">
        <v>0</v>
      </c>
      <c r="O900" s="759">
        <v>0</v>
      </c>
      <c r="P900" s="759">
        <v>0</v>
      </c>
      <c r="Q900" s="759">
        <v>0</v>
      </c>
      <c r="R900" s="312">
        <v>0.36955072012667523</v>
      </c>
      <c r="S900" s="312">
        <v>5.4583365257715455E-2</v>
      </c>
      <c r="T900" s="759">
        <v>0.125</v>
      </c>
      <c r="U900" s="759">
        <v>-0.01</v>
      </c>
      <c r="V900" s="759">
        <v>0</v>
      </c>
      <c r="W900" s="312">
        <v>0</v>
      </c>
      <c r="X900" s="759">
        <v>0.01</v>
      </c>
      <c r="Y900" s="312">
        <v>0.01</v>
      </c>
      <c r="Z900" s="759">
        <v>-0.03</v>
      </c>
      <c r="AA900" s="759">
        <v>0</v>
      </c>
      <c r="AB900" s="313">
        <v>0</v>
      </c>
      <c r="AC900" s="313">
        <v>0</v>
      </c>
      <c r="AD900" s="313">
        <v>0</v>
      </c>
      <c r="AE900" s="313">
        <v>0</v>
      </c>
      <c r="AF900" s="313">
        <v>0</v>
      </c>
      <c r="AG900" s="313">
        <v>0</v>
      </c>
      <c r="AH900" s="313">
        <v>0</v>
      </c>
      <c r="AI900" s="313">
        <v>0</v>
      </c>
      <c r="AJ900" s="313">
        <v>0</v>
      </c>
      <c r="AK900" s="313">
        <v>0</v>
      </c>
      <c r="AL900" s="313">
        <v>0</v>
      </c>
      <c r="AM900" s="313">
        <v>0</v>
      </c>
      <c r="AN900" s="313">
        <v>0</v>
      </c>
      <c r="AO900" s="313">
        <v>0</v>
      </c>
      <c r="AP900" s="313">
        <v>0</v>
      </c>
      <c r="AQ900" s="313">
        <v>0</v>
      </c>
      <c r="AR900" s="313">
        <v>0</v>
      </c>
      <c r="AS900" s="313">
        <v>0</v>
      </c>
      <c r="AT900" s="312"/>
      <c r="AU900" s="514"/>
    </row>
    <row r="901" spans="1:47" hidden="1" outlineLevel="1">
      <c r="A901" s="298"/>
      <c r="B901" s="2" t="s">
        <v>469</v>
      </c>
      <c r="C901" s="38" t="s">
        <v>732</v>
      </c>
      <c r="D901" s="38"/>
      <c r="E901" s="38"/>
      <c r="F901" s="38"/>
      <c r="G901" s="38"/>
      <c r="H901" s="38"/>
      <c r="I901" s="38"/>
      <c r="J901" s="38"/>
      <c r="K901" s="566">
        <v>81.202495096743746</v>
      </c>
      <c r="L901" s="3">
        <v>94.912833343935915</v>
      </c>
      <c r="M901" s="3">
        <v>119.56986724639027</v>
      </c>
      <c r="N901" s="3">
        <v>123.49756646472835</v>
      </c>
      <c r="O901" s="3">
        <v>129.24681126680289</v>
      </c>
      <c r="P901" s="3">
        <v>138.94606271825413</v>
      </c>
      <c r="Q901" s="3">
        <v>150.192840628326</v>
      </c>
      <c r="R901" s="3">
        <v>230.17241379310346</v>
      </c>
      <c r="S901" s="566">
        <v>267</v>
      </c>
      <c r="T901" s="3">
        <v>315.89457806645527</v>
      </c>
      <c r="U901" s="3">
        <v>321.31971095289396</v>
      </c>
      <c r="V901" s="3">
        <v>325.0984678757585</v>
      </c>
      <c r="W901" s="3">
        <v>337.94299176336517</v>
      </c>
      <c r="X901" s="3">
        <v>325.37081195603071</v>
      </c>
      <c r="Y901" s="3">
        <v>330.77143535461465</v>
      </c>
      <c r="Z901" s="3">
        <v>322.6694920602111</v>
      </c>
      <c r="AA901" s="3">
        <v>329.05746819747873</v>
      </c>
      <c r="AB901" s="3">
        <v>334.76281328396266</v>
      </c>
      <c r="AC901" s="3">
        <v>338.86811879087708</v>
      </c>
      <c r="AD901" s="3">
        <v>342.87137221285423</v>
      </c>
      <c r="AE901" s="3">
        <v>346.13099385683694</v>
      </c>
      <c r="AF901" s="3">
        <v>349.44598254939876</v>
      </c>
      <c r="AG901" s="3">
        <v>352.81734737766834</v>
      </c>
      <c r="AH901" s="3">
        <v>356.24611662797849</v>
      </c>
      <c r="AI901" s="3">
        <v>359.73333816002469</v>
      </c>
      <c r="AJ901" s="3">
        <v>363.2800797884089</v>
      </c>
      <c r="AK901" s="3">
        <v>366.88742967171498</v>
      </c>
      <c r="AL901" s="3">
        <v>370.55649670926471</v>
      </c>
      <c r="AM901" s="3">
        <v>374.28841094570896</v>
      </c>
      <c r="AN901" s="3">
        <v>378.08432398360702</v>
      </c>
      <c r="AO901" s="3">
        <v>381.94540940415499</v>
      </c>
      <c r="AP901" s="3">
        <v>385.87286319622507</v>
      </c>
      <c r="AQ901" s="3">
        <v>385.87286319622507</v>
      </c>
      <c r="AR901" s="3">
        <v>385.87286319622507</v>
      </c>
      <c r="AS901" s="3">
        <v>385.87286319622507</v>
      </c>
      <c r="AT901" s="2"/>
      <c r="AU901" s="2"/>
    </row>
    <row r="902" spans="1:47" hidden="1" outlineLevel="1">
      <c r="A902" s="308"/>
      <c r="B902" s="758" t="s">
        <v>614</v>
      </c>
      <c r="C902" s="750" t="s">
        <v>733</v>
      </c>
      <c r="D902" s="750"/>
      <c r="E902" s="750"/>
      <c r="F902" s="750"/>
      <c r="G902" s="750"/>
      <c r="H902" s="750"/>
      <c r="I902" s="750"/>
      <c r="J902" s="750"/>
      <c r="K902" s="759">
        <v>0.36301877986381936</v>
      </c>
      <c r="L902" s="312">
        <v>0.16884134201612677</v>
      </c>
      <c r="M902" s="312">
        <v>0.25978609039206102</v>
      </c>
      <c r="N902" s="312">
        <v>3.2848570536960775E-2</v>
      </c>
      <c r="O902" s="312">
        <v>4.6553506815185441E-2</v>
      </c>
      <c r="P902" s="312">
        <v>7.5044415845812784E-2</v>
      </c>
      <c r="Q902" s="312">
        <v>8.0943480441596716E-2</v>
      </c>
      <c r="R902" s="312">
        <v>0.53251255406173814</v>
      </c>
      <c r="S902" s="759">
        <v>0.16</v>
      </c>
      <c r="T902" s="312">
        <v>0.1831257605485217</v>
      </c>
      <c r="U902" s="312">
        <v>1.7173871484737591E-2</v>
      </c>
      <c r="V902" s="313">
        <v>1.1760115529976023E-2</v>
      </c>
      <c r="W902" s="313">
        <v>3.9509641406601181E-2</v>
      </c>
      <c r="X902" s="312">
        <v>-3.7202072875468173E-2</v>
      </c>
      <c r="Y902" s="312">
        <v>1.6598364696934764E-2</v>
      </c>
      <c r="Z902" s="313">
        <v>-2.4494083915431175E-2</v>
      </c>
      <c r="AA902" s="313">
        <v>1.9797273353861389E-2</v>
      </c>
      <c r="AB902" s="313">
        <v>1.7338445827523197E-2</v>
      </c>
      <c r="AC902" s="313">
        <v>1.2263325984873008E-2</v>
      </c>
      <c r="AD902" s="313">
        <v>1.1813602991810557E-2</v>
      </c>
      <c r="AE902" s="313">
        <v>9.5068352395404343E-3</v>
      </c>
      <c r="AF902" s="313">
        <v>9.5772662702748868E-3</v>
      </c>
      <c r="AG902" s="313">
        <v>9.6477424169356674E-3</v>
      </c>
      <c r="AH902" s="313">
        <v>9.7182558504977923E-3</v>
      </c>
      <c r="AI902" s="313">
        <v>9.7887987244724695E-3</v>
      </c>
      <c r="AJ902" s="313">
        <v>9.8593631786401126E-3</v>
      </c>
      <c r="AK902" s="313">
        <v>9.929941342798676E-3</v>
      </c>
      <c r="AL902" s="313">
        <v>1.0000525340518651E-2</v>
      </c>
      <c r="AM902" s="313">
        <v>1.0071107292911163E-2</v>
      </c>
      <c r="AN902" s="313">
        <v>1.0141679322389408E-2</v>
      </c>
      <c r="AO902" s="313">
        <v>1.0212233556436301E-2</v>
      </c>
      <c r="AP902" s="313">
        <v>1.0282762131365919E-2</v>
      </c>
      <c r="AQ902" s="313">
        <v>1.0282762131365919E-2</v>
      </c>
      <c r="AR902" s="313">
        <v>1.0282762131365919E-2</v>
      </c>
      <c r="AS902" s="313">
        <v>1.0282762131365919E-2</v>
      </c>
      <c r="AT902" s="312"/>
      <c r="AU902" s="514"/>
    </row>
    <row r="903" spans="1:47" hidden="1" outlineLevel="1">
      <c r="A903" s="308"/>
      <c r="B903" s="758" t="s">
        <v>470</v>
      </c>
      <c r="C903" s="750" t="s">
        <v>733</v>
      </c>
      <c r="D903" s="750"/>
      <c r="E903" s="750"/>
      <c r="F903" s="750"/>
      <c r="G903" s="750"/>
      <c r="H903" s="750"/>
      <c r="I903" s="750"/>
      <c r="J903" s="750"/>
      <c r="K903" s="759">
        <v>0.99502487562189057</v>
      </c>
      <c r="L903" s="312">
        <v>0.99325814895838016</v>
      </c>
      <c r="M903" s="312">
        <v>0.99219730608561663</v>
      </c>
      <c r="N903" s="312">
        <v>0.99150141643059486</v>
      </c>
      <c r="O903" s="312">
        <v>0.99140779907468612</v>
      </c>
      <c r="P903" s="312">
        <v>0.98883960480014021</v>
      </c>
      <c r="Q903" s="312">
        <v>0.98559290764732344</v>
      </c>
      <c r="R903" s="312">
        <v>0.69957811566550643</v>
      </c>
      <c r="S903" s="312">
        <v>0.6953125</v>
      </c>
      <c r="T903" s="312">
        <v>0.72620582222567942</v>
      </c>
      <c r="U903" s="312">
        <v>0.74014755823872758</v>
      </c>
      <c r="V903" s="313">
        <v>0.73578461342146917</v>
      </c>
      <c r="W903" s="313">
        <v>0.7338552815151993</v>
      </c>
      <c r="X903" s="312">
        <v>0.7304858833295812</v>
      </c>
      <c r="Y903" s="312">
        <v>0.73196083746387597</v>
      </c>
      <c r="Z903" s="313">
        <v>0.72973190958364464</v>
      </c>
      <c r="AA903" s="313">
        <v>0.73149734264691413</v>
      </c>
      <c r="AB903" s="313">
        <v>0.73302401362500236</v>
      </c>
      <c r="AC903" s="313">
        <v>0.73409452006266462</v>
      </c>
      <c r="AD903" s="313">
        <v>0.73511663778484138</v>
      </c>
      <c r="AE903" s="313">
        <v>0.73593346805171378</v>
      </c>
      <c r="AF903" s="313">
        <v>0.73675035499668307</v>
      </c>
      <c r="AG903" s="313">
        <v>0.7375671992456182</v>
      </c>
      <c r="AH903" s="313">
        <v>0.73838390109941654</v>
      </c>
      <c r="AI903" s="313">
        <v>0.73920036058323879</v>
      </c>
      <c r="AJ903" s="313">
        <v>0.74001647749623989</v>
      </c>
      <c r="AK903" s="313">
        <v>0.74083215146174586</v>
      </c>
      <c r="AL903" s="313">
        <v>0.74164728197782204</v>
      </c>
      <c r="AM903" s="313">
        <v>0.74246176846818202</v>
      </c>
      <c r="AN903" s="313">
        <v>0.74327551033338135</v>
      </c>
      <c r="AO903" s="313">
        <v>0.7440884070022411</v>
      </c>
      <c r="AP903" s="313">
        <v>0.74490035798344734</v>
      </c>
      <c r="AQ903" s="313">
        <v>0.74490035798344734</v>
      </c>
      <c r="AR903" s="313">
        <v>0.74490035798344734</v>
      </c>
      <c r="AS903" s="313">
        <v>0.74490035798344734</v>
      </c>
      <c r="AT903" s="312"/>
      <c r="AU903" s="514"/>
    </row>
    <row r="904" spans="1:47" hidden="1" outlineLevel="1">
      <c r="A904" s="298"/>
      <c r="B904" s="2"/>
      <c r="C904" s="18"/>
      <c r="D904" s="18"/>
      <c r="E904" s="18"/>
      <c r="F904" s="18"/>
      <c r="G904" s="18"/>
      <c r="H904" s="18"/>
      <c r="I904" s="18"/>
      <c r="J904" s="18"/>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row>
    <row r="905" spans="1:47" hidden="1" outlineLevel="1">
      <c r="A905" s="2"/>
      <c r="B905" s="2" t="s">
        <v>471</v>
      </c>
      <c r="C905" s="18"/>
      <c r="D905" s="18"/>
      <c r="E905" s="18"/>
      <c r="F905" s="18"/>
      <c r="G905" s="18"/>
      <c r="H905" s="18"/>
      <c r="I905" s="18"/>
      <c r="J905" s="18"/>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row>
    <row r="906" spans="1:47" hidden="1" outlineLevel="1">
      <c r="A906" s="312"/>
      <c r="B906" s="514" t="s">
        <v>472</v>
      </c>
      <c r="C906" s="750" t="s">
        <v>733</v>
      </c>
      <c r="D906" s="750"/>
      <c r="E906" s="750"/>
      <c r="F906" s="750"/>
      <c r="G906" s="750"/>
      <c r="H906" s="750"/>
      <c r="I906" s="750"/>
      <c r="J906" s="750"/>
      <c r="K906" s="759">
        <v>5.0000000000000001E-3</v>
      </c>
      <c r="L906" s="312">
        <v>6.7876121114032548E-3</v>
      </c>
      <c r="M906" s="312">
        <v>7.8640547263390207E-3</v>
      </c>
      <c r="N906" s="312">
        <v>8.5714285714285649E-3</v>
      </c>
      <c r="O906" s="759">
        <v>8.6666666666666732E-3</v>
      </c>
      <c r="P906" s="312">
        <v>1.1286355386337408E-2</v>
      </c>
      <c r="Q906" s="312">
        <v>1.4617690773635309E-2</v>
      </c>
      <c r="R906" s="312">
        <v>0.23000660938532716</v>
      </c>
      <c r="S906" s="312">
        <v>0.23595505617977527</v>
      </c>
      <c r="T906" s="759">
        <v>0.20300000000000001</v>
      </c>
      <c r="U906" s="759">
        <v>0.18</v>
      </c>
      <c r="V906" s="312">
        <v>0.19</v>
      </c>
      <c r="W906" s="312">
        <v>0.2</v>
      </c>
      <c r="X906" s="312">
        <v>0.2</v>
      </c>
      <c r="Y906" s="312">
        <v>0.2</v>
      </c>
      <c r="Z906" s="312">
        <v>0.2</v>
      </c>
      <c r="AA906" s="312">
        <v>0.2</v>
      </c>
      <c r="AB906" s="313">
        <v>0.2</v>
      </c>
      <c r="AC906" s="313">
        <v>0.2</v>
      </c>
      <c r="AD906" s="313">
        <v>0.2</v>
      </c>
      <c r="AE906" s="312">
        <v>0.2</v>
      </c>
      <c r="AF906" s="312">
        <v>0.2</v>
      </c>
      <c r="AG906" s="312">
        <v>0.2</v>
      </c>
      <c r="AH906" s="312">
        <v>0.2</v>
      </c>
      <c r="AI906" s="312">
        <v>0.2</v>
      </c>
      <c r="AJ906" s="312">
        <v>0.2</v>
      </c>
      <c r="AK906" s="312">
        <v>0.2</v>
      </c>
      <c r="AL906" s="312">
        <v>0.2</v>
      </c>
      <c r="AM906" s="312">
        <v>0.2</v>
      </c>
      <c r="AN906" s="312">
        <v>0.2</v>
      </c>
      <c r="AO906" s="312">
        <v>0.2</v>
      </c>
      <c r="AP906" s="312">
        <v>0.2</v>
      </c>
      <c r="AQ906" s="312">
        <v>0.2</v>
      </c>
      <c r="AR906" s="312">
        <v>0.2</v>
      </c>
      <c r="AS906" s="312">
        <v>0.2</v>
      </c>
      <c r="AT906" s="312"/>
      <c r="AU906" s="514"/>
    </row>
    <row r="907" spans="1:47" hidden="1" outlineLevel="1">
      <c r="A907" s="2"/>
      <c r="B907" s="2" t="s">
        <v>471</v>
      </c>
      <c r="C907" s="38" t="s">
        <v>732</v>
      </c>
      <c r="D907" s="38"/>
      <c r="E907" s="38"/>
      <c r="F907" s="38"/>
      <c r="G907" s="38"/>
      <c r="H907" s="38"/>
      <c r="I907" s="38"/>
      <c r="J907" s="38"/>
      <c r="K907" s="566">
        <v>0.4060124754837186</v>
      </c>
      <c r="L907" s="566">
        <v>0.64423149713289807</v>
      </c>
      <c r="M907" s="566">
        <v>0.94030397964670465</v>
      </c>
      <c r="N907" s="566">
        <v>1.0585505696976707</v>
      </c>
      <c r="O907" s="566">
        <v>1.1201390309789592</v>
      </c>
      <c r="P907" s="566">
        <v>1.5681946433705427</v>
      </c>
      <c r="Q907" s="566">
        <v>2.1954725007187594</v>
      </c>
      <c r="R907" s="3">
        <v>52.941176470588239</v>
      </c>
      <c r="S907" s="566">
        <v>63</v>
      </c>
      <c r="T907" s="3">
        <v>64.126599347490426</v>
      </c>
      <c r="U907" s="3">
        <v>57.837547971520912</v>
      </c>
      <c r="V907" s="3">
        <v>61.768708896394116</v>
      </c>
      <c r="W907" s="3">
        <v>67.588598352673031</v>
      </c>
      <c r="X907" s="3">
        <v>65.074162391206144</v>
      </c>
      <c r="Y907" s="3">
        <v>66.154287070922933</v>
      </c>
      <c r="Z907" s="3">
        <v>64.53389841204222</v>
      </c>
      <c r="AA907" s="3">
        <v>65.811493639495751</v>
      </c>
      <c r="AB907" s="3">
        <v>66.952562656792537</v>
      </c>
      <c r="AC907" s="3">
        <v>67.773623758175418</v>
      </c>
      <c r="AD907" s="3">
        <v>68.574274442570854</v>
      </c>
      <c r="AE907" s="3">
        <v>69.226198771367393</v>
      </c>
      <c r="AF907" s="3">
        <v>69.889196509879753</v>
      </c>
      <c r="AG907" s="3">
        <v>70.563469475533665</v>
      </c>
      <c r="AH907" s="3">
        <v>71.249223325595707</v>
      </c>
      <c r="AI907" s="3">
        <v>71.946667632004946</v>
      </c>
      <c r="AJ907" s="3">
        <v>72.656015957681788</v>
      </c>
      <c r="AK907" s="3">
        <v>73.377485934342999</v>
      </c>
      <c r="AL907" s="3">
        <v>74.111299341852941</v>
      </c>
      <c r="AM907" s="3">
        <v>74.857682189141798</v>
      </c>
      <c r="AN907" s="3">
        <v>75.616864796721401</v>
      </c>
      <c r="AO907" s="3">
        <v>76.389081880831</v>
      </c>
      <c r="AP907" s="3">
        <v>77.174572639245014</v>
      </c>
      <c r="AQ907" s="3">
        <v>77.174572639245014</v>
      </c>
      <c r="AR907" s="3">
        <v>77.174572639245014</v>
      </c>
      <c r="AS907" s="3">
        <v>77.174572639245014</v>
      </c>
      <c r="AT907" s="2"/>
      <c r="AU907" s="2"/>
    </row>
    <row r="908" spans="1:47" hidden="1" outlineLevel="1">
      <c r="A908" s="312"/>
      <c r="B908" s="758" t="s">
        <v>614</v>
      </c>
      <c r="C908" s="750" t="s">
        <v>733</v>
      </c>
      <c r="D908" s="750"/>
      <c r="E908" s="750"/>
      <c r="F908" s="750"/>
      <c r="G908" s="750"/>
      <c r="H908" s="750"/>
      <c r="I908" s="750"/>
      <c r="J908" s="750"/>
      <c r="K908" s="759">
        <v>0.3630187798638187</v>
      </c>
      <c r="L908" s="312">
        <v>0.58672832987549972</v>
      </c>
      <c r="M908" s="312">
        <v>0.45957467747456304</v>
      </c>
      <c r="N908" s="312">
        <v>0.12575357821562583</v>
      </c>
      <c r="O908" s="312">
        <v>5.8181879113133439E-2</v>
      </c>
      <c r="P908" s="759">
        <v>0.4</v>
      </c>
      <c r="Q908" s="759">
        <v>0.4</v>
      </c>
      <c r="R908" s="759">
        <v>0.2</v>
      </c>
      <c r="S908" s="759">
        <v>0.19</v>
      </c>
      <c r="T908" s="312">
        <v>1.7882529325244922E-2</v>
      </c>
      <c r="U908" s="312">
        <v>-9.8072429225355973E-2</v>
      </c>
      <c r="V908" s="312">
        <v>6.7969010837196864E-2</v>
      </c>
      <c r="W908" s="312">
        <v>9.4220675164843337E-2</v>
      </c>
      <c r="X908" s="312">
        <v>-3.7202072875468173E-2</v>
      </c>
      <c r="Y908" s="312">
        <v>1.6598364696934764E-2</v>
      </c>
      <c r="Z908" s="312">
        <v>-2.4494083915431286E-2</v>
      </c>
      <c r="AA908" s="312">
        <v>1.9797273353861611E-2</v>
      </c>
      <c r="AB908" s="313">
        <v>1.7338445827523197E-2</v>
      </c>
      <c r="AC908" s="313">
        <v>1.2263325984873008E-2</v>
      </c>
      <c r="AD908" s="313">
        <v>1.1813602991810779E-2</v>
      </c>
      <c r="AE908" s="312">
        <v>9.5068352395402123E-3</v>
      </c>
      <c r="AF908" s="312">
        <v>9.5772662702748868E-3</v>
      </c>
      <c r="AG908" s="312">
        <v>9.6477424169356674E-3</v>
      </c>
      <c r="AH908" s="312">
        <v>9.7182558504980143E-3</v>
      </c>
      <c r="AI908" s="312">
        <v>9.7887987244724695E-3</v>
      </c>
      <c r="AJ908" s="312">
        <v>9.8593631786401126E-3</v>
      </c>
      <c r="AK908" s="312">
        <v>9.929941342798454E-3</v>
      </c>
      <c r="AL908" s="312">
        <v>1.0000525340518651E-2</v>
      </c>
      <c r="AM908" s="312">
        <v>1.0071107292911163E-2</v>
      </c>
      <c r="AN908" s="312">
        <v>1.0141679322389185E-2</v>
      </c>
      <c r="AO908" s="312">
        <v>1.0212233556436523E-2</v>
      </c>
      <c r="AP908" s="312">
        <v>1.0282762131365919E-2</v>
      </c>
      <c r="AQ908" s="312">
        <v>1.0282762131365919E-2</v>
      </c>
      <c r="AR908" s="312">
        <v>1.0282762131365919E-2</v>
      </c>
      <c r="AS908" s="312">
        <v>1.0282762131365919E-2</v>
      </c>
      <c r="AT908" s="312"/>
      <c r="AU908" s="514"/>
    </row>
    <row r="909" spans="1:47" hidden="1" outlineLevel="1">
      <c r="A909" s="312"/>
      <c r="B909" s="758" t="s">
        <v>470</v>
      </c>
      <c r="C909" s="750" t="s">
        <v>733</v>
      </c>
      <c r="D909" s="750"/>
      <c r="E909" s="750"/>
      <c r="F909" s="750"/>
      <c r="G909" s="750"/>
      <c r="H909" s="750"/>
      <c r="I909" s="750"/>
      <c r="J909" s="750"/>
      <c r="K909" s="759">
        <v>4.9751243781094509E-3</v>
      </c>
      <c r="L909" s="312">
        <v>6.7418510416198795E-3</v>
      </c>
      <c r="M909" s="312">
        <v>7.8026939143834365E-3</v>
      </c>
      <c r="N909" s="312">
        <v>8.4985835694050913E-3</v>
      </c>
      <c r="O909" s="312">
        <v>8.5922009253139517E-3</v>
      </c>
      <c r="P909" s="312">
        <v>1.1160395199859816E-2</v>
      </c>
      <c r="Q909" s="312">
        <v>1.4407092352676678E-2</v>
      </c>
      <c r="R909" s="312">
        <v>0.16090759038439936</v>
      </c>
      <c r="S909" s="312">
        <v>0.1640625</v>
      </c>
      <c r="T909" s="312">
        <v>0.14741978191181296</v>
      </c>
      <c r="U909" s="312">
        <v>0.13322656048297096</v>
      </c>
      <c r="V909" s="313">
        <v>0.13979907655007914</v>
      </c>
      <c r="W909" s="313">
        <v>0.14677105630303985</v>
      </c>
      <c r="X909" s="312">
        <v>0.14609717666591626</v>
      </c>
      <c r="Y909" s="312">
        <v>0.1463921674927752</v>
      </c>
      <c r="Z909" s="313">
        <v>0.14594638191672893</v>
      </c>
      <c r="AA909" s="313">
        <v>0.14629946852938286</v>
      </c>
      <c r="AB909" s="313">
        <v>0.14660480272500048</v>
      </c>
      <c r="AC909" s="313">
        <v>0.14681890401253292</v>
      </c>
      <c r="AD909" s="313">
        <v>0.14702332755696829</v>
      </c>
      <c r="AE909" s="313">
        <v>0.14718669361034278</v>
      </c>
      <c r="AF909" s="313">
        <v>0.14735007099933661</v>
      </c>
      <c r="AG909" s="313">
        <v>0.14751343984912363</v>
      </c>
      <c r="AH909" s="313">
        <v>0.14767678021988331</v>
      </c>
      <c r="AI909" s="313">
        <v>0.14784007211664776</v>
      </c>
      <c r="AJ909" s="313">
        <v>0.14800329549924801</v>
      </c>
      <c r="AK909" s="313">
        <v>0.14816643029234919</v>
      </c>
      <c r="AL909" s="313">
        <v>0.14832945639556439</v>
      </c>
      <c r="AM909" s="313">
        <v>0.14849235369363642</v>
      </c>
      <c r="AN909" s="313">
        <v>0.14865510206667626</v>
      </c>
      <c r="AO909" s="313">
        <v>0.14881768140044821</v>
      </c>
      <c r="AP909" s="313">
        <v>0.14898007159668947</v>
      </c>
      <c r="AQ909" s="313">
        <v>0.14898007159668947</v>
      </c>
      <c r="AR909" s="313">
        <v>0.14898007159668947</v>
      </c>
      <c r="AS909" s="313">
        <v>0.14898007159668947</v>
      </c>
      <c r="AT909" s="312"/>
      <c r="AU909" s="514"/>
    </row>
    <row r="910" spans="1:47" hidden="1" outlineLevel="1">
      <c r="A910" s="2"/>
      <c r="B910" s="55"/>
      <c r="C910" s="38"/>
      <c r="D910" s="38"/>
      <c r="E910" s="38"/>
      <c r="F910" s="38"/>
      <c r="G910" s="38"/>
      <c r="H910" s="38"/>
      <c r="I910" s="38"/>
      <c r="J910" s="38"/>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2"/>
      <c r="AU910" s="2"/>
    </row>
    <row r="911" spans="1:47" hidden="1" outlineLevel="1">
      <c r="A911" s="2"/>
      <c r="B911" s="2" t="s">
        <v>58</v>
      </c>
      <c r="C911" s="38"/>
      <c r="D911" s="38"/>
      <c r="E911" s="38"/>
      <c r="F911" s="38"/>
      <c r="G911" s="38"/>
      <c r="H911" s="38"/>
      <c r="I911" s="38"/>
      <c r="J911" s="38"/>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2"/>
      <c r="AU911" s="2"/>
    </row>
    <row r="912" spans="1:47" hidden="1" outlineLevel="1">
      <c r="A912" s="2"/>
      <c r="B912" s="2" t="s">
        <v>473</v>
      </c>
      <c r="C912" s="38" t="s">
        <v>732</v>
      </c>
      <c r="D912" s="38"/>
      <c r="E912" s="38"/>
      <c r="F912" s="38"/>
      <c r="G912" s="38"/>
      <c r="H912" s="38"/>
      <c r="I912" s="38"/>
      <c r="J912" s="38"/>
      <c r="K912" s="3"/>
      <c r="L912" s="3"/>
      <c r="M912" s="3"/>
      <c r="N912" s="3"/>
      <c r="O912" s="3"/>
      <c r="P912" s="3"/>
      <c r="Q912" s="3"/>
      <c r="R912" s="3">
        <v>45.902439024390247</v>
      </c>
      <c r="S912" s="566">
        <v>54</v>
      </c>
      <c r="T912" s="3">
        <v>54.972000000000001</v>
      </c>
      <c r="U912" s="3">
        <v>54.972000000000001</v>
      </c>
      <c r="V912" s="3">
        <v>54.972000000000001</v>
      </c>
      <c r="W912" s="3">
        <v>54.972000000000001</v>
      </c>
      <c r="X912" s="3">
        <v>54.972000000000001</v>
      </c>
      <c r="Y912" s="3">
        <v>54.972000000000001</v>
      </c>
      <c r="Z912" s="3">
        <v>54.972000000000001</v>
      </c>
      <c r="AA912" s="3">
        <v>54.972000000000001</v>
      </c>
      <c r="AB912" s="3">
        <v>54.972000000000001</v>
      </c>
      <c r="AC912" s="3">
        <v>54.972000000000001</v>
      </c>
      <c r="AD912" s="3">
        <v>54.972000000000001</v>
      </c>
      <c r="AE912" s="3">
        <v>54.972000000000001</v>
      </c>
      <c r="AF912" s="3">
        <v>54.972000000000001</v>
      </c>
      <c r="AG912" s="3">
        <v>54.972000000000001</v>
      </c>
      <c r="AH912" s="3">
        <v>54.972000000000001</v>
      </c>
      <c r="AI912" s="3">
        <v>54.972000000000001</v>
      </c>
      <c r="AJ912" s="3">
        <v>54.972000000000001</v>
      </c>
      <c r="AK912" s="3">
        <v>54.972000000000001</v>
      </c>
      <c r="AL912" s="3">
        <v>54.972000000000001</v>
      </c>
      <c r="AM912" s="3">
        <v>54.972000000000001</v>
      </c>
      <c r="AN912" s="3">
        <v>54.972000000000001</v>
      </c>
      <c r="AO912" s="3">
        <v>54.972000000000001</v>
      </c>
      <c r="AP912" s="3">
        <v>54.972000000000001</v>
      </c>
      <c r="AQ912" s="3">
        <v>54.972000000000001</v>
      </c>
      <c r="AR912" s="3">
        <v>54.972000000000001</v>
      </c>
      <c r="AS912" s="3">
        <v>54.972000000000001</v>
      </c>
      <c r="AT912" s="2"/>
      <c r="AU912" s="2"/>
    </row>
    <row r="913" spans="1:47" hidden="1" outlineLevel="1">
      <c r="A913" s="312"/>
      <c r="B913" s="758" t="s">
        <v>614</v>
      </c>
      <c r="C913" s="750" t="s">
        <v>733</v>
      </c>
      <c r="D913" s="750"/>
      <c r="E913" s="750"/>
      <c r="F913" s="750"/>
      <c r="G913" s="750"/>
      <c r="H913" s="750"/>
      <c r="I913" s="750"/>
      <c r="J913" s="750"/>
      <c r="K913" s="514"/>
      <c r="L913" s="514"/>
      <c r="M913" s="514"/>
      <c r="N913" s="514"/>
      <c r="O913" s="514"/>
      <c r="P913" s="514"/>
      <c r="Q913" s="514"/>
      <c r="R913" s="514"/>
      <c r="S913" s="759">
        <v>0.23</v>
      </c>
      <c r="T913" s="759">
        <v>1.7999999999999999E-2</v>
      </c>
      <c r="U913" s="759">
        <v>0</v>
      </c>
      <c r="V913" s="708">
        <v>0</v>
      </c>
      <c r="W913" s="313">
        <v>0</v>
      </c>
      <c r="X913" s="312">
        <v>0</v>
      </c>
      <c r="Y913" s="312">
        <v>0</v>
      </c>
      <c r="Z913" s="312">
        <v>0</v>
      </c>
      <c r="AA913" s="312">
        <v>0</v>
      </c>
      <c r="AB913" s="313">
        <v>0</v>
      </c>
      <c r="AC913" s="313">
        <v>0</v>
      </c>
      <c r="AD913" s="313">
        <v>0</v>
      </c>
      <c r="AE913" s="312">
        <v>0</v>
      </c>
      <c r="AF913" s="312">
        <v>0</v>
      </c>
      <c r="AG913" s="312">
        <v>0</v>
      </c>
      <c r="AH913" s="312">
        <v>0</v>
      </c>
      <c r="AI913" s="312">
        <v>0</v>
      </c>
      <c r="AJ913" s="312">
        <v>0</v>
      </c>
      <c r="AK913" s="312">
        <v>0</v>
      </c>
      <c r="AL913" s="312">
        <v>0</v>
      </c>
      <c r="AM913" s="312">
        <v>0</v>
      </c>
      <c r="AN913" s="312">
        <v>0</v>
      </c>
      <c r="AO913" s="312">
        <v>0</v>
      </c>
      <c r="AP913" s="312">
        <v>0</v>
      </c>
      <c r="AQ913" s="312">
        <v>0</v>
      </c>
      <c r="AR913" s="312">
        <v>0</v>
      </c>
      <c r="AS913" s="312">
        <v>0</v>
      </c>
      <c r="AT913" s="312"/>
      <c r="AU913" s="514"/>
    </row>
    <row r="914" spans="1:47" hidden="1" outlineLevel="1">
      <c r="A914" s="312"/>
      <c r="B914" s="758" t="s">
        <v>470</v>
      </c>
      <c r="C914" s="750" t="s">
        <v>733</v>
      </c>
      <c r="D914" s="750"/>
      <c r="E914" s="750"/>
      <c r="F914" s="750"/>
      <c r="G914" s="750"/>
      <c r="H914" s="750"/>
      <c r="I914" s="750"/>
      <c r="J914" s="750"/>
      <c r="K914" s="514"/>
      <c r="L914" s="514"/>
      <c r="M914" s="514"/>
      <c r="N914" s="514"/>
      <c r="O914" s="514"/>
      <c r="P914" s="514"/>
      <c r="Q914" s="514"/>
      <c r="R914" s="312">
        <v>0.13951429395009413</v>
      </c>
      <c r="S914" s="312">
        <v>0.140625</v>
      </c>
      <c r="T914" s="312">
        <v>0.12637439586250768</v>
      </c>
      <c r="U914" s="312">
        <v>0.12662588127830157</v>
      </c>
      <c r="V914" s="312">
        <v>0.12441631002845167</v>
      </c>
      <c r="W914" s="312">
        <v>0.11937366218176083</v>
      </c>
      <c r="X914" s="312">
        <v>0.12341694000450261</v>
      </c>
      <c r="Y914" s="312">
        <v>0.12164699504334885</v>
      </c>
      <c r="Z914" s="312">
        <v>0.12432170849962651</v>
      </c>
      <c r="AA914" s="312">
        <v>0.12220318882370308</v>
      </c>
      <c r="AB914" s="313">
        <v>0.12037118364999731</v>
      </c>
      <c r="AC914" s="313">
        <v>0.11908657592480257</v>
      </c>
      <c r="AD914" s="313">
        <v>0.11786003465819039</v>
      </c>
      <c r="AE914" s="312">
        <v>0.11687983833794349</v>
      </c>
      <c r="AF914" s="312">
        <v>0.11589957400398034</v>
      </c>
      <c r="AG914" s="312">
        <v>0.11491936090525821</v>
      </c>
      <c r="AH914" s="312">
        <v>0.11393931868070017</v>
      </c>
      <c r="AI914" s="312">
        <v>0.11295956730011351</v>
      </c>
      <c r="AJ914" s="312">
        <v>0.11198022700451211</v>
      </c>
      <c r="AK914" s="312">
        <v>0.11100141824590501</v>
      </c>
      <c r="AL914" s="312">
        <v>0.11002326162661365</v>
      </c>
      <c r="AM914" s="312">
        <v>0.10904587783818163</v>
      </c>
      <c r="AN914" s="312">
        <v>0.10806938759994243</v>
      </c>
      <c r="AO914" s="312">
        <v>0.10709391159731065</v>
      </c>
      <c r="AP914" s="312">
        <v>0.10611957041986325</v>
      </c>
      <c r="AQ914" s="312">
        <v>0.10611957041986325</v>
      </c>
      <c r="AR914" s="312">
        <v>0.10611957041986325</v>
      </c>
      <c r="AS914" s="312">
        <v>0.10611957041986325</v>
      </c>
      <c r="AT914" s="312"/>
      <c r="AU914" s="514"/>
    </row>
    <row r="915" spans="1:47" hidden="1" outlineLevel="1">
      <c r="A915" s="2"/>
      <c r="B915" s="55"/>
      <c r="C915" s="38"/>
      <c r="D915" s="38"/>
      <c r="E915" s="38"/>
      <c r="F915" s="38"/>
      <c r="G915" s="38"/>
      <c r="H915" s="38"/>
      <c r="I915" s="38"/>
      <c r="J915" s="38"/>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2"/>
      <c r="AU915" s="2"/>
    </row>
    <row r="916" spans="1:47" hidden="1" outlineLevel="1">
      <c r="A916" s="2"/>
      <c r="B916" s="6" t="s">
        <v>474</v>
      </c>
      <c r="C916" s="37" t="s">
        <v>732</v>
      </c>
      <c r="D916" s="37"/>
      <c r="E916" s="37"/>
      <c r="F916" s="37"/>
      <c r="G916" s="37"/>
      <c r="H916" s="37"/>
      <c r="I916" s="37"/>
      <c r="J916" s="37"/>
      <c r="K916" s="768">
        <v>81.608507572227467</v>
      </c>
      <c r="L916" s="4">
        <v>95.557064841068808</v>
      </c>
      <c r="M916" s="4">
        <v>120.51017122603697</v>
      </c>
      <c r="N916" s="4">
        <v>124.55611703442602</v>
      </c>
      <c r="O916" s="4">
        <v>130.36695029778184</v>
      </c>
      <c r="P916" s="4">
        <v>140.51425736162466</v>
      </c>
      <c r="Q916" s="4">
        <v>152.38831312904475</v>
      </c>
      <c r="R916" s="4">
        <v>329.016029288082</v>
      </c>
      <c r="S916" s="4">
        <v>384</v>
      </c>
      <c r="T916" s="4">
        <v>434.99317741394566</v>
      </c>
      <c r="U916" s="4">
        <v>434.12925892441484</v>
      </c>
      <c r="V916" s="4">
        <v>441.8391767721526</v>
      </c>
      <c r="W916" s="4">
        <v>460.5035901160382</v>
      </c>
      <c r="X916" s="4">
        <v>445.41697434723682</v>
      </c>
      <c r="Y916" s="4">
        <v>451.89772242553755</v>
      </c>
      <c r="Z916" s="4">
        <v>442.1753904722533</v>
      </c>
      <c r="AA916" s="4">
        <v>449.84096183697443</v>
      </c>
      <c r="AB916" s="4">
        <v>456.68737594075515</v>
      </c>
      <c r="AC916" s="4">
        <v>461.61374254905246</v>
      </c>
      <c r="AD916" s="4">
        <v>466.41764665542507</v>
      </c>
      <c r="AE916" s="4">
        <v>470.32919262820428</v>
      </c>
      <c r="AF916" s="4">
        <v>474.3071790592785</v>
      </c>
      <c r="AG916" s="4">
        <v>478.352816853202</v>
      </c>
      <c r="AH916" s="4">
        <v>482.4673399535742</v>
      </c>
      <c r="AI916" s="4">
        <v>486.65200579202963</v>
      </c>
      <c r="AJ916" s="4">
        <v>490.90809574609068</v>
      </c>
      <c r="AK916" s="4">
        <v>495.23691560605795</v>
      </c>
      <c r="AL916" s="4">
        <v>499.63979605111763</v>
      </c>
      <c r="AM916" s="4">
        <v>504.11809313485071</v>
      </c>
      <c r="AN916" s="4">
        <v>508.67318878032842</v>
      </c>
      <c r="AO916" s="4">
        <v>513.30649128498601</v>
      </c>
      <c r="AP916" s="4">
        <v>518.01943583547006</v>
      </c>
      <c r="AQ916" s="4">
        <v>518.01943583547006</v>
      </c>
      <c r="AR916" s="4">
        <v>518.01943583547006</v>
      </c>
      <c r="AS916" s="4">
        <v>518.01943583547006</v>
      </c>
      <c r="AT916" s="2"/>
      <c r="AU916" s="2"/>
    </row>
    <row r="917" spans="1:47" hidden="1" outlineLevel="1">
      <c r="A917" s="312"/>
      <c r="B917" s="769" t="s">
        <v>614</v>
      </c>
      <c r="C917" s="762" t="s">
        <v>733</v>
      </c>
      <c r="D917" s="762"/>
      <c r="E917" s="762"/>
      <c r="F917" s="762"/>
      <c r="G917" s="762"/>
      <c r="H917" s="762"/>
      <c r="I917" s="762"/>
      <c r="J917" s="762"/>
      <c r="K917" s="763">
        <v>0.36301877986381936</v>
      </c>
      <c r="L917" s="327">
        <v>0.17092038175672064</v>
      </c>
      <c r="M917" s="327">
        <v>0.26113303528598686</v>
      </c>
      <c r="N917" s="327">
        <v>3.3573479874990708E-2</v>
      </c>
      <c r="O917" s="327">
        <v>4.6652331508935552E-2</v>
      </c>
      <c r="P917" s="327">
        <v>7.7836499516668267E-2</v>
      </c>
      <c r="Q917" s="327">
        <v>8.4504277290960328E-2</v>
      </c>
      <c r="R917" s="327">
        <v>1.1590633988412629</v>
      </c>
      <c r="S917" s="327">
        <v>0.16711638892150993</v>
      </c>
      <c r="T917" s="327">
        <v>0.13279473284881682</v>
      </c>
      <c r="U917" s="327">
        <v>-1.9860506655916543E-3</v>
      </c>
      <c r="V917" s="764">
        <v>1.7759498327386769E-2</v>
      </c>
      <c r="W917" s="764">
        <v>4.2242549608747071E-2</v>
      </c>
      <c r="X917" s="327">
        <v>-3.2761125195570839E-2</v>
      </c>
      <c r="Y917" s="327">
        <v>1.4549845316960131E-2</v>
      </c>
      <c r="Z917" s="764">
        <v>-2.15144522107793E-2</v>
      </c>
      <c r="AA917" s="764">
        <v>1.7336042506875149E-2</v>
      </c>
      <c r="AB917" s="764">
        <v>1.5219632458152832E-2</v>
      </c>
      <c r="AC917" s="764">
        <v>1.0787174920588116E-2</v>
      </c>
      <c r="AD917" s="764">
        <v>1.0406761462181002E-2</v>
      </c>
      <c r="AE917" s="764">
        <v>8.3863593087183386E-3</v>
      </c>
      <c r="AF917" s="764">
        <v>8.457876936885711E-3</v>
      </c>
      <c r="AG917" s="764">
        <v>8.5295731807126796E-3</v>
      </c>
      <c r="AH917" s="764">
        <v>8.6014400990448436E-3</v>
      </c>
      <c r="AI917" s="764">
        <v>8.6734696671035838E-3</v>
      </c>
      <c r="AJ917" s="764">
        <v>8.7456537801262613E-3</v>
      </c>
      <c r="AK917" s="764">
        <v>8.8179842570903499E-3</v>
      </c>
      <c r="AL917" s="764">
        <v>8.8904528445170605E-3</v>
      </c>
      <c r="AM917" s="764">
        <v>8.9630512203533463E-3</v>
      </c>
      <c r="AN917" s="764">
        <v>9.0357709979260736E-3</v>
      </c>
      <c r="AO917" s="764">
        <v>9.1086037299648037E-3</v>
      </c>
      <c r="AP917" s="764">
        <v>9.1815409126931868E-3</v>
      </c>
      <c r="AQ917" s="764">
        <v>9.1815409126931868E-3</v>
      </c>
      <c r="AR917" s="764">
        <v>9.1815409126931868E-3</v>
      </c>
      <c r="AS917" s="764">
        <v>9.1815409126931868E-3</v>
      </c>
      <c r="AT917" s="312"/>
      <c r="AU917" s="514"/>
    </row>
    <row r="918" spans="1:47" hidden="1" outlineLevel="1">
      <c r="A918" s="2"/>
      <c r="B918" s="2"/>
      <c r="C918" s="18"/>
      <c r="D918" s="18"/>
      <c r="E918" s="18"/>
      <c r="F918" s="18"/>
      <c r="G918" s="18"/>
      <c r="H918" s="18"/>
      <c r="I918" s="18"/>
      <c r="J918" s="18"/>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row>
    <row r="919" spans="1:47" hidden="1" outlineLevel="1">
      <c r="A919" s="2"/>
      <c r="B919" s="6" t="s">
        <v>805</v>
      </c>
      <c r="C919" s="18"/>
      <c r="D919" s="18"/>
      <c r="E919" s="18"/>
      <c r="F919" s="18"/>
      <c r="G919" s="18"/>
      <c r="H919" s="18"/>
      <c r="I919" s="18"/>
      <c r="J919" s="18"/>
      <c r="K919" s="2"/>
      <c r="L919" s="2"/>
      <c r="M919" s="2"/>
      <c r="N919" s="2"/>
      <c r="O919" s="2"/>
      <c r="P919" s="2"/>
      <c r="Q919" s="2"/>
      <c r="R919" s="3"/>
      <c r="S919" s="3"/>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row>
    <row r="920" spans="1:47" hidden="1" outlineLevel="1">
      <c r="A920" s="2"/>
      <c r="B920" s="2" t="s">
        <v>238</v>
      </c>
      <c r="C920" s="18"/>
      <c r="D920" s="18"/>
      <c r="E920" s="18"/>
      <c r="F920" s="18"/>
      <c r="G920" s="18"/>
      <c r="H920" s="18"/>
      <c r="I920" s="18"/>
      <c r="J920" s="18"/>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row>
    <row r="921" spans="1:47" hidden="1" outlineLevel="1">
      <c r="A921" s="2"/>
      <c r="B921" s="2" t="s">
        <v>688</v>
      </c>
      <c r="C921" s="18" t="s">
        <v>300</v>
      </c>
      <c r="D921" s="18"/>
      <c r="E921" s="18"/>
      <c r="F921" s="18"/>
      <c r="G921" s="18"/>
      <c r="H921" s="18"/>
      <c r="I921" s="18"/>
      <c r="J921" s="18"/>
      <c r="K921" s="770">
        <v>105</v>
      </c>
      <c r="L921" s="771">
        <v>115.50000000000001</v>
      </c>
      <c r="M921" s="771">
        <v>117.81000000000002</v>
      </c>
      <c r="N921" s="771">
        <v>117.81000000000002</v>
      </c>
      <c r="O921" s="771">
        <v>122.52240000000002</v>
      </c>
      <c r="P921" s="770">
        <v>100</v>
      </c>
      <c r="Q921" s="771">
        <v>104</v>
      </c>
      <c r="R921" s="770">
        <v>150</v>
      </c>
      <c r="S921" s="771">
        <v>165</v>
      </c>
      <c r="T921" s="771">
        <v>186.45</v>
      </c>
      <c r="U921" s="771">
        <v>192.97574999999998</v>
      </c>
      <c r="V921" s="771">
        <v>199.72990124999995</v>
      </c>
      <c r="W921" s="771">
        <v>206.72044779374994</v>
      </c>
      <c r="X921" s="771">
        <v>213.95566346653118</v>
      </c>
      <c r="Y921" s="771">
        <v>221.44411168785976</v>
      </c>
      <c r="Z921" s="771">
        <v>229.19465559693484</v>
      </c>
      <c r="AA921" s="771">
        <v>237.21646854282753</v>
      </c>
      <c r="AB921" s="771">
        <v>245.51904494182648</v>
      </c>
      <c r="AC921" s="771">
        <v>254.11221151479037</v>
      </c>
      <c r="AD921" s="771">
        <v>263.00613891780802</v>
      </c>
      <c r="AE921" s="771">
        <v>272.2113537799313</v>
      </c>
      <c r="AF921" s="771">
        <v>281.73875116222888</v>
      </c>
      <c r="AG921" s="771">
        <v>291.59960745290687</v>
      </c>
      <c r="AH921" s="771">
        <v>301.80559371375858</v>
      </c>
      <c r="AI921" s="771">
        <v>312.36878949374011</v>
      </c>
      <c r="AJ921" s="771">
        <v>323.301697126021</v>
      </c>
      <c r="AK921" s="771">
        <v>334.61725652543169</v>
      </c>
      <c r="AL921" s="771">
        <v>346.32886050382177</v>
      </c>
      <c r="AM921" s="771">
        <v>358.45037062145553</v>
      </c>
      <c r="AN921" s="771">
        <v>370.99613359320642</v>
      </c>
      <c r="AO921" s="771">
        <v>383.98099826896862</v>
      </c>
      <c r="AP921" s="771">
        <v>397.42033320838249</v>
      </c>
      <c r="AQ921" s="771">
        <v>397.42033320838249</v>
      </c>
      <c r="AR921" s="771">
        <v>397.42033320838249</v>
      </c>
      <c r="AS921" s="771">
        <v>397.42033320838249</v>
      </c>
      <c r="AT921" s="2"/>
      <c r="AU921" s="2"/>
    </row>
    <row r="922" spans="1:47" hidden="1" outlineLevel="1">
      <c r="A922" s="312"/>
      <c r="B922" s="758" t="s">
        <v>614</v>
      </c>
      <c r="C922" s="750" t="s">
        <v>733</v>
      </c>
      <c r="D922" s="750"/>
      <c r="E922" s="750"/>
      <c r="F922" s="750"/>
      <c r="G922" s="750"/>
      <c r="H922" s="750"/>
      <c r="I922" s="750"/>
      <c r="J922" s="750"/>
      <c r="K922" s="759">
        <v>0.16666666666666674</v>
      </c>
      <c r="L922" s="759">
        <v>0.1</v>
      </c>
      <c r="M922" s="759">
        <v>0.02</v>
      </c>
      <c r="N922" s="759">
        <v>0</v>
      </c>
      <c r="O922" s="759">
        <v>0.04</v>
      </c>
      <c r="P922" s="312">
        <v>0.04</v>
      </c>
      <c r="Q922" s="312">
        <v>0.04</v>
      </c>
      <c r="R922" s="312">
        <v>0.44230769230769229</v>
      </c>
      <c r="S922" s="759">
        <v>0.1</v>
      </c>
      <c r="T922" s="759">
        <v>0.13</v>
      </c>
      <c r="U922" s="759">
        <v>3.5000000000000003E-2</v>
      </c>
      <c r="V922" s="313">
        <v>3.5000000000000003E-2</v>
      </c>
      <c r="W922" s="313">
        <v>3.5000000000000003E-2</v>
      </c>
      <c r="X922" s="312">
        <v>3.5000000000000003E-2</v>
      </c>
      <c r="Y922" s="312">
        <v>3.5000000000000003E-2</v>
      </c>
      <c r="Z922" s="313">
        <v>3.5000000000000003E-2</v>
      </c>
      <c r="AA922" s="313">
        <v>3.5000000000000003E-2</v>
      </c>
      <c r="AB922" s="313">
        <v>3.5000000000000003E-2</v>
      </c>
      <c r="AC922" s="313">
        <v>3.5000000000000003E-2</v>
      </c>
      <c r="AD922" s="313">
        <v>3.5000000000000003E-2</v>
      </c>
      <c r="AE922" s="313">
        <v>3.5000000000000003E-2</v>
      </c>
      <c r="AF922" s="313">
        <v>3.5000000000000003E-2</v>
      </c>
      <c r="AG922" s="313">
        <v>3.5000000000000003E-2</v>
      </c>
      <c r="AH922" s="313">
        <v>3.5000000000000003E-2</v>
      </c>
      <c r="AI922" s="313">
        <v>3.5000000000000003E-2</v>
      </c>
      <c r="AJ922" s="313">
        <v>3.5000000000000003E-2</v>
      </c>
      <c r="AK922" s="313">
        <v>3.5000000000000003E-2</v>
      </c>
      <c r="AL922" s="313">
        <v>3.5000000000000003E-2</v>
      </c>
      <c r="AM922" s="313">
        <v>3.5000000000000003E-2</v>
      </c>
      <c r="AN922" s="313">
        <v>3.5000000000000003E-2</v>
      </c>
      <c r="AO922" s="313">
        <v>3.5000000000000003E-2</v>
      </c>
      <c r="AP922" s="313">
        <v>3.5000000000000003E-2</v>
      </c>
      <c r="AQ922" s="313">
        <v>3.5000000000000003E-2</v>
      </c>
      <c r="AR922" s="313">
        <v>3.5000000000000003E-2</v>
      </c>
      <c r="AS922" s="313">
        <v>3.5000000000000003E-2</v>
      </c>
      <c r="AT922" s="312"/>
      <c r="AU922" s="514"/>
    </row>
    <row r="923" spans="1:47" hidden="1" outlineLevel="1">
      <c r="A923" s="2"/>
      <c r="B923" s="2" t="s">
        <v>380</v>
      </c>
      <c r="C923" s="38" t="s">
        <v>35</v>
      </c>
      <c r="D923" s="38"/>
      <c r="E923" s="38"/>
      <c r="F923" s="38"/>
      <c r="G923" s="38"/>
      <c r="H923" s="38"/>
      <c r="I923" s="38"/>
      <c r="J923" s="38"/>
      <c r="K923" s="772">
        <v>58000</v>
      </c>
      <c r="L923" s="773">
        <v>60029.999999999993</v>
      </c>
      <c r="M923" s="773">
        <v>62131.049999999988</v>
      </c>
      <c r="N923" s="773">
        <v>64305.636749999983</v>
      </c>
      <c r="O923" s="773">
        <v>66556.334036249973</v>
      </c>
      <c r="P923" s="773">
        <v>68885.805727518717</v>
      </c>
      <c r="Q923" s="773">
        <v>71296.808927981867</v>
      </c>
      <c r="R923" s="773">
        <v>74861.64937438097</v>
      </c>
      <c r="S923" s="773">
        <v>77856.115349356216</v>
      </c>
      <c r="T923" s="773">
        <v>81748.921116824029</v>
      </c>
      <c r="U923" s="773">
        <v>85836.367172665239</v>
      </c>
      <c r="V923" s="773">
        <v>90128.185531298499</v>
      </c>
      <c r="W923" s="773">
        <v>94634.594807863425</v>
      </c>
      <c r="X923" s="773">
        <v>99366.324548256598</v>
      </c>
      <c r="Y923" s="773">
        <v>104334.64077566944</v>
      </c>
      <c r="Z923" s="773">
        <v>109551.37281445292</v>
      </c>
      <c r="AA923" s="773">
        <v>115028.94145517556</v>
      </c>
      <c r="AB923" s="773">
        <v>120780.38852793435</v>
      </c>
      <c r="AC923" s="773">
        <v>126819.40795433108</v>
      </c>
      <c r="AD923" s="773">
        <v>133160.37835204764</v>
      </c>
      <c r="AE923" s="773">
        <v>139818.39726965004</v>
      </c>
      <c r="AF923" s="773">
        <v>146809.31713313254</v>
      </c>
      <c r="AG923" s="773">
        <v>154149.78298978918</v>
      </c>
      <c r="AH923" s="773">
        <v>161857.27213927865</v>
      </c>
      <c r="AI923" s="773">
        <v>169950.13574624259</v>
      </c>
      <c r="AJ923" s="773">
        <v>178447.64253355472</v>
      </c>
      <c r="AK923" s="773">
        <v>187370.02466023248</v>
      </c>
      <c r="AL923" s="773">
        <v>196738.52589324411</v>
      </c>
      <c r="AM923" s="773">
        <v>206575.45218790631</v>
      </c>
      <c r="AN923" s="773">
        <v>216904.22479730163</v>
      </c>
      <c r="AO923" s="773">
        <v>227749.43603716671</v>
      </c>
      <c r="AP923" s="773">
        <v>239136.90783902505</v>
      </c>
      <c r="AQ923" s="773">
        <v>239136.90783902505</v>
      </c>
      <c r="AR923" s="773">
        <v>239136.90783902505</v>
      </c>
      <c r="AS923" s="773">
        <v>239136.90783902505</v>
      </c>
      <c r="AT923" s="2"/>
      <c r="AU923" s="2"/>
    </row>
    <row r="924" spans="1:47" hidden="1" outlineLevel="1">
      <c r="A924" s="312"/>
      <c r="B924" s="758" t="s">
        <v>614</v>
      </c>
      <c r="C924" s="750" t="s">
        <v>733</v>
      </c>
      <c r="D924" s="750"/>
      <c r="E924" s="750"/>
      <c r="F924" s="750"/>
      <c r="G924" s="750"/>
      <c r="H924" s="750"/>
      <c r="I924" s="750"/>
      <c r="J924" s="750"/>
      <c r="K924" s="759">
        <v>5.4545454545454453E-2</v>
      </c>
      <c r="L924" s="759">
        <v>3.5000000000000003E-2</v>
      </c>
      <c r="M924" s="514">
        <v>3.5000000000000003E-2</v>
      </c>
      <c r="N924" s="514">
        <v>3.5000000000000003E-2</v>
      </c>
      <c r="O924" s="514">
        <v>3.5000000000000003E-2</v>
      </c>
      <c r="P924" s="514">
        <v>3.5000000000000003E-2</v>
      </c>
      <c r="Q924" s="514">
        <v>3.5000000000000003E-2</v>
      </c>
      <c r="R924" s="751">
        <v>0.05</v>
      </c>
      <c r="S924" s="751">
        <v>0.04</v>
      </c>
      <c r="T924" s="751">
        <v>0.05</v>
      </c>
      <c r="U924" s="514">
        <v>0.05</v>
      </c>
      <c r="V924" s="513">
        <v>0.05</v>
      </c>
      <c r="W924" s="513">
        <v>0.05</v>
      </c>
      <c r="X924" s="514">
        <v>0.05</v>
      </c>
      <c r="Y924" s="514">
        <v>0.05</v>
      </c>
      <c r="Z924" s="513">
        <v>0.05</v>
      </c>
      <c r="AA924" s="513">
        <v>0.05</v>
      </c>
      <c r="AB924" s="513">
        <v>0.05</v>
      </c>
      <c r="AC924" s="513">
        <v>0.05</v>
      </c>
      <c r="AD924" s="513">
        <v>0.05</v>
      </c>
      <c r="AE924" s="513">
        <v>0.05</v>
      </c>
      <c r="AF924" s="513">
        <v>0.05</v>
      </c>
      <c r="AG924" s="513">
        <v>0.05</v>
      </c>
      <c r="AH924" s="513">
        <v>0.05</v>
      </c>
      <c r="AI924" s="513">
        <v>0.05</v>
      </c>
      <c r="AJ924" s="513">
        <v>0.05</v>
      </c>
      <c r="AK924" s="513">
        <v>0.05</v>
      </c>
      <c r="AL924" s="513">
        <v>0.05</v>
      </c>
      <c r="AM924" s="513">
        <v>0.05</v>
      </c>
      <c r="AN924" s="513">
        <v>0.05</v>
      </c>
      <c r="AO924" s="513">
        <v>0.05</v>
      </c>
      <c r="AP924" s="513">
        <v>0.05</v>
      </c>
      <c r="AQ924" s="513">
        <v>0.05</v>
      </c>
      <c r="AR924" s="513">
        <v>0.05</v>
      </c>
      <c r="AS924" s="513">
        <v>0.05</v>
      </c>
      <c r="AT924" s="312"/>
      <c r="AU924" s="514"/>
    </row>
    <row r="925" spans="1:47" hidden="1" outlineLevel="1">
      <c r="A925" s="2"/>
      <c r="B925" s="2" t="s">
        <v>689</v>
      </c>
      <c r="C925" s="38" t="s">
        <v>732</v>
      </c>
      <c r="D925" s="38"/>
      <c r="E925" s="38"/>
      <c r="F925" s="38"/>
      <c r="G925" s="38"/>
      <c r="H925" s="38"/>
      <c r="I925" s="38"/>
      <c r="J925" s="38"/>
      <c r="K925" s="774">
        <v>-6.09</v>
      </c>
      <c r="L925" s="163">
        <v>-6.933465</v>
      </c>
      <c r="M925" s="163">
        <v>-7.3196590004999997</v>
      </c>
      <c r="N925" s="163">
        <v>-7.5758470655174994</v>
      </c>
      <c r="O925" s="163">
        <v>-8.1546417813230345</v>
      </c>
      <c r="P925" s="163">
        <v>-6.888580572751871</v>
      </c>
      <c r="Q925" s="163">
        <v>-7.4148681285101139</v>
      </c>
      <c r="R925" s="163">
        <v>-11.229247406157146</v>
      </c>
      <c r="S925" s="163">
        <v>-12.846259032643776</v>
      </c>
      <c r="T925" s="163">
        <v>-15.24208634223184</v>
      </c>
      <c r="U925" s="163">
        <v>-16.56433733242045</v>
      </c>
      <c r="V925" s="163">
        <v>-18.001293596007926</v>
      </c>
      <c r="W925" s="163">
        <v>-19.562905815461608</v>
      </c>
      <c r="X925" s="163">
        <v>-21.259987894952904</v>
      </c>
      <c r="Y925" s="163">
        <v>-23.104291844840073</v>
      </c>
      <c r="Z925" s="163">
        <v>-25.108589162379946</v>
      </c>
      <c r="AA925" s="163">
        <v>-27.286759272216401</v>
      </c>
      <c r="AB925" s="163">
        <v>-29.653885639081178</v>
      </c>
      <c r="AC925" s="163">
        <v>-32.226360218271466</v>
      </c>
      <c r="AD925" s="163">
        <v>-35.021996967206512</v>
      </c>
      <c r="AE925" s="163">
        <v>-38.060155204111688</v>
      </c>
      <c r="AF925" s="163">
        <v>-41.36187366806837</v>
      </c>
      <c r="AG925" s="163">
        <v>-44.950016208773306</v>
      </c>
      <c r="AH925" s="163">
        <v>-48.849430114884392</v>
      </c>
      <c r="AI925" s="163">
        <v>-53.087118177350611</v>
      </c>
      <c r="AJ925" s="163">
        <v>-57.692425679235768</v>
      </c>
      <c r="AK925" s="163">
        <v>-62.697243606909467</v>
      </c>
      <c r="AL925" s="163">
        <v>-68.136229489808869</v>
      </c>
      <c r="AM925" s="163">
        <v>-74.047047398049784</v>
      </c>
      <c r="AN925" s="163">
        <v>-80.470628759830589</v>
      </c>
      <c r="AO925" s="163">
        <v>-87.451455804745905</v>
      </c>
      <c r="AP925" s="163">
        <v>-95.037869595807592</v>
      </c>
      <c r="AQ925" s="163">
        <v>-95.037869595807592</v>
      </c>
      <c r="AR925" s="163">
        <v>-95.037869595807592</v>
      </c>
      <c r="AS925" s="163">
        <v>-95.037869595807592</v>
      </c>
      <c r="AT925" s="2"/>
      <c r="AU925" s="2"/>
    </row>
    <row r="926" spans="1:47" hidden="1" outlineLevel="1">
      <c r="A926" s="312"/>
      <c r="B926" s="758" t="s">
        <v>614</v>
      </c>
      <c r="C926" s="750" t="s">
        <v>733</v>
      </c>
      <c r="D926" s="750"/>
      <c r="E926" s="750"/>
      <c r="F926" s="750"/>
      <c r="G926" s="750"/>
      <c r="H926" s="750"/>
      <c r="I926" s="750"/>
      <c r="J926" s="750"/>
      <c r="K926" s="759">
        <v>0.23030303030303023</v>
      </c>
      <c r="L926" s="312">
        <v>0.13850000000000007</v>
      </c>
      <c r="M926" s="312">
        <v>5.5699999999999861E-2</v>
      </c>
      <c r="N926" s="759">
        <v>0.04</v>
      </c>
      <c r="O926" s="312">
        <v>7.6399999999999801E-2</v>
      </c>
      <c r="P926" s="312">
        <v>-0.15525650819768488</v>
      </c>
      <c r="Q926" s="312">
        <v>7.6400000000000023E-2</v>
      </c>
      <c r="R926" s="312">
        <v>0.51442307692307732</v>
      </c>
      <c r="S926" s="312">
        <v>0.14400000000000013</v>
      </c>
      <c r="T926" s="312">
        <v>0.18650000000000011</v>
      </c>
      <c r="U926" s="312">
        <v>8.6749999999999883E-2</v>
      </c>
      <c r="V926" s="313">
        <v>8.6750000000000105E-2</v>
      </c>
      <c r="W926" s="313">
        <v>8.6749999999999661E-2</v>
      </c>
      <c r="X926" s="312">
        <v>8.6750000000000105E-2</v>
      </c>
      <c r="Y926" s="312">
        <v>8.6750000000000327E-2</v>
      </c>
      <c r="Z926" s="313">
        <v>8.6749999999999883E-2</v>
      </c>
      <c r="AA926" s="313">
        <v>8.6749999999999661E-2</v>
      </c>
      <c r="AB926" s="313">
        <v>8.6750000000000105E-2</v>
      </c>
      <c r="AC926" s="313">
        <v>8.6749999999999883E-2</v>
      </c>
      <c r="AD926" s="313">
        <v>8.6749999999999883E-2</v>
      </c>
      <c r="AE926" s="313">
        <v>8.6750000000000327E-2</v>
      </c>
      <c r="AF926" s="313">
        <v>8.6749999999999883E-2</v>
      </c>
      <c r="AG926" s="313">
        <v>8.6750000000000105E-2</v>
      </c>
      <c r="AH926" s="313">
        <v>8.6750000000000105E-2</v>
      </c>
      <c r="AI926" s="313">
        <v>8.6749999999999883E-2</v>
      </c>
      <c r="AJ926" s="313">
        <v>8.6749999999999883E-2</v>
      </c>
      <c r="AK926" s="313">
        <v>8.6749999999999883E-2</v>
      </c>
      <c r="AL926" s="313">
        <v>8.6750000000000105E-2</v>
      </c>
      <c r="AM926" s="313">
        <v>8.6749999999999883E-2</v>
      </c>
      <c r="AN926" s="313">
        <v>8.6749999999999883E-2</v>
      </c>
      <c r="AO926" s="313">
        <v>8.6750000000000105E-2</v>
      </c>
      <c r="AP926" s="313">
        <v>8.6749999999999883E-2</v>
      </c>
      <c r="AQ926" s="313">
        <v>8.6749999999999883E-2</v>
      </c>
      <c r="AR926" s="313">
        <v>8.6749999999999883E-2</v>
      </c>
      <c r="AS926" s="313">
        <v>8.6749999999999883E-2</v>
      </c>
      <c r="AT926" s="312"/>
      <c r="AU926" s="514"/>
    </row>
    <row r="927" spans="1:47" hidden="1" outlineLevel="1">
      <c r="A927" s="312"/>
      <c r="B927" s="758" t="s">
        <v>617</v>
      </c>
      <c r="C927" s="750" t="s">
        <v>733</v>
      </c>
      <c r="D927" s="750"/>
      <c r="E927" s="750"/>
      <c r="F927" s="750"/>
      <c r="G927" s="750"/>
      <c r="H927" s="750"/>
      <c r="I927" s="750"/>
      <c r="J927" s="750"/>
      <c r="K927" s="759">
        <v>8.9671202550939841E-2</v>
      </c>
      <c r="L927" s="312">
        <v>9.2196133354298701E-2</v>
      </c>
      <c r="M927" s="312">
        <v>9.0763991174623582E-2</v>
      </c>
      <c r="N927" s="312">
        <v>9.2785947321801884E-2</v>
      </c>
      <c r="O927" s="312">
        <v>9.1953989383197557E-2</v>
      </c>
      <c r="P927" s="312">
        <v>7.9708839952651073E-2</v>
      </c>
      <c r="Q927" s="312">
        <v>8.2424677438231397E-2</v>
      </c>
      <c r="R927" s="312">
        <v>5.0348766077785455E-2</v>
      </c>
      <c r="S927" s="312">
        <v>5.117863086319048E-2</v>
      </c>
      <c r="T927" s="312">
        <v>5.4046344196613437E-2</v>
      </c>
      <c r="U927" s="312">
        <v>5.6587772193359219E-2</v>
      </c>
      <c r="V927" s="313">
        <v>5.686679372261242E-2</v>
      </c>
      <c r="W927" s="313">
        <v>5.6713002732418444E-2</v>
      </c>
      <c r="X927" s="312">
        <v>5.8689289957651054E-2</v>
      </c>
      <c r="Y927" s="312">
        <v>6.072861694165739E-2</v>
      </c>
      <c r="Z927" s="313">
        <v>6.2832654417810482E-2</v>
      </c>
      <c r="AA927" s="313">
        <v>6.5003095539615446E-2</v>
      </c>
      <c r="AB927" s="313">
        <v>6.7241654604959164E-2</v>
      </c>
      <c r="AC927" s="313">
        <v>6.955006564416398E-2</v>
      </c>
      <c r="AD927" s="313">
        <v>7.1930080865513765E-2</v>
      </c>
      <c r="AE927" s="313">
        <v>7.4383468951959186E-2</v>
      </c>
      <c r="AF927" s="313">
        <v>7.6912013202787538E-2</v>
      </c>
      <c r="AG927" s="313">
        <v>7.9517509514163601E-2</v>
      </c>
      <c r="AH927" s="313">
        <v>8.2201764192616641E-2</v>
      </c>
      <c r="AI927" s="313">
        <v>8.4966591595769594E-2</v>
      </c>
      <c r="AJ927" s="313">
        <v>8.7813811594882232E-2</v>
      </c>
      <c r="AK927" s="313">
        <v>9.0745246854117931E-2</v>
      </c>
      <c r="AL927" s="313">
        <v>9.3762719921843388E-2</v>
      </c>
      <c r="AM927" s="313">
        <v>9.6868050129741673E-2</v>
      </c>
      <c r="AN927" s="313">
        <v>0.10006305029606175</v>
      </c>
      <c r="AO927" s="313">
        <v>0.10334952322994639</v>
      </c>
      <c r="AP927" s="313">
        <v>0.10672925803448169</v>
      </c>
      <c r="AQ927" s="313">
        <v>0.10672925803448169</v>
      </c>
      <c r="AR927" s="313">
        <v>0.10672925803448169</v>
      </c>
      <c r="AS927" s="313">
        <v>0.10672925803448169</v>
      </c>
      <c r="AT927" s="312"/>
      <c r="AU927" s="514"/>
    </row>
    <row r="928" spans="1:47" hidden="1" outlineLevel="1">
      <c r="A928" s="312"/>
      <c r="B928" s="758" t="s">
        <v>618</v>
      </c>
      <c r="C928" s="750" t="s">
        <v>733</v>
      </c>
      <c r="D928" s="750"/>
      <c r="E928" s="750"/>
      <c r="F928" s="750"/>
      <c r="G928" s="750"/>
      <c r="H928" s="750"/>
      <c r="I928" s="750"/>
      <c r="J928" s="750"/>
      <c r="K928" s="759">
        <v>7.4624572623265481E-2</v>
      </c>
      <c r="L928" s="312">
        <v>7.2558371393384558E-2</v>
      </c>
      <c r="M928" s="312">
        <v>6.0738931212459699E-2</v>
      </c>
      <c r="N928" s="312">
        <v>6.0822762028007134E-2</v>
      </c>
      <c r="O928" s="312">
        <v>6.2551450062276887E-2</v>
      </c>
      <c r="P928" s="312">
        <v>4.9024068461775795E-2</v>
      </c>
      <c r="Q928" s="312">
        <v>4.8657721686512077E-2</v>
      </c>
      <c r="R928" s="312">
        <v>3.412978823692802E-2</v>
      </c>
      <c r="S928" s="312">
        <v>3.3453799564176497E-2</v>
      </c>
      <c r="T928" s="312">
        <v>3.5039828516039588E-2</v>
      </c>
      <c r="U928" s="312">
        <v>3.8155312022644446E-2</v>
      </c>
      <c r="V928" s="313">
        <v>4.0741732608493481E-2</v>
      </c>
      <c r="W928" s="313">
        <v>4.2481548972358993E-2</v>
      </c>
      <c r="X928" s="312">
        <v>4.7730529188093104E-2</v>
      </c>
      <c r="Y928" s="312">
        <v>5.1127258886875963E-2</v>
      </c>
      <c r="Z928" s="313">
        <v>5.6784230202326293E-2</v>
      </c>
      <c r="AA928" s="313">
        <v>6.065868070526071E-2</v>
      </c>
      <c r="AB928" s="313">
        <v>6.4932571385393628E-2</v>
      </c>
      <c r="AC928" s="313">
        <v>6.9812393453271157E-2</v>
      </c>
      <c r="AD928" s="313">
        <v>7.5087203964818425E-2</v>
      </c>
      <c r="AE928" s="313">
        <v>8.0922374797599006E-2</v>
      </c>
      <c r="AF928" s="313">
        <v>8.720482314879531E-2</v>
      </c>
      <c r="AG928" s="313">
        <v>9.3968331794244811E-2</v>
      </c>
      <c r="AH928" s="313">
        <v>0.10124919568562914</v>
      </c>
      <c r="AI928" s="313">
        <v>0.10908640577973361</v>
      </c>
      <c r="AJ928" s="313">
        <v>0.11752184610350297</v>
      </c>
      <c r="AK928" s="313">
        <v>0.12660050499301376</v>
      </c>
      <c r="AL928" s="313">
        <v>0.13637070151000927</v>
      </c>
      <c r="AM928" s="313">
        <v>0.14688432810968824</v>
      </c>
      <c r="AN928" s="313">
        <v>0.1581971107083098</v>
      </c>
      <c r="AO928" s="313">
        <v>0.17036888737920353</v>
      </c>
      <c r="AP928" s="313">
        <v>0.18346390699130621</v>
      </c>
      <c r="AQ928" s="313">
        <v>0.18346390699130621</v>
      </c>
      <c r="AR928" s="313">
        <v>0.18346390699130621</v>
      </c>
      <c r="AS928" s="313">
        <v>0.18346390699130621</v>
      </c>
      <c r="AT928" s="312"/>
      <c r="AU928" s="514"/>
    </row>
    <row r="929" spans="1:47" hidden="1" outlineLevel="1">
      <c r="A929" s="2"/>
      <c r="B929" s="2"/>
      <c r="C929" s="18"/>
      <c r="D929" s="18"/>
      <c r="E929" s="18"/>
      <c r="F929" s="18"/>
      <c r="G929" s="18"/>
      <c r="H929" s="18"/>
      <c r="I929" s="18"/>
      <c r="J929" s="18"/>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2"/>
      <c r="AU929" s="2"/>
    </row>
    <row r="930" spans="1:47" hidden="1" outlineLevel="1">
      <c r="A930" s="2"/>
      <c r="B930" s="2" t="s">
        <v>619</v>
      </c>
      <c r="C930" s="18"/>
      <c r="D930" s="18"/>
      <c r="E930" s="18"/>
      <c r="F930" s="18"/>
      <c r="G930" s="18"/>
      <c r="H930" s="18"/>
      <c r="I930" s="18"/>
      <c r="J930" s="18"/>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2"/>
      <c r="AU930" s="2"/>
    </row>
    <row r="931" spans="1:47" hidden="1" outlineLevel="1">
      <c r="A931" s="2"/>
      <c r="B931" s="2" t="s">
        <v>620</v>
      </c>
      <c r="C931" s="38" t="s">
        <v>732</v>
      </c>
      <c r="D931" s="38"/>
      <c r="E931" s="38"/>
      <c r="F931" s="38"/>
      <c r="G931" s="38"/>
      <c r="H931" s="38"/>
      <c r="I931" s="38"/>
      <c r="J931" s="38"/>
      <c r="K931" s="566">
        <v>49.9127800715668</v>
      </c>
      <c r="L931" s="566">
        <v>55.265000000000001</v>
      </c>
      <c r="M931" s="566">
        <v>59.36</v>
      </c>
      <c r="N931" s="3">
        <v>59.65679999999999</v>
      </c>
      <c r="O931" s="3">
        <v>65.622479999999996</v>
      </c>
      <c r="P931" s="3">
        <v>65.573263139999995</v>
      </c>
      <c r="Q931" s="3">
        <v>69.366676412648985</v>
      </c>
      <c r="R931" s="566">
        <v>181.8</v>
      </c>
      <c r="S931" s="3">
        <v>198.16200000000003</v>
      </c>
      <c r="T931" s="3">
        <v>223.52673600000006</v>
      </c>
      <c r="U931" s="3">
        <v>230.23253808000007</v>
      </c>
      <c r="V931" s="3">
        <v>250.95346650720009</v>
      </c>
      <c r="W931" s="3">
        <v>276.04881315792011</v>
      </c>
      <c r="X931" s="3">
        <v>289.85125381581611</v>
      </c>
      <c r="Y931" s="3">
        <v>304.34381650660691</v>
      </c>
      <c r="Z931" s="3">
        <v>319.56100733193728</v>
      </c>
      <c r="AA931" s="3">
        <v>335.53905769853418</v>
      </c>
      <c r="AB931" s="3">
        <v>352.31601058346092</v>
      </c>
      <c r="AC931" s="3">
        <v>369.93181111263397</v>
      </c>
      <c r="AD931" s="3">
        <v>388.42840166826568</v>
      </c>
      <c r="AE931" s="3">
        <v>407.84982175167897</v>
      </c>
      <c r="AF931" s="3">
        <v>428.24231283926292</v>
      </c>
      <c r="AG931" s="3">
        <v>449.65442848122609</v>
      </c>
      <c r="AH931" s="3">
        <v>472.1371499052874</v>
      </c>
      <c r="AI931" s="3">
        <v>495.74400740055177</v>
      </c>
      <c r="AJ931" s="3">
        <v>520.53120777057939</v>
      </c>
      <c r="AK931" s="3">
        <v>546.55776815910838</v>
      </c>
      <c r="AL931" s="3">
        <v>573.88565656706385</v>
      </c>
      <c r="AM931" s="3">
        <v>602.57993939541711</v>
      </c>
      <c r="AN931" s="3">
        <v>632.70893636518804</v>
      </c>
      <c r="AO931" s="3">
        <v>664.34438318344746</v>
      </c>
      <c r="AP931" s="3">
        <v>697.56160234261984</v>
      </c>
      <c r="AQ931" s="3">
        <v>697.56160234261984</v>
      </c>
      <c r="AR931" s="3">
        <v>697.56160234261984</v>
      </c>
      <c r="AS931" s="3">
        <v>697.56160234261984</v>
      </c>
      <c r="AT931" s="2"/>
      <c r="AU931" s="2"/>
    </row>
    <row r="932" spans="1:47" hidden="1" outlineLevel="1">
      <c r="A932" s="312"/>
      <c r="B932" s="758" t="s">
        <v>614</v>
      </c>
      <c r="C932" s="750" t="s">
        <v>733</v>
      </c>
      <c r="D932" s="750"/>
      <c r="E932" s="750"/>
      <c r="F932" s="750"/>
      <c r="G932" s="750"/>
      <c r="H932" s="750"/>
      <c r="I932" s="750"/>
      <c r="J932" s="750"/>
      <c r="K932" s="759">
        <v>0.51250848701717566</v>
      </c>
      <c r="L932" s="312">
        <v>0.1072314529617262</v>
      </c>
      <c r="M932" s="312">
        <v>7.4097530082330554E-2</v>
      </c>
      <c r="N932" s="759">
        <v>5.0000000000000001E-3</v>
      </c>
      <c r="O932" s="759">
        <v>0.1</v>
      </c>
      <c r="P932" s="759">
        <v>-7.5000000000000002E-4</v>
      </c>
      <c r="Q932" s="708">
        <v>5.7849999999999999E-2</v>
      </c>
      <c r="R932" s="708">
        <v>0.2</v>
      </c>
      <c r="S932" s="708">
        <v>0.09</v>
      </c>
      <c r="T932" s="708">
        <v>0.128</v>
      </c>
      <c r="U932" s="708">
        <v>0.03</v>
      </c>
      <c r="V932" s="775">
        <v>0.09</v>
      </c>
      <c r="W932" s="756">
        <v>0.1</v>
      </c>
      <c r="X932" s="756">
        <v>0.05</v>
      </c>
      <c r="Y932" s="755">
        <v>0.05</v>
      </c>
      <c r="Z932" s="755">
        <v>0.05</v>
      </c>
      <c r="AA932" s="755">
        <v>0.05</v>
      </c>
      <c r="AB932" s="755">
        <v>0.05</v>
      </c>
      <c r="AC932" s="755">
        <v>0.05</v>
      </c>
      <c r="AD932" s="755">
        <v>0.05</v>
      </c>
      <c r="AE932" s="755">
        <v>0.05</v>
      </c>
      <c r="AF932" s="755">
        <v>0.05</v>
      </c>
      <c r="AG932" s="755">
        <v>0.05</v>
      </c>
      <c r="AH932" s="755">
        <v>0.05</v>
      </c>
      <c r="AI932" s="755">
        <v>0.05</v>
      </c>
      <c r="AJ932" s="755">
        <v>0.05</v>
      </c>
      <c r="AK932" s="755">
        <v>0.05</v>
      </c>
      <c r="AL932" s="755">
        <v>0.05</v>
      </c>
      <c r="AM932" s="755">
        <v>0.05</v>
      </c>
      <c r="AN932" s="755">
        <v>0.05</v>
      </c>
      <c r="AO932" s="760">
        <v>0.05</v>
      </c>
      <c r="AP932" s="760">
        <v>0.05</v>
      </c>
      <c r="AQ932" s="760">
        <v>0.05</v>
      </c>
      <c r="AR932" s="760">
        <v>0.05</v>
      </c>
      <c r="AS932" s="760">
        <v>0.05</v>
      </c>
      <c r="AT932" s="312"/>
      <c r="AU932" s="514"/>
    </row>
    <row r="933" spans="1:47" hidden="1" outlineLevel="1">
      <c r="A933" s="2"/>
      <c r="B933" s="2" t="s">
        <v>621</v>
      </c>
      <c r="C933" s="38" t="s">
        <v>732</v>
      </c>
      <c r="D933" s="38"/>
      <c r="E933" s="38"/>
      <c r="F933" s="38"/>
      <c r="G933" s="38"/>
      <c r="H933" s="38"/>
      <c r="I933" s="38"/>
      <c r="J933" s="38"/>
      <c r="K933" s="530">
        <v>4.5</v>
      </c>
      <c r="L933" s="566">
        <v>5</v>
      </c>
      <c r="M933" s="776">
        <v>5.4</v>
      </c>
      <c r="N933" s="776">
        <v>5.6160000000000005</v>
      </c>
      <c r="O933" s="776">
        <v>5.8406400000000005</v>
      </c>
      <c r="P933" s="776">
        <v>6.0742656000000004</v>
      </c>
      <c r="Q933" s="776">
        <v>6.3172362240000002</v>
      </c>
      <c r="R933" s="777">
        <v>20</v>
      </c>
      <c r="S933" s="777">
        <v>25</v>
      </c>
      <c r="T933" s="776">
        <v>27.500000000000004</v>
      </c>
      <c r="U933" s="776">
        <v>29.700000000000006</v>
      </c>
      <c r="V933" s="776">
        <v>30.888000000000009</v>
      </c>
      <c r="W933" s="776">
        <v>32.123520000000013</v>
      </c>
      <c r="X933" s="776">
        <v>33.408460800000015</v>
      </c>
      <c r="Y933" s="776">
        <v>34.74479923200002</v>
      </c>
      <c r="Z933" s="776">
        <v>36.134591201280024</v>
      </c>
      <c r="AA933" s="776">
        <v>37.579974849331229</v>
      </c>
      <c r="AB933" s="776">
        <v>39.083173843304479</v>
      </c>
      <c r="AC933" s="776">
        <v>40.646500797036659</v>
      </c>
      <c r="AD933" s="776">
        <v>42.272360828918124</v>
      </c>
      <c r="AE933" s="776">
        <v>43.963255262074853</v>
      </c>
      <c r="AF933" s="776">
        <v>45.721785472557848</v>
      </c>
      <c r="AG933" s="776">
        <v>47.550656891460164</v>
      </c>
      <c r="AH933" s="776">
        <v>49.452683167118572</v>
      </c>
      <c r="AI933" s="776">
        <v>51.430790493803315</v>
      </c>
      <c r="AJ933" s="776">
        <v>53.488022113555452</v>
      </c>
      <c r="AK933" s="776">
        <v>55.627542998097674</v>
      </c>
      <c r="AL933" s="776">
        <v>57.85264471802158</v>
      </c>
      <c r="AM933" s="776">
        <v>60.166750506742446</v>
      </c>
      <c r="AN933" s="776">
        <v>62.573420527012146</v>
      </c>
      <c r="AO933" s="776">
        <v>65.076357348092628</v>
      </c>
      <c r="AP933" s="776">
        <v>67.679411642016333</v>
      </c>
      <c r="AQ933" s="776">
        <v>67.679411642016333</v>
      </c>
      <c r="AR933" s="776">
        <v>67.679411642016333</v>
      </c>
      <c r="AS933" s="776">
        <v>67.679411642016333</v>
      </c>
      <c r="AT933" s="2"/>
      <c r="AU933" s="2"/>
    </row>
    <row r="934" spans="1:47" hidden="1" outlineLevel="1">
      <c r="A934" s="312"/>
      <c r="B934" s="758" t="s">
        <v>614</v>
      </c>
      <c r="C934" s="750" t="s">
        <v>733</v>
      </c>
      <c r="D934" s="750"/>
      <c r="E934" s="750"/>
      <c r="F934" s="750"/>
      <c r="G934" s="750"/>
      <c r="H934" s="750"/>
      <c r="I934" s="750"/>
      <c r="J934" s="750"/>
      <c r="K934" s="759">
        <v>0.21621621621621623</v>
      </c>
      <c r="L934" s="312">
        <v>0.11111111111111116</v>
      </c>
      <c r="M934" s="759">
        <v>0.08</v>
      </c>
      <c r="N934" s="759">
        <v>0.04</v>
      </c>
      <c r="O934" s="312">
        <v>0.04</v>
      </c>
      <c r="P934" s="312">
        <v>0.04</v>
      </c>
      <c r="Q934" s="312">
        <v>0.04</v>
      </c>
      <c r="R934" s="312">
        <v>2.165941448258244</v>
      </c>
      <c r="S934" s="312">
        <v>0.25</v>
      </c>
      <c r="T934" s="759">
        <v>0.1</v>
      </c>
      <c r="U934" s="759">
        <v>0.08</v>
      </c>
      <c r="V934" s="708">
        <v>0.04</v>
      </c>
      <c r="W934" s="313">
        <v>0.04</v>
      </c>
      <c r="X934" s="312">
        <v>0.04</v>
      </c>
      <c r="Y934" s="312">
        <v>0.04</v>
      </c>
      <c r="Z934" s="313">
        <v>0.04</v>
      </c>
      <c r="AA934" s="313">
        <v>0.04</v>
      </c>
      <c r="AB934" s="313">
        <v>0.04</v>
      </c>
      <c r="AC934" s="313">
        <v>0.04</v>
      </c>
      <c r="AD934" s="313">
        <v>0.04</v>
      </c>
      <c r="AE934" s="313">
        <v>0.04</v>
      </c>
      <c r="AF934" s="313">
        <v>0.04</v>
      </c>
      <c r="AG934" s="313">
        <v>0.04</v>
      </c>
      <c r="AH934" s="313">
        <v>0.04</v>
      </c>
      <c r="AI934" s="313">
        <v>0.04</v>
      </c>
      <c r="AJ934" s="313">
        <v>0.04</v>
      </c>
      <c r="AK934" s="313">
        <v>0.04</v>
      </c>
      <c r="AL934" s="313">
        <v>0.04</v>
      </c>
      <c r="AM934" s="313">
        <v>0.04</v>
      </c>
      <c r="AN934" s="313">
        <v>0.04</v>
      </c>
      <c r="AO934" s="313">
        <v>0.04</v>
      </c>
      <c r="AP934" s="313">
        <v>0.04</v>
      </c>
      <c r="AQ934" s="313">
        <v>0.04</v>
      </c>
      <c r="AR934" s="313">
        <v>0.04</v>
      </c>
      <c r="AS934" s="313">
        <v>0.04</v>
      </c>
      <c r="AT934" s="312"/>
      <c r="AU934" s="514"/>
    </row>
    <row r="935" spans="1:47" hidden="1" outlineLevel="1">
      <c r="A935" s="2"/>
      <c r="B935" s="2" t="s">
        <v>622</v>
      </c>
      <c r="C935" s="38" t="s">
        <v>732</v>
      </c>
      <c r="D935" s="38"/>
      <c r="E935" s="38"/>
      <c r="F935" s="38"/>
      <c r="G935" s="38"/>
      <c r="H935" s="38"/>
      <c r="I935" s="38"/>
      <c r="J935" s="38"/>
      <c r="K935" s="566">
        <v>-54.4127800715668</v>
      </c>
      <c r="L935" s="3">
        <v>-60.265000000000001</v>
      </c>
      <c r="M935" s="3">
        <v>-64.760000000000005</v>
      </c>
      <c r="N935" s="3">
        <v>-65.272799999999989</v>
      </c>
      <c r="O935" s="3">
        <v>-71.463120000000004</v>
      </c>
      <c r="P935" s="3">
        <v>-71.647528739999998</v>
      </c>
      <c r="Q935" s="3">
        <v>-75.683912636648984</v>
      </c>
      <c r="R935" s="3">
        <v>-201.8</v>
      </c>
      <c r="S935" s="3">
        <v>-223.16200000000003</v>
      </c>
      <c r="T935" s="3">
        <v>-251.02673600000006</v>
      </c>
      <c r="U935" s="3">
        <v>-259.93253808000009</v>
      </c>
      <c r="V935" s="3">
        <v>-281.8414665072001</v>
      </c>
      <c r="W935" s="3">
        <v>-308.17233315792009</v>
      </c>
      <c r="X935" s="3">
        <v>-323.25971461581611</v>
      </c>
      <c r="Y935" s="3">
        <v>-339.0886157386069</v>
      </c>
      <c r="Z935" s="3">
        <v>-355.69559853321732</v>
      </c>
      <c r="AA935" s="3">
        <v>-373.1190325478654</v>
      </c>
      <c r="AB935" s="3">
        <v>-391.39918442676537</v>
      </c>
      <c r="AC935" s="3">
        <v>-410.57831190967062</v>
      </c>
      <c r="AD935" s="3">
        <v>-430.7007624971838</v>
      </c>
      <c r="AE935" s="3">
        <v>-451.81307701375385</v>
      </c>
      <c r="AF935" s="3">
        <v>-473.96409831182075</v>
      </c>
      <c r="AG935" s="3">
        <v>-497.20508537268626</v>
      </c>
      <c r="AH935" s="3">
        <v>-521.58983307240601</v>
      </c>
      <c r="AI935" s="3">
        <v>-547.17479789435504</v>
      </c>
      <c r="AJ935" s="3">
        <v>-574.0192298841348</v>
      </c>
      <c r="AK935" s="3">
        <v>-602.185311157206</v>
      </c>
      <c r="AL935" s="3">
        <v>-631.73830128508541</v>
      </c>
      <c r="AM935" s="3">
        <v>-662.74668990215957</v>
      </c>
      <c r="AN935" s="3">
        <v>-695.28235689220014</v>
      </c>
      <c r="AO935" s="3">
        <v>-729.4207405315401</v>
      </c>
      <c r="AP935" s="3">
        <v>-765.2410139846362</v>
      </c>
      <c r="AQ935" s="3">
        <v>-765.2410139846362</v>
      </c>
      <c r="AR935" s="3">
        <v>-765.2410139846362</v>
      </c>
      <c r="AS935" s="3">
        <v>-765.2410139846362</v>
      </c>
      <c r="AT935" s="2"/>
      <c r="AU935" s="2"/>
    </row>
    <row r="936" spans="1:47" hidden="1" outlineLevel="1">
      <c r="A936" s="312"/>
      <c r="B936" s="758" t="s">
        <v>614</v>
      </c>
      <c r="C936" s="750" t="s">
        <v>733</v>
      </c>
      <c r="D936" s="750"/>
      <c r="E936" s="750"/>
      <c r="F936" s="750"/>
      <c r="G936" s="750"/>
      <c r="H936" s="750"/>
      <c r="I936" s="750"/>
      <c r="J936" s="750"/>
      <c r="K936" s="759">
        <v>0.48263705917075739</v>
      </c>
      <c r="L936" s="312">
        <v>0.10755230518889181</v>
      </c>
      <c r="M936" s="312">
        <v>7.4587239691363161E-2</v>
      </c>
      <c r="N936" s="312">
        <v>7.9184681902406684E-3</v>
      </c>
      <c r="O936" s="312">
        <v>9.4837665919035308E-2</v>
      </c>
      <c r="P936" s="312">
        <v>2.5804742362214306E-3</v>
      </c>
      <c r="Q936" s="312">
        <v>5.6336679961377589E-2</v>
      </c>
      <c r="R936" s="312">
        <v>1.6663526365083943</v>
      </c>
      <c r="S936" s="312">
        <v>0.10585728444003983</v>
      </c>
      <c r="T936" s="312">
        <v>0.12486326525125246</v>
      </c>
      <c r="U936" s="312">
        <v>3.547750419700324E-2</v>
      </c>
      <c r="V936" s="313">
        <v>8.4286979187103706E-2</v>
      </c>
      <c r="W936" s="313">
        <v>9.3424388458634988E-2</v>
      </c>
      <c r="X936" s="312">
        <v>4.8957611811844881E-2</v>
      </c>
      <c r="Y936" s="312">
        <v>4.8966513323823735E-2</v>
      </c>
      <c r="Z936" s="313">
        <v>4.8975347516273526E-2</v>
      </c>
      <c r="AA936" s="313">
        <v>4.8984114750076024E-2</v>
      </c>
      <c r="AB936" s="313">
        <v>4.8992815386748934E-2</v>
      </c>
      <c r="AC936" s="313">
        <v>4.9001449788390827E-2</v>
      </c>
      <c r="AD936" s="313">
        <v>4.9010018317626747E-2</v>
      </c>
      <c r="AE936" s="313">
        <v>4.9018521337556464E-2</v>
      </c>
      <c r="AF936" s="313">
        <v>4.9026959211702081E-2</v>
      </c>
      <c r="AG936" s="313">
        <v>4.9035332303956958E-2</v>
      </c>
      <c r="AH936" s="313">
        <v>4.9043640978534864E-2</v>
      </c>
      <c r="AI936" s="313">
        <v>4.905188559992002E-2</v>
      </c>
      <c r="AJ936" s="313">
        <v>4.906006653282069E-2</v>
      </c>
      <c r="AK936" s="313">
        <v>4.9068184142117444E-2</v>
      </c>
      <c r="AL936" s="313">
        <v>4.9076238792819638E-2</v>
      </c>
      <c r="AM936" s="313">
        <v>4.908423085001612E-2</v>
      </c>
      <c r="AN936" s="313">
        <v>4.9092160678831487E-2</v>
      </c>
      <c r="AO936" s="313">
        <v>4.9100028644381233E-2</v>
      </c>
      <c r="AP936" s="313">
        <v>4.9107835111726228E-2</v>
      </c>
      <c r="AQ936" s="313">
        <v>4.9107835111726228E-2</v>
      </c>
      <c r="AR936" s="313">
        <v>4.9107835111726228E-2</v>
      </c>
      <c r="AS936" s="313">
        <v>4.9107835111726228E-2</v>
      </c>
      <c r="AT936" s="312"/>
      <c r="AU936" s="514"/>
    </row>
    <row r="937" spans="1:47" hidden="1" outlineLevel="1">
      <c r="A937" s="312"/>
      <c r="B937" s="758" t="s">
        <v>617</v>
      </c>
      <c r="C937" s="750" t="s">
        <v>733</v>
      </c>
      <c r="D937" s="750"/>
      <c r="E937" s="750"/>
      <c r="F937" s="750"/>
      <c r="G937" s="750"/>
      <c r="H937" s="750"/>
      <c r="I937" s="750"/>
      <c r="J937" s="750"/>
      <c r="K937" s="759">
        <v>0.80119202350693097</v>
      </c>
      <c r="L937" s="312">
        <v>0.80135977849413109</v>
      </c>
      <c r="M937" s="312">
        <v>0.80302594261113946</v>
      </c>
      <c r="N937" s="312">
        <v>0.79943516942323622</v>
      </c>
      <c r="O937" s="312">
        <v>0.8058378472026545</v>
      </c>
      <c r="P937" s="312">
        <v>0.82904472714299748</v>
      </c>
      <c r="Q937" s="312">
        <v>0.84131261382156741</v>
      </c>
      <c r="R937" s="312">
        <v>0.90481406518178886</v>
      </c>
      <c r="S937" s="312">
        <v>0.88906237930194021</v>
      </c>
      <c r="T937" s="312">
        <v>0.89010631955400943</v>
      </c>
      <c r="U937" s="312">
        <v>0.8879922544032961</v>
      </c>
      <c r="V937" s="313">
        <v>0.89034826596561156</v>
      </c>
      <c r="W937" s="313">
        <v>0.8933937799070516</v>
      </c>
      <c r="X937" s="312">
        <v>0.89237506702527636</v>
      </c>
      <c r="Y937" s="312">
        <v>0.89127954203303805</v>
      </c>
      <c r="Z937" s="313">
        <v>0.89010571147739859</v>
      </c>
      <c r="AA937" s="313">
        <v>0.88885205745386153</v>
      </c>
      <c r="AB937" s="313">
        <v>0.88751703881942745</v>
      </c>
      <c r="AC937" s="313">
        <v>0.88609909254341723</v>
      </c>
      <c r="AD937" s="313">
        <v>0.88459663520243803</v>
      </c>
      <c r="AE937" s="313">
        <v>0.8830080646258387</v>
      </c>
      <c r="AF937" s="313">
        <v>0.88133176169793315</v>
      </c>
      <c r="AG937" s="313">
        <v>0.87956609232315253</v>
      </c>
      <c r="AH937" s="313">
        <v>0.87770940956013377</v>
      </c>
      <c r="AI937" s="313">
        <v>0.87576005593053385</v>
      </c>
      <c r="AJ937" s="313">
        <v>0.8737163659080962</v>
      </c>
      <c r="AK937" s="313">
        <v>0.87157666859316829</v>
      </c>
      <c r="AL937" s="313">
        <v>0.8693392905774765</v>
      </c>
      <c r="AM937" s="313">
        <v>0.86700255900350187</v>
      </c>
      <c r="AN937" s="313">
        <v>0.86456480482227371</v>
      </c>
      <c r="AO937" s="313">
        <v>0.86202436625278012</v>
      </c>
      <c r="AP937" s="313">
        <v>0.85937959244550999</v>
      </c>
      <c r="AQ937" s="313">
        <v>0.85937959244550999</v>
      </c>
      <c r="AR937" s="313">
        <v>0.85937959244550999</v>
      </c>
      <c r="AS937" s="313">
        <v>0.85937959244550999</v>
      </c>
      <c r="AT937" s="312"/>
      <c r="AU937" s="514"/>
    </row>
    <row r="938" spans="1:47" hidden="1" outlineLevel="1">
      <c r="A938" s="312"/>
      <c r="B938" s="758" t="s">
        <v>618</v>
      </c>
      <c r="C938" s="750" t="s">
        <v>733</v>
      </c>
      <c r="D938" s="750"/>
      <c r="E938" s="750"/>
      <c r="F938" s="750"/>
      <c r="G938" s="750"/>
      <c r="H938" s="750"/>
      <c r="I938" s="750"/>
      <c r="J938" s="750"/>
      <c r="K938" s="759">
        <v>0.66675376980039569</v>
      </c>
      <c r="L938" s="312">
        <v>0.63067027121681873</v>
      </c>
      <c r="M938" s="312">
        <v>0.53738202627338238</v>
      </c>
      <c r="N938" s="312">
        <v>0.52404331119249059</v>
      </c>
      <c r="O938" s="312">
        <v>0.54816899403388075</v>
      </c>
      <c r="P938" s="312">
        <v>0.50989508171835807</v>
      </c>
      <c r="Q938" s="312">
        <v>0.49665168596333692</v>
      </c>
      <c r="R938" s="312">
        <v>0.6133439773030227</v>
      </c>
      <c r="S938" s="312">
        <v>0.58115104166666676</v>
      </c>
      <c r="T938" s="312">
        <v>0.5770820073371391</v>
      </c>
      <c r="U938" s="312">
        <v>0.59874457373364065</v>
      </c>
      <c r="V938" s="313">
        <v>0.63788247245567353</v>
      </c>
      <c r="W938" s="313">
        <v>0.66920723263040471</v>
      </c>
      <c r="X938" s="312">
        <v>0.72574628546556086</v>
      </c>
      <c r="Y938" s="312">
        <v>0.7503658436660543</v>
      </c>
      <c r="Z938" s="313">
        <v>0.80442196964721713</v>
      </c>
      <c r="AA938" s="313">
        <v>0.82944654711788202</v>
      </c>
      <c r="AB938" s="313">
        <v>0.85703964034587321</v>
      </c>
      <c r="AC938" s="313">
        <v>0.88944126672320922</v>
      </c>
      <c r="AD938" s="313">
        <v>0.92342295705499366</v>
      </c>
      <c r="AE938" s="313">
        <v>0.9606315833576432</v>
      </c>
      <c r="AF938" s="313">
        <v>0.9992766697140486</v>
      </c>
      <c r="AG938" s="313">
        <v>1.0394108027700184</v>
      </c>
      <c r="AH938" s="313">
        <v>1.0810883761014713</v>
      </c>
      <c r="AI938" s="313">
        <v>1.1243656481058248</v>
      </c>
      <c r="AJ938" s="313">
        <v>1.1693008016332067</v>
      </c>
      <c r="AK938" s="313">
        <v>1.2159540054082345</v>
      </c>
      <c r="AL938" s="313">
        <v>1.2643874772946488</v>
      </c>
      <c r="AM938" s="313">
        <v>1.3146655494566348</v>
      </c>
      <c r="AN938" s="313">
        <v>1.3668547354723255</v>
      </c>
      <c r="AO938" s="313">
        <v>1.4210237994566257</v>
      </c>
      <c r="AP938" s="313">
        <v>1.4772438272522403</v>
      </c>
      <c r="AQ938" s="313">
        <v>1.4772438272522403</v>
      </c>
      <c r="AR938" s="313">
        <v>1.4772438272522403</v>
      </c>
      <c r="AS938" s="313">
        <v>1.4772438272522403</v>
      </c>
      <c r="AT938" s="312"/>
      <c r="AU938" s="514"/>
    </row>
    <row r="939" spans="1:47" hidden="1" outlineLevel="1">
      <c r="A939" s="2"/>
      <c r="B939" s="2"/>
      <c r="C939" s="18"/>
      <c r="D939" s="18"/>
      <c r="E939" s="18"/>
      <c r="F939" s="18"/>
      <c r="G939" s="18"/>
      <c r="H939" s="18"/>
      <c r="I939" s="18"/>
      <c r="J939" s="18"/>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row>
    <row r="940" spans="1:47" hidden="1" outlineLevel="1">
      <c r="A940" s="2"/>
      <c r="B940" s="2" t="s">
        <v>623</v>
      </c>
      <c r="C940" s="18"/>
      <c r="D940" s="18"/>
      <c r="E940" s="18"/>
      <c r="F940" s="18"/>
      <c r="G940" s="18"/>
      <c r="H940" s="18"/>
      <c r="I940" s="18"/>
      <c r="J940" s="18"/>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row>
    <row r="941" spans="1:47" hidden="1" outlineLevel="1">
      <c r="A941" s="2"/>
      <c r="B941" s="2" t="s">
        <v>624</v>
      </c>
      <c r="C941" s="38" t="s">
        <v>732</v>
      </c>
      <c r="D941" s="38"/>
      <c r="E941" s="38"/>
      <c r="F941" s="38"/>
      <c r="G941" s="38"/>
      <c r="H941" s="38"/>
      <c r="I941" s="38"/>
      <c r="J941" s="38"/>
      <c r="K941" s="566">
        <v>-7.4119999999999999</v>
      </c>
      <c r="L941" s="3">
        <v>-8.0049600000000005</v>
      </c>
      <c r="M941" s="3">
        <v>-8.5653072000000012</v>
      </c>
      <c r="N941" s="566">
        <v>-8.8000000000000007</v>
      </c>
      <c r="O941" s="3">
        <v>-9.0640000000000018</v>
      </c>
      <c r="P941" s="3">
        <v>-7.8856800000000016</v>
      </c>
      <c r="Q941" s="3">
        <v>-6.8605416000000012</v>
      </c>
      <c r="R941" s="566">
        <v>-10</v>
      </c>
      <c r="S941" s="566">
        <v>-15</v>
      </c>
      <c r="T941" s="3">
        <v>-15.75</v>
      </c>
      <c r="U941" s="3">
        <v>-16.2225</v>
      </c>
      <c r="V941" s="3">
        <v>-16.709175000000002</v>
      </c>
      <c r="W941" s="3">
        <v>-17.210450250000001</v>
      </c>
      <c r="X941" s="3">
        <v>-17.726763757500002</v>
      </c>
      <c r="Y941" s="3">
        <v>-18.258566670225004</v>
      </c>
      <c r="Z941" s="3">
        <v>-18.806323670331754</v>
      </c>
      <c r="AA941" s="3">
        <v>-19.370513380441707</v>
      </c>
      <c r="AB941" s="3">
        <v>-19.951628781854961</v>
      </c>
      <c r="AC941" s="3">
        <v>-20.550177645310612</v>
      </c>
      <c r="AD941" s="3">
        <v>-21.166682974669932</v>
      </c>
      <c r="AE941" s="3">
        <v>-21.801683463910031</v>
      </c>
      <c r="AF941" s="3">
        <v>-22.455733967827332</v>
      </c>
      <c r="AG941" s="3">
        <v>-23.129405986862153</v>
      </c>
      <c r="AH941" s="3">
        <v>-23.823288166468018</v>
      </c>
      <c r="AI941" s="3">
        <v>-24.537986811462059</v>
      </c>
      <c r="AJ941" s="3">
        <v>-25.27412641580592</v>
      </c>
      <c r="AK941" s="3">
        <v>-26.0323502082801</v>
      </c>
      <c r="AL941" s="3">
        <v>-26.813320714528505</v>
      </c>
      <c r="AM941" s="3">
        <v>-27.617720335964361</v>
      </c>
      <c r="AN941" s="3">
        <v>-28.446251946043294</v>
      </c>
      <c r="AO941" s="3">
        <v>-29.299639504424594</v>
      </c>
      <c r="AP941" s="3">
        <v>-30.178628689557332</v>
      </c>
      <c r="AQ941" s="3">
        <v>-30.178628689557332</v>
      </c>
      <c r="AR941" s="3">
        <v>-30.178628689557332</v>
      </c>
      <c r="AS941" s="3">
        <v>-30.178628689557332</v>
      </c>
      <c r="AT941" s="2"/>
      <c r="AU941" s="2"/>
    </row>
    <row r="942" spans="1:47" hidden="1" outlineLevel="1">
      <c r="A942" s="312"/>
      <c r="B942" s="758" t="s">
        <v>614</v>
      </c>
      <c r="C942" s="750" t="s">
        <v>733</v>
      </c>
      <c r="D942" s="750"/>
      <c r="E942" s="750"/>
      <c r="F942" s="750"/>
      <c r="G942" s="750"/>
      <c r="H942" s="750"/>
      <c r="I942" s="750"/>
      <c r="J942" s="750"/>
      <c r="K942" s="759">
        <v>0.09</v>
      </c>
      <c r="L942" s="759">
        <v>0.08</v>
      </c>
      <c r="M942" s="759">
        <v>7.0000000000000007E-2</v>
      </c>
      <c r="N942" s="759">
        <v>3.5000000000000003E-2</v>
      </c>
      <c r="O942" s="759">
        <v>0.03</v>
      </c>
      <c r="P942" s="759">
        <v>-0.13</v>
      </c>
      <c r="Q942" s="312">
        <v>-0.13</v>
      </c>
      <c r="R942" s="759">
        <v>0.05</v>
      </c>
      <c r="S942" s="312">
        <v>0.05</v>
      </c>
      <c r="T942" s="312">
        <v>0.05</v>
      </c>
      <c r="U942" s="759">
        <v>0.03</v>
      </c>
      <c r="V942" s="313">
        <v>0.03</v>
      </c>
      <c r="W942" s="313">
        <v>0.03</v>
      </c>
      <c r="X942" s="312">
        <v>0.03</v>
      </c>
      <c r="Y942" s="312">
        <v>0.03</v>
      </c>
      <c r="Z942" s="313">
        <v>0.03</v>
      </c>
      <c r="AA942" s="313">
        <v>0.03</v>
      </c>
      <c r="AB942" s="313">
        <v>0.03</v>
      </c>
      <c r="AC942" s="313">
        <v>0.03</v>
      </c>
      <c r="AD942" s="313">
        <v>0.03</v>
      </c>
      <c r="AE942" s="313">
        <v>0.03</v>
      </c>
      <c r="AF942" s="313">
        <v>0.03</v>
      </c>
      <c r="AG942" s="313">
        <v>0.03</v>
      </c>
      <c r="AH942" s="313">
        <v>0.03</v>
      </c>
      <c r="AI942" s="313">
        <v>0.03</v>
      </c>
      <c r="AJ942" s="313">
        <v>0.03</v>
      </c>
      <c r="AK942" s="313">
        <v>0.03</v>
      </c>
      <c r="AL942" s="313">
        <v>0.03</v>
      </c>
      <c r="AM942" s="313">
        <v>0.03</v>
      </c>
      <c r="AN942" s="313">
        <v>0.03</v>
      </c>
      <c r="AO942" s="313">
        <v>0.03</v>
      </c>
      <c r="AP942" s="313">
        <v>0.03</v>
      </c>
      <c r="AQ942" s="313">
        <v>0.03</v>
      </c>
      <c r="AR942" s="313">
        <v>0.03</v>
      </c>
      <c r="AS942" s="313">
        <v>0.03</v>
      </c>
      <c r="AT942" s="312"/>
      <c r="AU942" s="514"/>
    </row>
    <row r="943" spans="1:47" hidden="1" outlineLevel="1">
      <c r="A943" s="312"/>
      <c r="B943" s="758" t="s">
        <v>617</v>
      </c>
      <c r="C943" s="750" t="s">
        <v>733</v>
      </c>
      <c r="D943" s="750"/>
      <c r="E943" s="750"/>
      <c r="F943" s="750"/>
      <c r="G943" s="750"/>
      <c r="H943" s="750"/>
      <c r="I943" s="750"/>
      <c r="J943" s="750"/>
      <c r="K943" s="759">
        <v>0.10913677394212908</v>
      </c>
      <c r="L943" s="312">
        <v>0.10644408815157023</v>
      </c>
      <c r="M943" s="312">
        <v>0.10621006621423688</v>
      </c>
      <c r="N943" s="312">
        <v>0.10777888325496196</v>
      </c>
      <c r="O943" s="312">
        <v>0.1022081634141479</v>
      </c>
      <c r="P943" s="312">
        <v>9.1246432904351332E-2</v>
      </c>
      <c r="Q943" s="312">
        <v>7.626270874020126E-2</v>
      </c>
      <c r="R943" s="312">
        <v>4.4837168740425613E-2</v>
      </c>
      <c r="S943" s="312">
        <v>5.975898983486929E-2</v>
      </c>
      <c r="T943" s="312">
        <v>5.5847336249377218E-2</v>
      </c>
      <c r="U943" s="312">
        <v>5.5419973403344633E-2</v>
      </c>
      <c r="V943" s="313">
        <v>5.278494031177592E-2</v>
      </c>
      <c r="W943" s="313">
        <v>4.9893217360529964E-2</v>
      </c>
      <c r="X943" s="312">
        <v>4.8935643017072483E-2</v>
      </c>
      <c r="Y943" s="312">
        <v>4.7991841025304634E-2</v>
      </c>
      <c r="Z943" s="313">
        <v>4.7061634104790938E-2</v>
      </c>
      <c r="AA943" s="313">
        <v>4.6144847006523111E-2</v>
      </c>
      <c r="AB943" s="313">
        <v>4.5241306575613482E-2</v>
      </c>
      <c r="AC943" s="313">
        <v>4.4350841812418808E-2</v>
      </c>
      <c r="AD943" s="313">
        <v>4.3473283932048259E-2</v>
      </c>
      <c r="AE943" s="313">
        <v>4.2608466422202111E-2</v>
      </c>
      <c r="AF943" s="313">
        <v>4.1756225099279398E-2</v>
      </c>
      <c r="AG943" s="313">
        <v>4.0916398162683901E-2</v>
      </c>
      <c r="AH943" s="313">
        <v>4.008882624724952E-2</v>
      </c>
      <c r="AI943" s="313">
        <v>3.9273352473696614E-2</v>
      </c>
      <c r="AJ943" s="313">
        <v>3.8469822497021709E-2</v>
      </c>
      <c r="AK943" s="313">
        <v>3.7678084552713743E-2</v>
      </c>
      <c r="AL943" s="313">
        <v>3.6897989500680108E-2</v>
      </c>
      <c r="AM943" s="313">
        <v>3.6129390866756449E-2</v>
      </c>
      <c r="AN943" s="313">
        <v>3.5372144881664611E-2</v>
      </c>
      <c r="AO943" s="313">
        <v>3.4626110517273427E-2</v>
      </c>
      <c r="AP943" s="313">
        <v>3.3891149520008414E-2</v>
      </c>
      <c r="AQ943" s="313">
        <v>3.3891149520008414E-2</v>
      </c>
      <c r="AR943" s="313">
        <v>3.3891149520008414E-2</v>
      </c>
      <c r="AS943" s="313">
        <v>3.3891149520008414E-2</v>
      </c>
      <c r="AT943" s="312"/>
      <c r="AU943" s="514"/>
    </row>
    <row r="944" spans="1:47" hidden="1" outlineLevel="1">
      <c r="A944" s="312"/>
      <c r="B944" s="758" t="s">
        <v>618</v>
      </c>
      <c r="C944" s="750" t="s">
        <v>733</v>
      </c>
      <c r="D944" s="750"/>
      <c r="E944" s="750"/>
      <c r="F944" s="750"/>
      <c r="G944" s="750"/>
      <c r="H944" s="750"/>
      <c r="I944" s="750"/>
      <c r="J944" s="750"/>
      <c r="K944" s="759">
        <v>9.0823864085984196E-2</v>
      </c>
      <c r="L944" s="312">
        <v>8.377151405093812E-2</v>
      </c>
      <c r="M944" s="312">
        <v>7.1075388183909682E-2</v>
      </c>
      <c r="N944" s="312">
        <v>7.0650885797666374E-2</v>
      </c>
      <c r="O944" s="312">
        <v>6.9526823932723567E-2</v>
      </c>
      <c r="P944" s="312">
        <v>5.612014145799863E-2</v>
      </c>
      <c r="Q944" s="312">
        <v>4.502012955672257E-2</v>
      </c>
      <c r="R944" s="312">
        <v>3.0393655961497654E-2</v>
      </c>
      <c r="S944" s="312">
        <v>3.90625E-2</v>
      </c>
      <c r="T944" s="312">
        <v>3.6207464433429669E-2</v>
      </c>
      <c r="U944" s="312">
        <v>3.7367902914888444E-2</v>
      </c>
      <c r="V944" s="313">
        <v>3.7817323312225391E-2</v>
      </c>
      <c r="W944" s="313">
        <v>3.7373107657343765E-2</v>
      </c>
      <c r="X944" s="312">
        <v>3.9798132488055173E-2</v>
      </c>
      <c r="Y944" s="312">
        <v>4.0404201579558971E-2</v>
      </c>
      <c r="Z944" s="313">
        <v>4.2531366682904213E-2</v>
      </c>
      <c r="AA944" s="313">
        <v>4.3060803759044336E-2</v>
      </c>
      <c r="AB944" s="313">
        <v>4.3687716877996718E-2</v>
      </c>
      <c r="AC944" s="313">
        <v>4.4518123597949183E-2</v>
      </c>
      <c r="AD944" s="313">
        <v>4.5381393964082202E-2</v>
      </c>
      <c r="AE944" s="313">
        <v>4.6354093697824714E-2</v>
      </c>
      <c r="AF944" s="313">
        <v>4.7344284377826874E-2</v>
      </c>
      <c r="AG944" s="313">
        <v>4.8352189371470053E-2</v>
      </c>
      <c r="AH944" s="313">
        <v>4.9378032860753707E-2</v>
      </c>
      <c r="AI944" s="313">
        <v>5.0422039813698721E-2</v>
      </c>
      <c r="AJ944" s="313">
        <v>5.1484435956171921E-2</v>
      </c>
      <c r="AK944" s="313">
        <v>5.2565447744181981E-2</v>
      </c>
      <c r="AL944" s="313">
        <v>5.3665302336696301E-2</v>
      </c>
      <c r="AM944" s="313">
        <v>5.4784227569028489E-2</v>
      </c>
      <c r="AN944" s="313">
        <v>5.5922451926845841E-2</v>
      </c>
      <c r="AO944" s="313">
        <v>5.7080204520845487E-2</v>
      </c>
      <c r="AP944" s="313">
        <v>5.8257715062147726E-2</v>
      </c>
      <c r="AQ944" s="313">
        <v>5.8257715062147726E-2</v>
      </c>
      <c r="AR944" s="313">
        <v>5.8257715062147726E-2</v>
      </c>
      <c r="AS944" s="313">
        <v>5.8257715062147726E-2</v>
      </c>
      <c r="AT944" s="312"/>
      <c r="AU944" s="514"/>
    </row>
    <row r="945" spans="1:47" hidden="1" outlineLevel="1">
      <c r="A945" s="2"/>
      <c r="B945" s="2"/>
      <c r="C945" s="18"/>
      <c r="D945" s="18"/>
      <c r="E945" s="18"/>
      <c r="F945" s="18"/>
      <c r="G945" s="18"/>
      <c r="H945" s="18"/>
      <c r="I945" s="18"/>
      <c r="J945" s="18"/>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row>
    <row r="946" spans="1:47" hidden="1" outlineLevel="1">
      <c r="A946" s="2"/>
      <c r="B946" s="6" t="s">
        <v>625</v>
      </c>
      <c r="C946" s="37" t="s">
        <v>732</v>
      </c>
      <c r="D946" s="37"/>
      <c r="E946" s="37"/>
      <c r="F946" s="37"/>
      <c r="G946" s="37"/>
      <c r="H946" s="37"/>
      <c r="I946" s="37"/>
      <c r="J946" s="37"/>
      <c r="K946" s="768">
        <v>-67.91478007156681</v>
      </c>
      <c r="L946" s="4">
        <v>-75.203424999999996</v>
      </c>
      <c r="M946" s="4">
        <v>-80.644966200500008</v>
      </c>
      <c r="N946" s="4">
        <v>-81.64864706551748</v>
      </c>
      <c r="O946" s="4">
        <v>-88.681761781323047</v>
      </c>
      <c r="P946" s="4">
        <v>-86.421789312751883</v>
      </c>
      <c r="Q946" s="4">
        <v>-89.959322365159096</v>
      </c>
      <c r="R946" s="4">
        <v>-223.02924740615717</v>
      </c>
      <c r="S946" s="4">
        <v>-251.00825903264382</v>
      </c>
      <c r="T946" s="4">
        <v>-282.01882234223189</v>
      </c>
      <c r="U946" s="4">
        <v>-292.71937541242056</v>
      </c>
      <c r="V946" s="4">
        <v>-316.55193510320805</v>
      </c>
      <c r="W946" s="4">
        <v>-344.94568922338169</v>
      </c>
      <c r="X946" s="4">
        <v>-362.24646626826905</v>
      </c>
      <c r="Y946" s="4">
        <v>-380.45147425367196</v>
      </c>
      <c r="Z946" s="4">
        <v>-399.61051136592903</v>
      </c>
      <c r="AA946" s="4">
        <v>-419.7763052005235</v>
      </c>
      <c r="AB946" s="4">
        <v>-441.00469884770149</v>
      </c>
      <c r="AC946" s="4">
        <v>-463.35484977325268</v>
      </c>
      <c r="AD946" s="4">
        <v>-486.88944243906025</v>
      </c>
      <c r="AE946" s="4">
        <v>-511.67491568177559</v>
      </c>
      <c r="AF946" s="4">
        <v>-537.78170594771643</v>
      </c>
      <c r="AG946" s="4">
        <v>-565.28450756832171</v>
      </c>
      <c r="AH946" s="4">
        <v>-594.26255135375845</v>
      </c>
      <c r="AI946" s="4">
        <v>-624.79990288316765</v>
      </c>
      <c r="AJ946" s="4">
        <v>-656.98578197917641</v>
      </c>
      <c r="AK946" s="4">
        <v>-690.91490497239556</v>
      </c>
      <c r="AL946" s="4">
        <v>-726.68785148942277</v>
      </c>
      <c r="AM946" s="4">
        <v>-764.41145763617374</v>
      </c>
      <c r="AN946" s="4">
        <v>-804.19923759807398</v>
      </c>
      <c r="AO946" s="4">
        <v>-846.17183584071063</v>
      </c>
      <c r="AP946" s="4">
        <v>-890.45751227000108</v>
      </c>
      <c r="AQ946" s="4">
        <v>-890.45751227000108</v>
      </c>
      <c r="AR946" s="4">
        <v>-890.45751227000108</v>
      </c>
      <c r="AS946" s="4">
        <v>-890.45751227000108</v>
      </c>
      <c r="AT946" s="2"/>
      <c r="AU946" s="2"/>
    </row>
    <row r="947" spans="1:47" hidden="1" outlineLevel="1">
      <c r="A947" s="312"/>
      <c r="B947" s="769" t="s">
        <v>614</v>
      </c>
      <c r="C947" s="762" t="s">
        <v>733</v>
      </c>
      <c r="D947" s="762"/>
      <c r="E947" s="762"/>
      <c r="F947" s="762"/>
      <c r="G947" s="762"/>
      <c r="H947" s="762"/>
      <c r="I947" s="762"/>
      <c r="J947" s="762"/>
      <c r="K947" s="763">
        <v>0.40174984667836555</v>
      </c>
      <c r="L947" s="327">
        <v>0.10732045249579847</v>
      </c>
      <c r="M947" s="327">
        <v>7.235762467600404E-2</v>
      </c>
      <c r="N947" s="327">
        <v>1.2445672833715449E-2</v>
      </c>
      <c r="O947" s="327">
        <v>8.613877839472317E-2</v>
      </c>
      <c r="P947" s="327">
        <v>-2.5484072747042896E-2</v>
      </c>
      <c r="Q947" s="327">
        <v>4.0933346561539352E-2</v>
      </c>
      <c r="R947" s="327">
        <v>1.4792232927327555</v>
      </c>
      <c r="S947" s="327">
        <v>0.12544996654871121</v>
      </c>
      <c r="T947" s="327">
        <v>0.12354399583941622</v>
      </c>
      <c r="U947" s="327">
        <v>3.794269113429416E-2</v>
      </c>
      <c r="V947" s="764">
        <v>8.1417773105074254E-2</v>
      </c>
      <c r="W947" s="764">
        <v>8.9696984827833059E-2</v>
      </c>
      <c r="X947" s="327">
        <v>5.0155075379659575E-2</v>
      </c>
      <c r="Y947" s="327">
        <v>5.0255860803679608E-2</v>
      </c>
      <c r="Z947" s="764">
        <v>5.0358688055661238E-2</v>
      </c>
      <c r="AA947" s="764">
        <v>5.046362210459554E-2</v>
      </c>
      <c r="AB947" s="764">
        <v>5.0570728705226387E-2</v>
      </c>
      <c r="AC947" s="764">
        <v>5.0680074348300019E-2</v>
      </c>
      <c r="AD947" s="764">
        <v>5.0791726205789089E-2</v>
      </c>
      <c r="AE947" s="764">
        <v>5.0905752070846244E-2</v>
      </c>
      <c r="AF947" s="764">
        <v>5.1022220292263443E-2</v>
      </c>
      <c r="AG947" s="764">
        <v>5.1141199703210294E-2</v>
      </c>
      <c r="AH947" s="764">
        <v>5.1262759544023817E-2</v>
      </c>
      <c r="AI947" s="764">
        <v>5.1386969378843794E-2</v>
      </c>
      <c r="AJ947" s="764">
        <v>5.1513899005882546E-2</v>
      </c>
      <c r="AK947" s="764">
        <v>5.1643618361127075E-2</v>
      </c>
      <c r="AL947" s="764">
        <v>5.1776197415304592E-2</v>
      </c>
      <c r="AM947" s="764">
        <v>5.1911706063934471E-2</v>
      </c>
      <c r="AN947" s="764">
        <v>5.2050214010315843E-2</v>
      </c>
      <c r="AO947" s="764">
        <v>5.2191790641330948E-2</v>
      </c>
      <c r="AP947" s="764">
        <v>5.2336504895947655E-2</v>
      </c>
      <c r="AQ947" s="764">
        <v>5.2336504895947655E-2</v>
      </c>
      <c r="AR947" s="764">
        <v>5.2336504895947655E-2</v>
      </c>
      <c r="AS947" s="764">
        <v>5.2336504895947655E-2</v>
      </c>
      <c r="AT947" s="312"/>
      <c r="AU947" s="514"/>
    </row>
    <row r="948" spans="1:47" hidden="1" outlineLevel="1">
      <c r="A948" s="2"/>
      <c r="B948" s="59"/>
      <c r="C948" s="37"/>
      <c r="D948" s="37"/>
      <c r="E948" s="37"/>
      <c r="F948" s="37"/>
      <c r="G948" s="37"/>
      <c r="H948" s="37"/>
      <c r="I948" s="37"/>
      <c r="J948" s="37"/>
      <c r="K948" s="272"/>
      <c r="L948" s="272"/>
      <c r="M948" s="272"/>
      <c r="N948" s="272"/>
      <c r="O948" s="272"/>
      <c r="P948" s="272"/>
      <c r="Q948" s="272"/>
      <c r="R948" s="272"/>
      <c r="S948" s="272"/>
      <c r="T948" s="272"/>
      <c r="U948" s="272"/>
      <c r="V948" s="272"/>
      <c r="W948" s="272"/>
      <c r="X948" s="272"/>
      <c r="Y948" s="272"/>
      <c r="Z948" s="272"/>
      <c r="AA948" s="272"/>
      <c r="AB948" s="272"/>
      <c r="AC948" s="272"/>
      <c r="AD948" s="272"/>
      <c r="AE948" s="272"/>
      <c r="AF948" s="272"/>
      <c r="AG948" s="272"/>
      <c r="AH948" s="272"/>
      <c r="AI948" s="272"/>
      <c r="AJ948" s="272"/>
      <c r="AK948" s="272"/>
      <c r="AL948" s="272"/>
      <c r="AM948" s="272"/>
      <c r="AN948" s="272"/>
      <c r="AO948" s="272"/>
      <c r="AP948" s="272"/>
      <c r="AQ948" s="272"/>
      <c r="AR948" s="272"/>
      <c r="AS948" s="272"/>
      <c r="AT948" s="2"/>
      <c r="AU948" s="2"/>
    </row>
    <row r="949" spans="1:47" hidden="1" outlineLevel="1">
      <c r="A949" s="2"/>
      <c r="B949" s="25"/>
      <c r="C949" s="40" t="s">
        <v>229</v>
      </c>
      <c r="D949" s="40"/>
      <c r="E949" s="40"/>
      <c r="F949" s="40"/>
      <c r="G949" s="40"/>
      <c r="H949" s="40"/>
      <c r="I949" s="40"/>
      <c r="J949" s="40"/>
      <c r="K949" s="41">
        <v>0</v>
      </c>
      <c r="L949" s="41">
        <v>1</v>
      </c>
      <c r="M949" s="41">
        <v>2</v>
      </c>
      <c r="N949" s="41">
        <v>3</v>
      </c>
      <c r="O949" s="41">
        <v>4</v>
      </c>
      <c r="P949" s="41">
        <v>5</v>
      </c>
      <c r="Q949" s="41">
        <v>6</v>
      </c>
      <c r="R949" s="41">
        <v>7</v>
      </c>
      <c r="S949" s="41">
        <v>8</v>
      </c>
      <c r="T949" s="41">
        <v>9</v>
      </c>
      <c r="U949" s="41">
        <v>10</v>
      </c>
      <c r="V949" s="41">
        <v>11</v>
      </c>
      <c r="W949" s="41">
        <v>12</v>
      </c>
      <c r="X949" s="41">
        <v>13</v>
      </c>
      <c r="Y949" s="41">
        <v>14</v>
      </c>
      <c r="Z949" s="41">
        <v>15</v>
      </c>
      <c r="AA949" s="41">
        <v>16</v>
      </c>
      <c r="AB949" s="41">
        <v>17</v>
      </c>
      <c r="AC949" s="41">
        <v>18</v>
      </c>
      <c r="AD949" s="41">
        <v>19</v>
      </c>
      <c r="AE949" s="41">
        <v>20</v>
      </c>
      <c r="AF949" s="41">
        <v>21</v>
      </c>
      <c r="AG949" s="41">
        <v>22</v>
      </c>
      <c r="AH949" s="41">
        <v>23</v>
      </c>
      <c r="AI949" s="41">
        <v>24</v>
      </c>
      <c r="AJ949" s="41">
        <v>25</v>
      </c>
      <c r="AK949" s="41">
        <v>26</v>
      </c>
      <c r="AL949" s="41">
        <v>27</v>
      </c>
      <c r="AM949" s="41">
        <v>28</v>
      </c>
      <c r="AN949" s="41">
        <v>29</v>
      </c>
      <c r="AO949" s="41">
        <v>30</v>
      </c>
      <c r="AP949" s="41">
        <v>31</v>
      </c>
      <c r="AQ949" s="41">
        <v>31</v>
      </c>
      <c r="AR949" s="41">
        <v>31</v>
      </c>
      <c r="AS949" s="41">
        <v>31</v>
      </c>
      <c r="AT949" s="2"/>
      <c r="AU949" s="2"/>
    </row>
    <row r="950" spans="1:47" hidden="1" outlineLevel="1">
      <c r="A950" s="2"/>
      <c r="B950" s="6" t="s">
        <v>626</v>
      </c>
      <c r="C950" s="38"/>
      <c r="D950" s="38"/>
      <c r="E950" s="38"/>
      <c r="F950" s="38"/>
      <c r="G950" s="38"/>
      <c r="H950" s="38"/>
      <c r="I950" s="38"/>
      <c r="J950" s="38"/>
      <c r="K950" s="80"/>
      <c r="L950" s="6"/>
      <c r="M950" s="6"/>
      <c r="N950" s="6"/>
      <c r="O950" s="6"/>
      <c r="P950" s="6"/>
      <c r="Q950" s="6"/>
      <c r="R950" s="6"/>
      <c r="S950" s="6"/>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row>
    <row r="951" spans="1:47" hidden="1" outlineLevel="1">
      <c r="A951" s="2"/>
      <c r="B951" s="2" t="s">
        <v>400</v>
      </c>
      <c r="C951" s="38"/>
      <c r="D951" s="38"/>
      <c r="E951" s="38"/>
      <c r="F951" s="38"/>
      <c r="G951" s="38"/>
      <c r="H951" s="38"/>
      <c r="I951" s="38"/>
      <c r="J951" s="38"/>
      <c r="K951" s="80"/>
      <c r="L951" s="6"/>
      <c r="M951" s="6"/>
      <c r="N951" s="6"/>
      <c r="O951" s="6"/>
      <c r="P951" s="6"/>
      <c r="Q951" s="6"/>
      <c r="R951" s="6"/>
      <c r="S951" s="6"/>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row>
    <row r="952" spans="1:47" hidden="1" outlineLevel="1">
      <c r="A952" s="2"/>
      <c r="B952" s="2" t="s">
        <v>627</v>
      </c>
      <c r="C952" s="38"/>
      <c r="D952" s="38"/>
      <c r="E952" s="38"/>
      <c r="F952" s="38"/>
      <c r="G952" s="38"/>
      <c r="H952" s="38"/>
      <c r="I952" s="38"/>
      <c r="J952" s="38"/>
      <c r="K952" s="80"/>
      <c r="L952" s="6"/>
      <c r="M952" s="6"/>
      <c r="N952" s="6"/>
      <c r="O952" s="6"/>
      <c r="P952" s="6"/>
      <c r="Q952" s="6"/>
      <c r="R952" s="6"/>
      <c r="S952" s="6"/>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row>
    <row r="953" spans="1:47" hidden="1" outlineLevel="1">
      <c r="A953" s="2"/>
      <c r="B953" s="2" t="s">
        <v>628</v>
      </c>
      <c r="C953" s="38"/>
      <c r="D953" s="38"/>
      <c r="E953" s="38"/>
      <c r="F953" s="38"/>
      <c r="G953" s="38"/>
      <c r="H953" s="38"/>
      <c r="I953" s="38"/>
      <c r="J953" s="38"/>
      <c r="K953" s="80"/>
      <c r="L953" s="6"/>
      <c r="M953" s="6"/>
      <c r="N953" s="6"/>
      <c r="O953" s="6"/>
      <c r="P953" s="6"/>
      <c r="Q953" s="6"/>
      <c r="R953" s="6"/>
      <c r="S953" s="6"/>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row>
    <row r="954" spans="1:47" hidden="1" outlineLevel="1">
      <c r="A954" s="2"/>
      <c r="B954" s="2" t="s">
        <v>629</v>
      </c>
      <c r="C954" s="38" t="s">
        <v>846</v>
      </c>
      <c r="D954" s="38"/>
      <c r="E954" s="38"/>
      <c r="F954" s="38"/>
      <c r="G954" s="38"/>
      <c r="H954" s="38"/>
      <c r="I954" s="38"/>
      <c r="J954" s="38"/>
      <c r="K954" s="570">
        <v>456.84693281249986</v>
      </c>
      <c r="L954" s="19">
        <v>488.17500449062481</v>
      </c>
      <c r="M954" s="19">
        <v>487.37690167359347</v>
      </c>
      <c r="N954" s="19">
        <v>479.30496083739814</v>
      </c>
      <c r="O954" s="19">
        <v>557.69182695937525</v>
      </c>
      <c r="P954" s="19">
        <v>653.67793181883815</v>
      </c>
      <c r="Q954" s="19">
        <v>692.92876752165432</v>
      </c>
      <c r="R954" s="19">
        <v>792.01758127725088</v>
      </c>
      <c r="S954" s="19">
        <v>795.97766918363709</v>
      </c>
      <c r="T954" s="19">
        <v>849.30817301894081</v>
      </c>
      <c r="U954" s="19">
        <v>883.28049993969842</v>
      </c>
      <c r="V954" s="19">
        <v>876.21425594018081</v>
      </c>
      <c r="W954" s="19">
        <v>869.20454189265934</v>
      </c>
      <c r="X954" s="19">
        <v>886.58863273051247</v>
      </c>
      <c r="Y954" s="19">
        <v>877.72274640320734</v>
      </c>
      <c r="Z954" s="19">
        <v>912.83165625933566</v>
      </c>
      <c r="AA954" s="19">
        <v>949.34492250970914</v>
      </c>
      <c r="AB954" s="19">
        <v>958.83837173480629</v>
      </c>
      <c r="AC954" s="19">
        <v>978.01513916950239</v>
      </c>
      <c r="AD954" s="19">
        <v>978.01513916950239</v>
      </c>
      <c r="AE954" s="19">
        <v>978.01513916950239</v>
      </c>
      <c r="AF954" s="19">
        <v>978.01513916950239</v>
      </c>
      <c r="AG954" s="19">
        <v>978.01513916950239</v>
      </c>
      <c r="AH954" s="19">
        <v>978.01513916950239</v>
      </c>
      <c r="AI954" s="19">
        <v>978.01513916950239</v>
      </c>
      <c r="AJ954" s="19">
        <v>978.01513916950239</v>
      </c>
      <c r="AK954" s="19">
        <v>978.01513916950239</v>
      </c>
      <c r="AL954" s="19">
        <v>978.01513916950239</v>
      </c>
      <c r="AM954" s="19">
        <v>978.01513916950239</v>
      </c>
      <c r="AN954" s="19">
        <v>978.01513916950239</v>
      </c>
      <c r="AO954" s="19">
        <v>978.01513916950239</v>
      </c>
      <c r="AP954" s="19">
        <v>978.01513916950239</v>
      </c>
      <c r="AQ954" s="19">
        <v>978.01513916950239</v>
      </c>
      <c r="AR954" s="19">
        <v>978.01513916950239</v>
      </c>
      <c r="AS954" s="19">
        <v>978.01513916950239</v>
      </c>
      <c r="AT954" s="2"/>
      <c r="AU954" s="2"/>
    </row>
    <row r="955" spans="1:47" hidden="1" outlineLevel="1">
      <c r="A955" s="2"/>
      <c r="B955" s="2" t="s">
        <v>139</v>
      </c>
      <c r="C955" s="38" t="s">
        <v>846</v>
      </c>
      <c r="D955" s="38"/>
      <c r="E955" s="38"/>
      <c r="F955" s="38"/>
      <c r="G955" s="38"/>
      <c r="H955" s="38"/>
      <c r="I955" s="38"/>
      <c r="J955" s="38"/>
      <c r="K955" s="570">
        <v>178.16840999999999</v>
      </c>
      <c r="L955" s="19">
        <v>255.79893149999992</v>
      </c>
      <c r="M955" s="19">
        <v>310.63582744031243</v>
      </c>
      <c r="N955" s="19">
        <v>355.24955920889528</v>
      </c>
      <c r="O955" s="19">
        <v>346.20684315630518</v>
      </c>
      <c r="P955" s="19">
        <v>369.68399470784215</v>
      </c>
      <c r="Q955" s="19">
        <v>437.09695844868384</v>
      </c>
      <c r="R955" s="19">
        <v>499.60182350684562</v>
      </c>
      <c r="S955" s="19">
        <v>571.04488426832449</v>
      </c>
      <c r="T955" s="19">
        <v>609.3048915143022</v>
      </c>
      <c r="U955" s="19">
        <v>658.04928283544643</v>
      </c>
      <c r="V955" s="19">
        <v>704.11273263392764</v>
      </c>
      <c r="W955" s="19">
        <v>746.35949659196331</v>
      </c>
      <c r="X955" s="19">
        <v>753.82309155788289</v>
      </c>
      <c r="Y955" s="19">
        <v>738.74662972672525</v>
      </c>
      <c r="Z955" s="19">
        <v>723.97169713219068</v>
      </c>
      <c r="AA955" s="19">
        <v>731.21141410351254</v>
      </c>
      <c r="AB955" s="19">
        <v>731.21141410351254</v>
      </c>
      <c r="AC955" s="19">
        <v>731.21141410351254</v>
      </c>
      <c r="AD955" s="19">
        <v>738.52352824454772</v>
      </c>
      <c r="AE955" s="19">
        <v>745.9087635269932</v>
      </c>
      <c r="AF955" s="19">
        <v>753.36785116226315</v>
      </c>
      <c r="AG955" s="19">
        <v>760.90152967388576</v>
      </c>
      <c r="AH955" s="19">
        <v>768.51054497062466</v>
      </c>
      <c r="AI955" s="19">
        <v>776.19565042033094</v>
      </c>
      <c r="AJ955" s="19">
        <v>783.95760692453428</v>
      </c>
      <c r="AK955" s="19">
        <v>791.79718299377964</v>
      </c>
      <c r="AL955" s="19">
        <v>799.7151548237174</v>
      </c>
      <c r="AM955" s="19">
        <v>807.71230637195458</v>
      </c>
      <c r="AN955" s="19">
        <v>815.78942943567415</v>
      </c>
      <c r="AO955" s="19">
        <v>823.94732373003092</v>
      </c>
      <c r="AP955" s="19">
        <v>832.18679696733125</v>
      </c>
      <c r="AQ955" s="19">
        <v>832.18679696733125</v>
      </c>
      <c r="AR955" s="19">
        <v>832.18679696733125</v>
      </c>
      <c r="AS955" s="19">
        <v>832.18679696733125</v>
      </c>
      <c r="AT955" s="2"/>
      <c r="AU955" s="2"/>
    </row>
    <row r="956" spans="1:47" hidden="1" outlineLevel="1">
      <c r="A956" s="2"/>
      <c r="B956" s="2" t="s">
        <v>140</v>
      </c>
      <c r="C956" s="38" t="s">
        <v>846</v>
      </c>
      <c r="D956" s="38"/>
      <c r="E956" s="38"/>
      <c r="F956" s="38"/>
      <c r="G956" s="38"/>
      <c r="H956" s="38"/>
      <c r="I956" s="38"/>
      <c r="J956" s="38"/>
      <c r="K956" s="570">
        <v>635.01534281249985</v>
      </c>
      <c r="L956" s="19">
        <v>743.9739359906248</v>
      </c>
      <c r="M956" s="19">
        <v>798.01272911390583</v>
      </c>
      <c r="N956" s="19">
        <v>834.55452004629342</v>
      </c>
      <c r="O956" s="19">
        <v>903.89867011568049</v>
      </c>
      <c r="P956" s="19">
        <v>1023.3619265266802</v>
      </c>
      <c r="Q956" s="19">
        <v>1130.025725970338</v>
      </c>
      <c r="R956" s="19">
        <v>1291.6194047840966</v>
      </c>
      <c r="S956" s="19">
        <v>1367.0225534519616</v>
      </c>
      <c r="T956" s="19">
        <v>1458.613064533243</v>
      </c>
      <c r="U956" s="19">
        <v>1541.3297827751448</v>
      </c>
      <c r="V956" s="19">
        <v>1580.3269885741083</v>
      </c>
      <c r="W956" s="19">
        <v>1615.5640384846226</v>
      </c>
      <c r="X956" s="19">
        <v>1640.4117242883954</v>
      </c>
      <c r="Y956" s="19">
        <v>1616.4693761299327</v>
      </c>
      <c r="Z956" s="19">
        <v>1636.8033533915263</v>
      </c>
      <c r="AA956" s="19">
        <v>1680.5563366132217</v>
      </c>
      <c r="AB956" s="19">
        <v>1690.0497858383187</v>
      </c>
      <c r="AC956" s="19">
        <v>1709.2265532730148</v>
      </c>
      <c r="AD956" s="19">
        <v>1716.53866741405</v>
      </c>
      <c r="AE956" s="19">
        <v>1723.9239026964956</v>
      </c>
      <c r="AF956" s="19">
        <v>1731.3829903317655</v>
      </c>
      <c r="AG956" s="19">
        <v>1738.9166688433882</v>
      </c>
      <c r="AH956" s="19">
        <v>1746.5256841401269</v>
      </c>
      <c r="AI956" s="19">
        <v>1754.2107895898334</v>
      </c>
      <c r="AJ956" s="19">
        <v>1761.9727460940367</v>
      </c>
      <c r="AK956" s="19">
        <v>1769.812322163282</v>
      </c>
      <c r="AL956" s="19">
        <v>1777.7302939932197</v>
      </c>
      <c r="AM956" s="19">
        <v>1785.727445541457</v>
      </c>
      <c r="AN956" s="19">
        <v>1793.8045686051764</v>
      </c>
      <c r="AO956" s="19">
        <v>1801.9624628995334</v>
      </c>
      <c r="AP956" s="19">
        <v>1810.2019361368336</v>
      </c>
      <c r="AQ956" s="19">
        <v>1810.2019361368336</v>
      </c>
      <c r="AR956" s="19">
        <v>1810.2019361368336</v>
      </c>
      <c r="AS956" s="19">
        <v>1810.2019361368336</v>
      </c>
      <c r="AT956" s="2"/>
      <c r="AU956" s="2"/>
    </row>
    <row r="957" spans="1:47" hidden="1" outlineLevel="1">
      <c r="A957" s="312"/>
      <c r="B957" s="758" t="s">
        <v>614</v>
      </c>
      <c r="C957" s="750" t="s">
        <v>733</v>
      </c>
      <c r="D957" s="750"/>
      <c r="E957" s="750"/>
      <c r="F957" s="750"/>
      <c r="G957" s="750"/>
      <c r="H957" s="750"/>
      <c r="I957" s="750"/>
      <c r="J957" s="750"/>
      <c r="K957" s="759">
        <v>0.28282623591513567</v>
      </c>
      <c r="L957" s="312">
        <v>0.17158418991192304</v>
      </c>
      <c r="M957" s="312">
        <v>7.2635331036599693E-2</v>
      </c>
      <c r="N957" s="312">
        <v>4.579098753595412E-2</v>
      </c>
      <c r="O957" s="312">
        <v>8.3091216216216068E-2</v>
      </c>
      <c r="P957" s="312">
        <v>0.13216443431176961</v>
      </c>
      <c r="Q957" s="312">
        <v>0.1042288135593219</v>
      </c>
      <c r="R957" s="312">
        <v>0.14300000000000024</v>
      </c>
      <c r="S957" s="312">
        <v>5.8378767296755729E-2</v>
      </c>
      <c r="T957" s="312">
        <v>6.6999999999999948E-2</v>
      </c>
      <c r="U957" s="312">
        <v>5.6709157660240317E-2</v>
      </c>
      <c r="V957" s="313">
        <v>2.5301013601871425E-2</v>
      </c>
      <c r="W957" s="313">
        <v>2.2297315786720784E-2</v>
      </c>
      <c r="X957" s="312">
        <v>1.5380192435503481E-2</v>
      </c>
      <c r="Y957" s="312">
        <v>-1.4595328601939128E-2</v>
      </c>
      <c r="Z957" s="313">
        <v>1.2579253007734881E-2</v>
      </c>
      <c r="AA957" s="313">
        <v>2.6730751211522907E-2</v>
      </c>
      <c r="AB957" s="313">
        <v>5.6489919547886291E-3</v>
      </c>
      <c r="AC957" s="313">
        <v>1.1346865397331429E-2</v>
      </c>
      <c r="AD957" s="313">
        <v>4.2780251260625679E-3</v>
      </c>
      <c r="AE957" s="313">
        <v>4.3023996037161449E-3</v>
      </c>
      <c r="AF957" s="313">
        <v>4.3268079429739092E-3</v>
      </c>
      <c r="AG957" s="313">
        <v>4.3512490036528018E-3</v>
      </c>
      <c r="AH957" s="313">
        <v>4.3757216392661391E-3</v>
      </c>
      <c r="AI957" s="313">
        <v>4.4002246972336678E-3</v>
      </c>
      <c r="AJ957" s="313">
        <v>4.4247570190911745E-3</v>
      </c>
      <c r="AK957" s="313">
        <v>4.449317440706313E-3</v>
      </c>
      <c r="AL957" s="313">
        <v>4.4739047924919895E-3</v>
      </c>
      <c r="AM957" s="313">
        <v>4.4985178996268527E-3</v>
      </c>
      <c r="AN957" s="313">
        <v>4.5231555822733416E-3</v>
      </c>
      <c r="AO957" s="313">
        <v>4.5478166558023947E-3</v>
      </c>
      <c r="AP957" s="313">
        <v>4.5724999310152725E-3</v>
      </c>
      <c r="AQ957" s="313">
        <v>4.5724999310152725E-3</v>
      </c>
      <c r="AR957" s="313">
        <v>4.5724999310152725E-3</v>
      </c>
      <c r="AS957" s="313">
        <v>4.5724999310152725E-3</v>
      </c>
      <c r="AT957" s="312"/>
      <c r="AU957" s="514"/>
    </row>
    <row r="958" spans="1:47" hidden="1" outlineLevel="1">
      <c r="A958" s="2"/>
      <c r="B958" s="2" t="s">
        <v>659</v>
      </c>
      <c r="C958" s="38" t="s">
        <v>846</v>
      </c>
      <c r="D958" s="38"/>
      <c r="E958" s="38"/>
      <c r="F958" s="38"/>
      <c r="G958" s="38"/>
      <c r="H958" s="38"/>
      <c r="I958" s="38"/>
      <c r="J958" s="38"/>
      <c r="K958" s="570">
        <v>430.55409140624988</v>
      </c>
      <c r="L958" s="19">
        <v>472.51096865156234</v>
      </c>
      <c r="M958" s="19">
        <v>487.77595308210914</v>
      </c>
      <c r="N958" s="19">
        <v>483.34093125549578</v>
      </c>
      <c r="O958" s="19">
        <v>518.49839389838667</v>
      </c>
      <c r="P958" s="19">
        <v>605.68487938910675</v>
      </c>
      <c r="Q958" s="19">
        <v>673.30334967024623</v>
      </c>
      <c r="R958" s="19">
        <v>742.47317439945255</v>
      </c>
      <c r="S958" s="19">
        <v>793.99762523044399</v>
      </c>
      <c r="T958" s="19">
        <v>822.64292110128895</v>
      </c>
      <c r="U958" s="19">
        <v>866.29433647931955</v>
      </c>
      <c r="V958" s="19">
        <v>879.74737793993961</v>
      </c>
      <c r="W958" s="19">
        <v>872.70939891642001</v>
      </c>
      <c r="X958" s="19">
        <v>877.8965873115859</v>
      </c>
      <c r="Y958" s="19">
        <v>882.15568956685991</v>
      </c>
      <c r="Z958" s="19">
        <v>895.2772013312715</v>
      </c>
      <c r="AA958" s="19">
        <v>931.08828938452234</v>
      </c>
      <c r="AB958" s="19">
        <v>954.09164712225765</v>
      </c>
      <c r="AC958" s="19">
        <v>968.42675545215434</v>
      </c>
      <c r="AD958" s="19">
        <v>978.01513916950239</v>
      </c>
      <c r="AE958" s="19">
        <v>978.01513916950239</v>
      </c>
      <c r="AF958" s="19">
        <v>978.01513916950239</v>
      </c>
      <c r="AG958" s="19">
        <v>978.01513916950239</v>
      </c>
      <c r="AH958" s="19">
        <v>978.01513916950239</v>
      </c>
      <c r="AI958" s="19">
        <v>978.01513916950239</v>
      </c>
      <c r="AJ958" s="19">
        <v>978.01513916950239</v>
      </c>
      <c r="AK958" s="19">
        <v>978.01513916950239</v>
      </c>
      <c r="AL958" s="19">
        <v>978.01513916950239</v>
      </c>
      <c r="AM958" s="19">
        <v>978.01513916950239</v>
      </c>
      <c r="AN958" s="19">
        <v>978.01513916950239</v>
      </c>
      <c r="AO958" s="19">
        <v>978.01513916950239</v>
      </c>
      <c r="AP958" s="19">
        <v>978.01513916950239</v>
      </c>
      <c r="AQ958" s="19">
        <v>978.01513916950239</v>
      </c>
      <c r="AR958" s="19">
        <v>978.01513916950239</v>
      </c>
      <c r="AS958" s="19">
        <v>978.01513916950239</v>
      </c>
      <c r="AT958" s="2"/>
      <c r="AU958" s="2"/>
    </row>
    <row r="959" spans="1:47" hidden="1" outlineLevel="1">
      <c r="A959" s="2"/>
      <c r="B959" s="2" t="s">
        <v>660</v>
      </c>
      <c r="C959" s="38" t="s">
        <v>846</v>
      </c>
      <c r="D959" s="38"/>
      <c r="E959" s="38"/>
      <c r="F959" s="38"/>
      <c r="G959" s="38"/>
      <c r="H959" s="38"/>
      <c r="I959" s="38"/>
      <c r="J959" s="38"/>
      <c r="K959" s="570">
        <v>134.45995499999998</v>
      </c>
      <c r="L959" s="19">
        <v>216.98367074999996</v>
      </c>
      <c r="M959" s="19">
        <v>283.21737947015617</v>
      </c>
      <c r="N959" s="19">
        <v>332.94269332460385</v>
      </c>
      <c r="O959" s="19">
        <v>350.72820118260023</v>
      </c>
      <c r="P959" s="19">
        <v>357.94541893207366</v>
      </c>
      <c r="Q959" s="19">
        <v>403.39047657826302</v>
      </c>
      <c r="R959" s="19">
        <v>468.34939097776476</v>
      </c>
      <c r="S959" s="19">
        <v>535.32335388758509</v>
      </c>
      <c r="T959" s="19">
        <v>590.17488789131335</v>
      </c>
      <c r="U959" s="19">
        <v>633.67708717487426</v>
      </c>
      <c r="V959" s="19">
        <v>681.08100773468709</v>
      </c>
      <c r="W959" s="19">
        <v>725.23611461294547</v>
      </c>
      <c r="X959" s="19">
        <v>750.0912940749231</v>
      </c>
      <c r="Y959" s="19">
        <v>746.28486064230401</v>
      </c>
      <c r="Z959" s="19">
        <v>731.35916342945802</v>
      </c>
      <c r="AA959" s="19">
        <v>727.59155561785155</v>
      </c>
      <c r="AB959" s="19">
        <v>731.21141410351254</v>
      </c>
      <c r="AC959" s="19">
        <v>731.21141410351254</v>
      </c>
      <c r="AD959" s="19">
        <v>734.86747117403013</v>
      </c>
      <c r="AE959" s="19">
        <v>742.2161458857704</v>
      </c>
      <c r="AF959" s="19">
        <v>749.63830734462817</v>
      </c>
      <c r="AG959" s="19">
        <v>757.13469041807446</v>
      </c>
      <c r="AH959" s="19">
        <v>764.70603732225527</v>
      </c>
      <c r="AI959" s="19">
        <v>772.3530976954778</v>
      </c>
      <c r="AJ959" s="19">
        <v>780.07662867243266</v>
      </c>
      <c r="AK959" s="19">
        <v>787.87739495915696</v>
      </c>
      <c r="AL959" s="19">
        <v>795.75616890874858</v>
      </c>
      <c r="AM959" s="19">
        <v>803.71373059783605</v>
      </c>
      <c r="AN959" s="19">
        <v>811.75086790381442</v>
      </c>
      <c r="AO959" s="19">
        <v>819.86837658285253</v>
      </c>
      <c r="AP959" s="19">
        <v>828.06706034868103</v>
      </c>
      <c r="AQ959" s="19">
        <v>828.06706034868103</v>
      </c>
      <c r="AR959" s="19">
        <v>828.06706034868103</v>
      </c>
      <c r="AS959" s="19">
        <v>828.06706034868103</v>
      </c>
      <c r="AT959" s="2"/>
      <c r="AU959" s="2"/>
    </row>
    <row r="960" spans="1:47" hidden="1" outlineLevel="1">
      <c r="A960" s="2"/>
      <c r="B960" s="2" t="s">
        <v>816</v>
      </c>
      <c r="C960" s="38" t="s">
        <v>846</v>
      </c>
      <c r="D960" s="38"/>
      <c r="E960" s="38"/>
      <c r="F960" s="38"/>
      <c r="G960" s="38"/>
      <c r="H960" s="38"/>
      <c r="I960" s="38"/>
      <c r="J960" s="38"/>
      <c r="K960" s="570">
        <v>565.01404640624992</v>
      </c>
      <c r="L960" s="19">
        <v>689.49463940156227</v>
      </c>
      <c r="M960" s="19">
        <v>770.99333255226531</v>
      </c>
      <c r="N960" s="19">
        <v>816.28362458009963</v>
      </c>
      <c r="O960" s="19">
        <v>869.22659508098695</v>
      </c>
      <c r="P960" s="19">
        <v>963.63029832118036</v>
      </c>
      <c r="Q960" s="19">
        <v>1076.6938262485091</v>
      </c>
      <c r="R960" s="19">
        <v>1210.8225653772174</v>
      </c>
      <c r="S960" s="19">
        <v>1329.3209791180291</v>
      </c>
      <c r="T960" s="19">
        <v>1412.8178089926023</v>
      </c>
      <c r="U960" s="19">
        <v>1499.9714236541938</v>
      </c>
      <c r="V960" s="19">
        <v>1560.8283856746266</v>
      </c>
      <c r="W960" s="19">
        <v>1597.9455135293656</v>
      </c>
      <c r="X960" s="19">
        <v>1627.9878813865089</v>
      </c>
      <c r="Y960" s="19">
        <v>1628.440550209164</v>
      </c>
      <c r="Z960" s="19">
        <v>1626.6363647607295</v>
      </c>
      <c r="AA960" s="19">
        <v>1658.6798450023739</v>
      </c>
      <c r="AB960" s="19">
        <v>1685.3030612257703</v>
      </c>
      <c r="AC960" s="19">
        <v>1699.638169555667</v>
      </c>
      <c r="AD960" s="19">
        <v>1712.8826103435326</v>
      </c>
      <c r="AE960" s="19">
        <v>1720.2312850552728</v>
      </c>
      <c r="AF960" s="19">
        <v>1727.6534465141306</v>
      </c>
      <c r="AG960" s="19">
        <v>1735.1498295875767</v>
      </c>
      <c r="AH960" s="19">
        <v>1742.7211764917577</v>
      </c>
      <c r="AI960" s="19">
        <v>1750.3682368649802</v>
      </c>
      <c r="AJ960" s="19">
        <v>1758.0917678419351</v>
      </c>
      <c r="AK960" s="19">
        <v>1765.8925341286595</v>
      </c>
      <c r="AL960" s="19">
        <v>1773.771308078251</v>
      </c>
      <c r="AM960" s="19">
        <v>1781.7288697673384</v>
      </c>
      <c r="AN960" s="19">
        <v>1789.7660070733168</v>
      </c>
      <c r="AO960" s="19">
        <v>1797.8835157523549</v>
      </c>
      <c r="AP960" s="19">
        <v>1806.0821995181834</v>
      </c>
      <c r="AQ960" s="19">
        <v>1806.0821995181834</v>
      </c>
      <c r="AR960" s="19">
        <v>1806.0821995181834</v>
      </c>
      <c r="AS960" s="19">
        <v>1806.0821995181834</v>
      </c>
      <c r="AT960" s="2"/>
      <c r="AU960" s="2"/>
    </row>
    <row r="961" spans="1:47" hidden="1" outlineLevel="1">
      <c r="A961" s="312"/>
      <c r="B961" s="758" t="s">
        <v>614</v>
      </c>
      <c r="C961" s="750" t="s">
        <v>733</v>
      </c>
      <c r="D961" s="750"/>
      <c r="E961" s="750"/>
      <c r="F961" s="750"/>
      <c r="G961" s="750"/>
      <c r="H961" s="750"/>
      <c r="I961" s="750"/>
      <c r="J961" s="750"/>
      <c r="K961" s="759">
        <v>0.3797442015554704</v>
      </c>
      <c r="L961" s="312">
        <v>0.22031415641268803</v>
      </c>
      <c r="M961" s="312">
        <v>0.118200618965564</v>
      </c>
      <c r="N961" s="312">
        <v>5.8742780404996697E-2</v>
      </c>
      <c r="O961" s="312">
        <v>6.4858547821685653E-2</v>
      </c>
      <c r="P961" s="312">
        <v>0.10860655181793843</v>
      </c>
      <c r="Q961" s="312">
        <v>0.11733081465402861</v>
      </c>
      <c r="R961" s="312">
        <v>0.12457463380843259</v>
      </c>
      <c r="S961" s="312">
        <v>9.7866043406529046E-2</v>
      </c>
      <c r="T961" s="312">
        <v>6.2811639315262457E-2</v>
      </c>
      <c r="U961" s="312">
        <v>6.1687794496118054E-2</v>
      </c>
      <c r="V961" s="313">
        <v>4.0572080948165334E-2</v>
      </c>
      <c r="W961" s="313">
        <v>2.3780402890799524E-2</v>
      </c>
      <c r="X961" s="312">
        <v>1.8800620924044553E-2</v>
      </c>
      <c r="Y961" s="312">
        <v>2.780541721658647E-4</v>
      </c>
      <c r="Z961" s="313">
        <v>-1.1079222070481398E-3</v>
      </c>
      <c r="AA961" s="313">
        <v>1.9699227765855198E-2</v>
      </c>
      <c r="AB961" s="313">
        <v>1.6050846885016679E-2</v>
      </c>
      <c r="AC961" s="313">
        <v>8.5059528222006797E-3</v>
      </c>
      <c r="AD961" s="313">
        <v>7.7925060904746601E-3</v>
      </c>
      <c r="AE961" s="313">
        <v>4.2902383779039877E-3</v>
      </c>
      <c r="AF961" s="313">
        <v>4.3146299705967284E-3</v>
      </c>
      <c r="AG961" s="313">
        <v>4.3390548541848428E-3</v>
      </c>
      <c r="AH961" s="313">
        <v>4.363511885299598E-3</v>
      </c>
      <c r="AI961" s="313">
        <v>4.3879999143734416E-3</v>
      </c>
      <c r="AJ961" s="313">
        <v>4.4125177858507225E-3</v>
      </c>
      <c r="AK961" s="313">
        <v>4.4370643383990771E-3</v>
      </c>
      <c r="AL961" s="313">
        <v>4.4616384051248126E-3</v>
      </c>
      <c r="AM961" s="313">
        <v>4.4862388137898446E-3</v>
      </c>
      <c r="AN961" s="313">
        <v>4.5108643870308551E-3</v>
      </c>
      <c r="AO961" s="313">
        <v>4.5355139425806712E-3</v>
      </c>
      <c r="AP961" s="313">
        <v>4.5601862934916415E-3</v>
      </c>
      <c r="AQ961" s="313">
        <v>4.5601862934916415E-3</v>
      </c>
      <c r="AR961" s="313">
        <v>4.5601862934916415E-3</v>
      </c>
      <c r="AS961" s="313">
        <v>4.5601862934916415E-3</v>
      </c>
      <c r="AT961" s="312"/>
      <c r="AU961" s="514"/>
    </row>
    <row r="962" spans="1:47" hidden="1" outlineLevel="1">
      <c r="A962" s="2"/>
      <c r="B962" s="55"/>
      <c r="C962" s="38"/>
      <c r="D962" s="38"/>
      <c r="E962" s="38"/>
      <c r="F962" s="38"/>
      <c r="G962" s="38"/>
      <c r="H962" s="38"/>
      <c r="I962" s="38"/>
      <c r="J962" s="38"/>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c r="AO962" s="5"/>
      <c r="AP962" s="5"/>
      <c r="AQ962" s="5"/>
      <c r="AR962" s="5"/>
      <c r="AS962" s="5"/>
      <c r="AT962" s="2"/>
      <c r="AU962" s="2"/>
    </row>
    <row r="963" spans="1:47" hidden="1" outlineLevel="1">
      <c r="A963" s="2"/>
      <c r="B963" s="2" t="s">
        <v>914</v>
      </c>
      <c r="C963" s="38"/>
      <c r="D963" s="38"/>
      <c r="E963" s="38"/>
      <c r="F963" s="38"/>
      <c r="G963" s="38"/>
      <c r="H963" s="38"/>
      <c r="I963" s="38"/>
      <c r="J963" s="38"/>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c r="AO963" s="5"/>
      <c r="AP963" s="5"/>
      <c r="AQ963" s="5"/>
      <c r="AR963" s="5"/>
      <c r="AS963" s="5"/>
      <c r="AT963" s="2"/>
      <c r="AU963" s="2"/>
    </row>
    <row r="964" spans="1:47" hidden="1" outlineLevel="1">
      <c r="A964" s="2"/>
      <c r="B964" s="2" t="s">
        <v>589</v>
      </c>
      <c r="C964" s="38" t="s">
        <v>846</v>
      </c>
      <c r="D964" s="38"/>
      <c r="E964" s="38"/>
      <c r="F964" s="38"/>
      <c r="G964" s="38"/>
      <c r="H964" s="38"/>
      <c r="I964" s="38"/>
      <c r="J964" s="38"/>
      <c r="K964" s="570">
        <v>456.84693281249986</v>
      </c>
      <c r="L964" s="19">
        <v>488.17500449062481</v>
      </c>
      <c r="M964" s="19">
        <v>487.37690167359347</v>
      </c>
      <c r="N964" s="19">
        <v>431.37446475365834</v>
      </c>
      <c r="O964" s="19">
        <v>446.15346156750024</v>
      </c>
      <c r="P964" s="19">
        <v>522.94234545507049</v>
      </c>
      <c r="Q964" s="19">
        <v>554.34301401732353</v>
      </c>
      <c r="R964" s="19">
        <v>633.6140650218008</v>
      </c>
      <c r="S964" s="19">
        <v>636.78213534690974</v>
      </c>
      <c r="T964" s="19">
        <v>679.44653841515265</v>
      </c>
      <c r="U964" s="19">
        <v>706.62439995175873</v>
      </c>
      <c r="V964" s="19">
        <v>700.97140475214474</v>
      </c>
      <c r="W964" s="19">
        <v>695.36363351412751</v>
      </c>
      <c r="X964" s="19">
        <v>709.27090618441002</v>
      </c>
      <c r="Y964" s="19">
        <v>702.17819712256596</v>
      </c>
      <c r="Z964" s="19">
        <v>730.26532500746862</v>
      </c>
      <c r="AA964" s="19">
        <v>759.47593800776735</v>
      </c>
      <c r="AB964" s="19">
        <v>767.07069738784503</v>
      </c>
      <c r="AC964" s="19">
        <v>782.41211133560194</v>
      </c>
      <c r="AD964" s="19">
        <v>782.41211133560194</v>
      </c>
      <c r="AE964" s="19">
        <v>782.41211133560194</v>
      </c>
      <c r="AF964" s="19">
        <v>782.41211133560194</v>
      </c>
      <c r="AG964" s="19">
        <v>782.41211133560194</v>
      </c>
      <c r="AH964" s="19">
        <v>782.41211133560194</v>
      </c>
      <c r="AI964" s="19">
        <v>782.41211133560194</v>
      </c>
      <c r="AJ964" s="19">
        <v>782.41211133560194</v>
      </c>
      <c r="AK964" s="19">
        <v>782.41211133560194</v>
      </c>
      <c r="AL964" s="19">
        <v>782.41211133560194</v>
      </c>
      <c r="AM964" s="19">
        <v>782.41211133560194</v>
      </c>
      <c r="AN964" s="19">
        <v>782.41211133560194</v>
      </c>
      <c r="AO964" s="19">
        <v>782.41211133560194</v>
      </c>
      <c r="AP964" s="19">
        <v>782.41211133560194</v>
      </c>
      <c r="AQ964" s="19">
        <v>782.41211133560194</v>
      </c>
      <c r="AR964" s="19">
        <v>782.41211133560194</v>
      </c>
      <c r="AS964" s="19">
        <v>782.41211133560194</v>
      </c>
      <c r="AT964" s="2"/>
      <c r="AU964" s="2"/>
    </row>
    <row r="965" spans="1:47" hidden="1" outlineLevel="1">
      <c r="A965" s="2"/>
      <c r="B965" s="2" t="s">
        <v>590</v>
      </c>
      <c r="C965" s="38" t="s">
        <v>846</v>
      </c>
      <c r="D965" s="38"/>
      <c r="E965" s="38"/>
      <c r="F965" s="38"/>
      <c r="G965" s="38"/>
      <c r="H965" s="38"/>
      <c r="I965" s="38"/>
      <c r="J965" s="38"/>
      <c r="K965" s="570">
        <v>178.16840999999999</v>
      </c>
      <c r="L965" s="19">
        <v>255.79893149999992</v>
      </c>
      <c r="M965" s="19">
        <v>310.63582744031243</v>
      </c>
      <c r="N965" s="19">
        <v>319.72460328800577</v>
      </c>
      <c r="O965" s="19">
        <v>276.96547452504416</v>
      </c>
      <c r="P965" s="19">
        <v>295.74719576627371</v>
      </c>
      <c r="Q965" s="19">
        <v>349.67756675894708</v>
      </c>
      <c r="R965" s="19">
        <v>399.6814588054765</v>
      </c>
      <c r="S965" s="19">
        <v>456.83590741465963</v>
      </c>
      <c r="T965" s="19">
        <v>487.44391321144178</v>
      </c>
      <c r="U965" s="19">
        <v>526.43942626835712</v>
      </c>
      <c r="V965" s="19">
        <v>563.29018610714218</v>
      </c>
      <c r="W965" s="19">
        <v>597.08759727357062</v>
      </c>
      <c r="X965" s="19">
        <v>603.05847324630633</v>
      </c>
      <c r="Y965" s="19">
        <v>590.9973037813802</v>
      </c>
      <c r="Z965" s="19">
        <v>579.17735770575257</v>
      </c>
      <c r="AA965" s="19">
        <v>584.96913128281005</v>
      </c>
      <c r="AB965" s="19">
        <v>584.96913128281005</v>
      </c>
      <c r="AC965" s="19">
        <v>584.96913128281005</v>
      </c>
      <c r="AD965" s="19">
        <v>590.81882259563815</v>
      </c>
      <c r="AE965" s="19">
        <v>596.7270108215946</v>
      </c>
      <c r="AF965" s="19">
        <v>602.69428092981059</v>
      </c>
      <c r="AG965" s="19">
        <v>608.72122373910861</v>
      </c>
      <c r="AH965" s="19">
        <v>614.80843597649982</v>
      </c>
      <c r="AI965" s="19">
        <v>620.95652033626482</v>
      </c>
      <c r="AJ965" s="19">
        <v>627.16608553962749</v>
      </c>
      <c r="AK965" s="19">
        <v>633.43774639502374</v>
      </c>
      <c r="AL965" s="19">
        <v>639.77212385897394</v>
      </c>
      <c r="AM965" s="19">
        <v>646.16984509756367</v>
      </c>
      <c r="AN965" s="19">
        <v>652.63154354853941</v>
      </c>
      <c r="AO965" s="19">
        <v>659.15785898402476</v>
      </c>
      <c r="AP965" s="19">
        <v>665.74943757386507</v>
      </c>
      <c r="AQ965" s="19">
        <v>665.74943757386507</v>
      </c>
      <c r="AR965" s="19">
        <v>665.74943757386507</v>
      </c>
      <c r="AS965" s="19">
        <v>665.74943757386507</v>
      </c>
      <c r="AT965" s="2"/>
      <c r="AU965" s="2"/>
    </row>
    <row r="966" spans="1:47" hidden="1" outlineLevel="1">
      <c r="A966" s="2"/>
      <c r="B966" s="2" t="s">
        <v>140</v>
      </c>
      <c r="C966" s="38" t="s">
        <v>846</v>
      </c>
      <c r="D966" s="38"/>
      <c r="E966" s="38"/>
      <c r="F966" s="38"/>
      <c r="G966" s="38"/>
      <c r="H966" s="38"/>
      <c r="I966" s="38"/>
      <c r="J966" s="38"/>
      <c r="K966" s="570">
        <v>635.01534281249985</v>
      </c>
      <c r="L966" s="19">
        <v>743.9739359906248</v>
      </c>
      <c r="M966" s="19">
        <v>798.01272911390583</v>
      </c>
      <c r="N966" s="19">
        <v>751.09906804166417</v>
      </c>
      <c r="O966" s="19">
        <v>723.11893609254435</v>
      </c>
      <c r="P966" s="19">
        <v>818.68954122134414</v>
      </c>
      <c r="Q966" s="19">
        <v>904.02058077627066</v>
      </c>
      <c r="R966" s="19">
        <v>1033.2955238272773</v>
      </c>
      <c r="S966" s="19">
        <v>1093.6180427615693</v>
      </c>
      <c r="T966" s="19">
        <v>1166.8904516265943</v>
      </c>
      <c r="U966" s="19">
        <v>1233.063826220116</v>
      </c>
      <c r="V966" s="19">
        <v>1264.261590859287</v>
      </c>
      <c r="W966" s="19">
        <v>1292.451230787698</v>
      </c>
      <c r="X966" s="19">
        <v>1312.3293794307165</v>
      </c>
      <c r="Y966" s="19">
        <v>1293.1755009039462</v>
      </c>
      <c r="Z966" s="19">
        <v>1309.4426827132211</v>
      </c>
      <c r="AA966" s="19">
        <v>1344.4450692905775</v>
      </c>
      <c r="AB966" s="19">
        <v>1352.039828670655</v>
      </c>
      <c r="AC966" s="19">
        <v>1367.381242618412</v>
      </c>
      <c r="AD966" s="19">
        <v>1373.2309339312401</v>
      </c>
      <c r="AE966" s="19">
        <v>1379.1391221571967</v>
      </c>
      <c r="AF966" s="19">
        <v>1385.1063922654125</v>
      </c>
      <c r="AG966" s="19">
        <v>1391.1333350747104</v>
      </c>
      <c r="AH966" s="19">
        <v>1397.2205473121016</v>
      </c>
      <c r="AI966" s="19">
        <v>1403.3686316718668</v>
      </c>
      <c r="AJ966" s="19">
        <v>1409.5781968752294</v>
      </c>
      <c r="AK966" s="19">
        <v>1415.8498577306257</v>
      </c>
      <c r="AL966" s="19">
        <v>1422.1842351945759</v>
      </c>
      <c r="AM966" s="19">
        <v>1428.5819564331655</v>
      </c>
      <c r="AN966" s="19">
        <v>1435.0436548841412</v>
      </c>
      <c r="AO966" s="19">
        <v>1441.5699703196267</v>
      </c>
      <c r="AP966" s="19">
        <v>1448.161548909467</v>
      </c>
      <c r="AQ966" s="19">
        <v>1448.161548909467</v>
      </c>
      <c r="AR966" s="19">
        <v>1448.161548909467</v>
      </c>
      <c r="AS966" s="19">
        <v>1448.161548909467</v>
      </c>
      <c r="AT966" s="2"/>
      <c r="AU966" s="2"/>
    </row>
    <row r="967" spans="1:47" hidden="1" outlineLevel="1">
      <c r="A967" s="312"/>
      <c r="B967" s="758" t="s">
        <v>614</v>
      </c>
      <c r="C967" s="750" t="s">
        <v>733</v>
      </c>
      <c r="D967" s="750"/>
      <c r="E967" s="750"/>
      <c r="F967" s="750"/>
      <c r="G967" s="750"/>
      <c r="H967" s="750"/>
      <c r="I967" s="750"/>
      <c r="J967" s="750"/>
      <c r="K967" s="759">
        <v>0.28282623591513567</v>
      </c>
      <c r="L967" s="312">
        <v>0.17158418991192304</v>
      </c>
      <c r="M967" s="312">
        <v>7.2635331036599693E-2</v>
      </c>
      <c r="N967" s="312">
        <v>-5.8788111217641159E-2</v>
      </c>
      <c r="O967" s="312">
        <v>-3.7252252252252482E-2</v>
      </c>
      <c r="P967" s="312">
        <v>0.13216443431176961</v>
      </c>
      <c r="Q967" s="312">
        <v>0.10422881355932212</v>
      </c>
      <c r="R967" s="312">
        <v>0.14300000000000002</v>
      </c>
      <c r="S967" s="312">
        <v>5.8378767296755729E-2</v>
      </c>
      <c r="T967" s="312">
        <v>6.6999999999999948E-2</v>
      </c>
      <c r="U967" s="312">
        <v>5.6709157660240317E-2</v>
      </c>
      <c r="V967" s="313">
        <v>2.5301013601871647E-2</v>
      </c>
      <c r="W967" s="313">
        <v>2.229731578672034E-2</v>
      </c>
      <c r="X967" s="312">
        <v>1.5380192435503703E-2</v>
      </c>
      <c r="Y967" s="312">
        <v>-1.4595328601939239E-2</v>
      </c>
      <c r="Z967" s="313">
        <v>1.2579253007734881E-2</v>
      </c>
      <c r="AA967" s="313">
        <v>2.6730751211523129E-2</v>
      </c>
      <c r="AB967" s="313">
        <v>5.6489919547884071E-3</v>
      </c>
      <c r="AC967" s="313">
        <v>1.1346865397331429E-2</v>
      </c>
      <c r="AD967" s="313">
        <v>4.2780251260625679E-3</v>
      </c>
      <c r="AE967" s="313">
        <v>4.3023996037161449E-3</v>
      </c>
      <c r="AF967" s="313">
        <v>4.3268079429739092E-3</v>
      </c>
      <c r="AG967" s="313">
        <v>4.3512490036528018E-3</v>
      </c>
      <c r="AH967" s="313">
        <v>4.3757216392663612E-3</v>
      </c>
      <c r="AI967" s="313">
        <v>4.4002246972336678E-3</v>
      </c>
      <c r="AJ967" s="313">
        <v>4.4247570190913965E-3</v>
      </c>
      <c r="AK967" s="313">
        <v>4.449317440706313E-3</v>
      </c>
      <c r="AL967" s="313">
        <v>4.4739047924919895E-3</v>
      </c>
      <c r="AM967" s="313">
        <v>4.4985178996266306E-3</v>
      </c>
      <c r="AN967" s="313">
        <v>4.5231555822733416E-3</v>
      </c>
      <c r="AO967" s="313">
        <v>4.5478166558021726E-3</v>
      </c>
      <c r="AP967" s="313">
        <v>4.5724999310152725E-3</v>
      </c>
      <c r="AQ967" s="313">
        <v>4.5724999310152725E-3</v>
      </c>
      <c r="AR967" s="313">
        <v>4.5724999310152725E-3</v>
      </c>
      <c r="AS967" s="313">
        <v>4.5724999310152725E-3</v>
      </c>
      <c r="AT967" s="312"/>
      <c r="AU967" s="514"/>
    </row>
    <row r="968" spans="1:47" hidden="1" outlineLevel="1">
      <c r="A968" s="2"/>
      <c r="B968" s="2" t="s">
        <v>591</v>
      </c>
      <c r="C968" s="38" t="s">
        <v>846</v>
      </c>
      <c r="D968" s="38"/>
      <c r="E968" s="38"/>
      <c r="F968" s="38"/>
      <c r="G968" s="38"/>
      <c r="H968" s="38"/>
      <c r="I968" s="38"/>
      <c r="J968" s="38"/>
      <c r="K968" s="570">
        <v>430.55409140624988</v>
      </c>
      <c r="L968" s="19">
        <v>472.51096865156234</v>
      </c>
      <c r="M968" s="19">
        <v>487.77595308210914</v>
      </c>
      <c r="N968" s="19">
        <v>459.3756832136259</v>
      </c>
      <c r="O968" s="19">
        <v>438.76396316057929</v>
      </c>
      <c r="P968" s="19">
        <v>484.54790351128537</v>
      </c>
      <c r="Q968" s="19">
        <v>538.64267973619701</v>
      </c>
      <c r="R968" s="19">
        <v>593.97853951956222</v>
      </c>
      <c r="S968" s="19">
        <v>635.19810018435533</v>
      </c>
      <c r="T968" s="19">
        <v>658.11433688103125</v>
      </c>
      <c r="U968" s="19">
        <v>693.03546918345569</v>
      </c>
      <c r="V968" s="19">
        <v>703.79790235195173</v>
      </c>
      <c r="W968" s="19">
        <v>698.16751913313612</v>
      </c>
      <c r="X968" s="19">
        <v>702.31726984926877</v>
      </c>
      <c r="Y968" s="19">
        <v>705.72455165348799</v>
      </c>
      <c r="Z968" s="19">
        <v>716.22176106501729</v>
      </c>
      <c r="AA968" s="19">
        <v>744.87063150761799</v>
      </c>
      <c r="AB968" s="19">
        <v>763.27331769780619</v>
      </c>
      <c r="AC968" s="19">
        <v>774.74140436172343</v>
      </c>
      <c r="AD968" s="19">
        <v>782.41211133560194</v>
      </c>
      <c r="AE968" s="19">
        <v>782.41211133560194</v>
      </c>
      <c r="AF968" s="19">
        <v>782.41211133560194</v>
      </c>
      <c r="AG968" s="19">
        <v>782.41211133560194</v>
      </c>
      <c r="AH968" s="19">
        <v>782.41211133560194</v>
      </c>
      <c r="AI968" s="19">
        <v>782.41211133560194</v>
      </c>
      <c r="AJ968" s="19">
        <v>782.41211133560194</v>
      </c>
      <c r="AK968" s="19">
        <v>782.41211133560194</v>
      </c>
      <c r="AL968" s="19">
        <v>782.41211133560194</v>
      </c>
      <c r="AM968" s="19">
        <v>782.41211133560194</v>
      </c>
      <c r="AN968" s="19">
        <v>782.41211133560194</v>
      </c>
      <c r="AO968" s="19">
        <v>782.41211133560194</v>
      </c>
      <c r="AP968" s="19">
        <v>782.41211133560194</v>
      </c>
      <c r="AQ968" s="19">
        <v>782.41211133560194</v>
      </c>
      <c r="AR968" s="19">
        <v>782.41211133560194</v>
      </c>
      <c r="AS968" s="19">
        <v>782.41211133560194</v>
      </c>
      <c r="AT968" s="2"/>
      <c r="AU968" s="2"/>
    </row>
    <row r="969" spans="1:47" hidden="1" outlineLevel="1">
      <c r="A969" s="2"/>
      <c r="B969" s="2" t="s">
        <v>379</v>
      </c>
      <c r="C969" s="38" t="s">
        <v>846</v>
      </c>
      <c r="D969" s="38"/>
      <c r="E969" s="38"/>
      <c r="F969" s="38"/>
      <c r="G969" s="38"/>
      <c r="H969" s="38"/>
      <c r="I969" s="38"/>
      <c r="J969" s="38"/>
      <c r="K969" s="570">
        <v>134.45995499999998</v>
      </c>
      <c r="L969" s="19">
        <v>216.98367074999996</v>
      </c>
      <c r="M969" s="19">
        <v>283.21737947015617</v>
      </c>
      <c r="N969" s="19">
        <v>315.1802153641591</v>
      </c>
      <c r="O969" s="19">
        <v>298.34503890652496</v>
      </c>
      <c r="P969" s="19">
        <v>286.35633514565893</v>
      </c>
      <c r="Q969" s="19">
        <v>322.71238126261039</v>
      </c>
      <c r="R969" s="19">
        <v>374.67951278221176</v>
      </c>
      <c r="S969" s="19">
        <v>428.25868311006809</v>
      </c>
      <c r="T969" s="19">
        <v>472.13991031305068</v>
      </c>
      <c r="U969" s="19">
        <v>506.94166973989945</v>
      </c>
      <c r="V969" s="19">
        <v>544.86480618774965</v>
      </c>
      <c r="W969" s="19">
        <v>580.1888916903564</v>
      </c>
      <c r="X969" s="19">
        <v>600.07303525993848</v>
      </c>
      <c r="Y969" s="19">
        <v>597.02788851384321</v>
      </c>
      <c r="Z969" s="19">
        <v>585.08733074356633</v>
      </c>
      <c r="AA969" s="19">
        <v>582.07324449428131</v>
      </c>
      <c r="AB969" s="19">
        <v>584.96913128281005</v>
      </c>
      <c r="AC969" s="19">
        <v>584.96913128281005</v>
      </c>
      <c r="AD969" s="19">
        <v>587.8939769392241</v>
      </c>
      <c r="AE969" s="19">
        <v>593.77291670861632</v>
      </c>
      <c r="AF969" s="19">
        <v>599.71064587570254</v>
      </c>
      <c r="AG969" s="19">
        <v>605.70775233445966</v>
      </c>
      <c r="AH969" s="19">
        <v>611.76482985780422</v>
      </c>
      <c r="AI969" s="19">
        <v>617.88247815638238</v>
      </c>
      <c r="AJ969" s="19">
        <v>624.06130293794615</v>
      </c>
      <c r="AK969" s="19">
        <v>630.30191596732561</v>
      </c>
      <c r="AL969" s="19">
        <v>636.60493512699884</v>
      </c>
      <c r="AM969" s="19">
        <v>642.97098447826875</v>
      </c>
      <c r="AN969" s="19">
        <v>649.40069432305154</v>
      </c>
      <c r="AO969" s="19">
        <v>655.89470126628203</v>
      </c>
      <c r="AP969" s="19">
        <v>662.45364827894491</v>
      </c>
      <c r="AQ969" s="19">
        <v>662.45364827894491</v>
      </c>
      <c r="AR969" s="19">
        <v>662.45364827894491</v>
      </c>
      <c r="AS969" s="19">
        <v>662.45364827894491</v>
      </c>
      <c r="AT969" s="2"/>
      <c r="AU969" s="2"/>
    </row>
    <row r="970" spans="1:47" hidden="1" outlineLevel="1">
      <c r="A970" s="2"/>
      <c r="B970" s="2" t="s">
        <v>816</v>
      </c>
      <c r="C970" s="38" t="s">
        <v>846</v>
      </c>
      <c r="D970" s="38"/>
      <c r="E970" s="38"/>
      <c r="F970" s="38"/>
      <c r="G970" s="38"/>
      <c r="H970" s="38"/>
      <c r="I970" s="38"/>
      <c r="J970" s="38"/>
      <c r="K970" s="570">
        <v>565.01404640624992</v>
      </c>
      <c r="L970" s="19">
        <v>689.49463940156227</v>
      </c>
      <c r="M970" s="19">
        <v>770.99333255226531</v>
      </c>
      <c r="N970" s="19">
        <v>774.555898577785</v>
      </c>
      <c r="O970" s="19">
        <v>737.10900206710426</v>
      </c>
      <c r="P970" s="19">
        <v>770.90423865694424</v>
      </c>
      <c r="Q970" s="19">
        <v>861.3550609988074</v>
      </c>
      <c r="R970" s="19">
        <v>968.65805230177398</v>
      </c>
      <c r="S970" s="19">
        <v>1063.4567832944235</v>
      </c>
      <c r="T970" s="19">
        <v>1130.2542471940819</v>
      </c>
      <c r="U970" s="19">
        <v>1199.9771389233551</v>
      </c>
      <c r="V970" s="19">
        <v>1248.6627085397013</v>
      </c>
      <c r="W970" s="19">
        <v>1278.3564108234925</v>
      </c>
      <c r="X970" s="19">
        <v>1302.3903051092072</v>
      </c>
      <c r="Y970" s="19">
        <v>1302.7524401673313</v>
      </c>
      <c r="Z970" s="19">
        <v>1301.3090918085836</v>
      </c>
      <c r="AA970" s="19">
        <v>1326.9438760018993</v>
      </c>
      <c r="AB970" s="19">
        <v>1348.2424489806162</v>
      </c>
      <c r="AC970" s="19">
        <v>1359.7105356445336</v>
      </c>
      <c r="AD970" s="19">
        <v>1370.3060882748259</v>
      </c>
      <c r="AE970" s="19">
        <v>1376.1850280442181</v>
      </c>
      <c r="AF970" s="19">
        <v>1382.1227572113044</v>
      </c>
      <c r="AG970" s="19">
        <v>1388.1198636700615</v>
      </c>
      <c r="AH970" s="19">
        <v>1394.176941193406</v>
      </c>
      <c r="AI970" s="19">
        <v>1400.2945894919844</v>
      </c>
      <c r="AJ970" s="19">
        <v>1406.4734142735481</v>
      </c>
      <c r="AK970" s="19">
        <v>1412.7140273029277</v>
      </c>
      <c r="AL970" s="19">
        <v>1419.0170464626008</v>
      </c>
      <c r="AM970" s="19">
        <v>1425.3830958138706</v>
      </c>
      <c r="AN970" s="19">
        <v>1431.8128056586534</v>
      </c>
      <c r="AO970" s="19">
        <v>1438.3068126018838</v>
      </c>
      <c r="AP970" s="19">
        <v>1444.8657596145467</v>
      </c>
      <c r="AQ970" s="19">
        <v>1444.8657596145467</v>
      </c>
      <c r="AR970" s="19">
        <v>1444.8657596145467</v>
      </c>
      <c r="AS970" s="19">
        <v>1444.8657596145467</v>
      </c>
      <c r="AT970" s="2"/>
      <c r="AU970" s="2"/>
    </row>
    <row r="971" spans="1:47" hidden="1" outlineLevel="1">
      <c r="A971" s="312"/>
      <c r="B971" s="758" t="s">
        <v>614</v>
      </c>
      <c r="C971" s="750" t="s">
        <v>733</v>
      </c>
      <c r="D971" s="750"/>
      <c r="E971" s="750"/>
      <c r="F971" s="750"/>
      <c r="G971" s="750"/>
      <c r="H971" s="750"/>
      <c r="I971" s="750"/>
      <c r="J971" s="750"/>
      <c r="K971" s="759">
        <v>0.3797442015554704</v>
      </c>
      <c r="L971" s="312">
        <v>0.22031415641268803</v>
      </c>
      <c r="M971" s="312">
        <v>0.118200618965564</v>
      </c>
      <c r="N971" s="312">
        <v>4.6207481635753833E-3</v>
      </c>
      <c r="O971" s="312">
        <v>-4.8346280209652481E-2</v>
      </c>
      <c r="P971" s="312">
        <v>4.5848356884893082E-2</v>
      </c>
      <c r="Q971" s="312">
        <v>0.11733081465402884</v>
      </c>
      <c r="R971" s="312">
        <v>0.12457463380843259</v>
      </c>
      <c r="S971" s="312">
        <v>9.7866043406529268E-2</v>
      </c>
      <c r="T971" s="312">
        <v>6.2811639315262235E-2</v>
      </c>
      <c r="U971" s="312">
        <v>6.1687794496118054E-2</v>
      </c>
      <c r="V971" s="313">
        <v>4.0572080948165334E-2</v>
      </c>
      <c r="W971" s="313">
        <v>2.3780402890799746E-2</v>
      </c>
      <c r="X971" s="312">
        <v>1.8800620924044553E-2</v>
      </c>
      <c r="Y971" s="312">
        <v>2.780541721658647E-4</v>
      </c>
      <c r="Z971" s="313">
        <v>-1.1079222070482508E-3</v>
      </c>
      <c r="AA971" s="313">
        <v>1.969922776585542E-2</v>
      </c>
      <c r="AB971" s="313">
        <v>1.6050846885016679E-2</v>
      </c>
      <c r="AC971" s="313">
        <v>8.5059528222006797E-3</v>
      </c>
      <c r="AD971" s="313">
        <v>7.7925060904744381E-3</v>
      </c>
      <c r="AE971" s="313">
        <v>4.2902383779039877E-3</v>
      </c>
      <c r="AF971" s="313">
        <v>4.3146299705967284E-3</v>
      </c>
      <c r="AG971" s="313">
        <v>4.3390548541848428E-3</v>
      </c>
      <c r="AH971" s="313">
        <v>4.3635118852993759E-3</v>
      </c>
      <c r="AI971" s="313">
        <v>4.3879999143736637E-3</v>
      </c>
      <c r="AJ971" s="313">
        <v>4.4125177858505005E-3</v>
      </c>
      <c r="AK971" s="313">
        <v>4.4370643383990771E-3</v>
      </c>
      <c r="AL971" s="313">
        <v>4.4616384051245905E-3</v>
      </c>
      <c r="AM971" s="313">
        <v>4.4862388137898446E-3</v>
      </c>
      <c r="AN971" s="313">
        <v>4.5108643870310772E-3</v>
      </c>
      <c r="AO971" s="313">
        <v>4.5355139425806712E-3</v>
      </c>
      <c r="AP971" s="313">
        <v>4.5601862934916415E-3</v>
      </c>
      <c r="AQ971" s="313">
        <v>4.5601862934916415E-3</v>
      </c>
      <c r="AR971" s="313">
        <v>4.5601862934916415E-3</v>
      </c>
      <c r="AS971" s="313">
        <v>4.5601862934916415E-3</v>
      </c>
      <c r="AT971" s="312"/>
      <c r="AU971" s="514"/>
    </row>
    <row r="972" spans="1:47" hidden="1" outlineLevel="1">
      <c r="A972" s="2"/>
      <c r="B972" s="55"/>
      <c r="C972" s="38"/>
      <c r="D972" s="38"/>
      <c r="E972" s="38"/>
      <c r="F972" s="38"/>
      <c r="G972" s="38"/>
      <c r="H972" s="38"/>
      <c r="I972" s="38"/>
      <c r="J972" s="38"/>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c r="AO972" s="5"/>
      <c r="AP972" s="5"/>
      <c r="AQ972" s="5"/>
      <c r="AR972" s="5"/>
      <c r="AS972" s="5"/>
      <c r="AT972" s="2"/>
      <c r="AU972" s="2"/>
    </row>
    <row r="973" spans="1:47" hidden="1" outlineLevel="1">
      <c r="A973" s="2"/>
      <c r="B973" s="2" t="s">
        <v>605</v>
      </c>
      <c r="C973" s="38"/>
      <c r="D973" s="38"/>
      <c r="E973" s="38"/>
      <c r="F973" s="38"/>
      <c r="G973" s="38"/>
      <c r="H973" s="38"/>
      <c r="I973" s="38"/>
      <c r="J973" s="38"/>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c r="AO973" s="5"/>
      <c r="AP973" s="5"/>
      <c r="AQ973" s="5"/>
      <c r="AR973" s="5"/>
      <c r="AS973" s="5"/>
      <c r="AT973" s="2"/>
      <c r="AU973" s="2"/>
    </row>
    <row r="974" spans="1:47" hidden="1" outlineLevel="1">
      <c r="A974" s="312"/>
      <c r="B974" s="514" t="s">
        <v>606</v>
      </c>
      <c r="C974" s="750" t="s">
        <v>733</v>
      </c>
      <c r="D974" s="750"/>
      <c r="E974" s="750"/>
      <c r="F974" s="750"/>
      <c r="G974" s="750"/>
      <c r="H974" s="750"/>
      <c r="I974" s="750"/>
      <c r="J974" s="750"/>
      <c r="K974" s="759">
        <v>0</v>
      </c>
      <c r="L974" s="759">
        <v>0</v>
      </c>
      <c r="M974" s="708">
        <v>0</v>
      </c>
      <c r="N974" s="708">
        <v>0.1</v>
      </c>
      <c r="O974" s="313">
        <v>0.2</v>
      </c>
      <c r="P974" s="313">
        <v>0.2</v>
      </c>
      <c r="Q974" s="708">
        <v>0.2</v>
      </c>
      <c r="R974" s="313">
        <v>0.2</v>
      </c>
      <c r="S974" s="743">
        <v>0.2</v>
      </c>
      <c r="T974" s="755">
        <v>0.2</v>
      </c>
      <c r="U974" s="755">
        <v>0.2</v>
      </c>
      <c r="V974" s="755">
        <v>0.2</v>
      </c>
      <c r="W974" s="755">
        <v>0.2</v>
      </c>
      <c r="X974" s="755">
        <v>0.2</v>
      </c>
      <c r="Y974" s="755">
        <v>0.2</v>
      </c>
      <c r="Z974" s="755">
        <v>0.2</v>
      </c>
      <c r="AA974" s="755">
        <v>0.2</v>
      </c>
      <c r="AB974" s="755">
        <v>0.2</v>
      </c>
      <c r="AC974" s="755">
        <v>0.2</v>
      </c>
      <c r="AD974" s="755">
        <v>0.2</v>
      </c>
      <c r="AE974" s="755">
        <v>0.2</v>
      </c>
      <c r="AF974" s="755">
        <v>0.2</v>
      </c>
      <c r="AG974" s="755">
        <v>0.2</v>
      </c>
      <c r="AH974" s="755">
        <v>0.2</v>
      </c>
      <c r="AI974" s="755">
        <v>0.2</v>
      </c>
      <c r="AJ974" s="755">
        <v>0.2</v>
      </c>
      <c r="AK974" s="755">
        <v>0.2</v>
      </c>
      <c r="AL974" s="755">
        <v>0.2</v>
      </c>
      <c r="AM974" s="755">
        <v>0.2</v>
      </c>
      <c r="AN974" s="755">
        <v>0.2</v>
      </c>
      <c r="AO974" s="760">
        <v>0.2</v>
      </c>
      <c r="AP974" s="760">
        <v>0.2</v>
      </c>
      <c r="AQ974" s="760">
        <v>0.2</v>
      </c>
      <c r="AR974" s="760">
        <v>0.2</v>
      </c>
      <c r="AS974" s="760">
        <v>0.2</v>
      </c>
      <c r="AT974" s="312"/>
      <c r="AU974" s="514"/>
    </row>
    <row r="975" spans="1:47" hidden="1" outlineLevel="1">
      <c r="A975" s="312"/>
      <c r="B975" s="514" t="s">
        <v>607</v>
      </c>
      <c r="C975" s="750" t="s">
        <v>733</v>
      </c>
      <c r="D975" s="750"/>
      <c r="E975" s="750"/>
      <c r="F975" s="750"/>
      <c r="G975" s="750"/>
      <c r="H975" s="750"/>
      <c r="I975" s="750"/>
      <c r="J975" s="750"/>
      <c r="K975" s="759">
        <v>0</v>
      </c>
      <c r="L975" s="312">
        <v>0</v>
      </c>
      <c r="M975" s="313">
        <v>0</v>
      </c>
      <c r="N975" s="313">
        <v>0.1</v>
      </c>
      <c r="O975" s="313">
        <v>0.2</v>
      </c>
      <c r="P975" s="313">
        <v>0.2</v>
      </c>
      <c r="Q975" s="313">
        <v>0.2</v>
      </c>
      <c r="R975" s="313">
        <v>0.2</v>
      </c>
      <c r="S975" s="313">
        <v>0.2</v>
      </c>
      <c r="T975" s="312">
        <v>0.2</v>
      </c>
      <c r="U975" s="312">
        <v>0.2</v>
      </c>
      <c r="V975" s="313">
        <v>0.2</v>
      </c>
      <c r="W975" s="313">
        <v>0.2</v>
      </c>
      <c r="X975" s="312">
        <v>0.2</v>
      </c>
      <c r="Y975" s="312">
        <v>0.2</v>
      </c>
      <c r="Z975" s="313">
        <v>0.2</v>
      </c>
      <c r="AA975" s="313">
        <v>0.2</v>
      </c>
      <c r="AB975" s="313">
        <v>0.2</v>
      </c>
      <c r="AC975" s="313">
        <v>0.2</v>
      </c>
      <c r="AD975" s="313">
        <v>0.2</v>
      </c>
      <c r="AE975" s="313">
        <v>0.2</v>
      </c>
      <c r="AF975" s="313">
        <v>0.2</v>
      </c>
      <c r="AG975" s="313">
        <v>0.2</v>
      </c>
      <c r="AH975" s="313">
        <v>0.2</v>
      </c>
      <c r="AI975" s="313">
        <v>0.2</v>
      </c>
      <c r="AJ975" s="313">
        <v>0.2</v>
      </c>
      <c r="AK975" s="313">
        <v>0.2</v>
      </c>
      <c r="AL975" s="313">
        <v>0.2</v>
      </c>
      <c r="AM975" s="313">
        <v>0.2</v>
      </c>
      <c r="AN975" s="313">
        <v>0.2</v>
      </c>
      <c r="AO975" s="313">
        <v>0.2</v>
      </c>
      <c r="AP975" s="313">
        <v>0.2</v>
      </c>
      <c r="AQ975" s="313">
        <v>0.2</v>
      </c>
      <c r="AR975" s="313">
        <v>0.2</v>
      </c>
      <c r="AS975" s="313">
        <v>0.2</v>
      </c>
      <c r="AT975" s="312"/>
      <c r="AU975" s="514"/>
    </row>
    <row r="976" spans="1:47" hidden="1" outlineLevel="1">
      <c r="A976" s="2"/>
      <c r="B976" s="2" t="s">
        <v>608</v>
      </c>
      <c r="C976" s="38" t="s">
        <v>846</v>
      </c>
      <c r="D976" s="38"/>
      <c r="E976" s="38"/>
      <c r="F976" s="38"/>
      <c r="G976" s="38"/>
      <c r="H976" s="38"/>
      <c r="I976" s="38"/>
      <c r="J976" s="38"/>
      <c r="K976" s="570">
        <v>0</v>
      </c>
      <c r="L976" s="19">
        <v>0</v>
      </c>
      <c r="M976" s="19">
        <v>0</v>
      </c>
      <c r="N976" s="19">
        <v>47.930496083739818</v>
      </c>
      <c r="O976" s="19">
        <v>111.53836539187506</v>
      </c>
      <c r="P976" s="19">
        <v>130.73558636376762</v>
      </c>
      <c r="Q976" s="19">
        <v>138.58575350433088</v>
      </c>
      <c r="R976" s="19">
        <v>158.4035162554502</v>
      </c>
      <c r="S976" s="19">
        <v>159.19553383672744</v>
      </c>
      <c r="T976" s="19">
        <v>169.86163460378816</v>
      </c>
      <c r="U976" s="19">
        <v>176.65609998793968</v>
      </c>
      <c r="V976" s="19">
        <v>175.24285118803618</v>
      </c>
      <c r="W976" s="19">
        <v>173.84090837853188</v>
      </c>
      <c r="X976" s="19">
        <v>177.31772654610251</v>
      </c>
      <c r="Y976" s="19">
        <v>175.54454928064149</v>
      </c>
      <c r="Z976" s="19">
        <v>182.56633125186715</v>
      </c>
      <c r="AA976" s="19">
        <v>189.86898450194184</v>
      </c>
      <c r="AB976" s="19">
        <v>191.76767434696126</v>
      </c>
      <c r="AC976" s="19">
        <v>195.60302783390048</v>
      </c>
      <c r="AD976" s="19">
        <v>195.60302783390048</v>
      </c>
      <c r="AE976" s="19">
        <v>195.60302783390048</v>
      </c>
      <c r="AF976" s="19">
        <v>195.60302783390048</v>
      </c>
      <c r="AG976" s="19">
        <v>195.60302783390048</v>
      </c>
      <c r="AH976" s="19">
        <v>195.60302783390048</v>
      </c>
      <c r="AI976" s="19">
        <v>195.60302783390048</v>
      </c>
      <c r="AJ976" s="19">
        <v>195.60302783390048</v>
      </c>
      <c r="AK976" s="19">
        <v>195.60302783390048</v>
      </c>
      <c r="AL976" s="19">
        <v>195.60302783390048</v>
      </c>
      <c r="AM976" s="19">
        <v>195.60302783390048</v>
      </c>
      <c r="AN976" s="19">
        <v>195.60302783390048</v>
      </c>
      <c r="AO976" s="19">
        <v>195.60302783390048</v>
      </c>
      <c r="AP976" s="19">
        <v>195.60302783390048</v>
      </c>
      <c r="AQ976" s="19">
        <v>195.60302783390048</v>
      </c>
      <c r="AR976" s="19">
        <v>195.60302783390048</v>
      </c>
      <c r="AS976" s="19">
        <v>195.60302783390048</v>
      </c>
      <c r="AT976" s="2"/>
      <c r="AU976" s="2"/>
    </row>
    <row r="977" spans="1:47" hidden="1" outlineLevel="1">
      <c r="A977" s="2"/>
      <c r="B977" s="2" t="s">
        <v>609</v>
      </c>
      <c r="C977" s="38" t="s">
        <v>846</v>
      </c>
      <c r="D977" s="38"/>
      <c r="E977" s="38"/>
      <c r="F977" s="38"/>
      <c r="G977" s="38"/>
      <c r="H977" s="38"/>
      <c r="I977" s="38"/>
      <c r="J977" s="38"/>
      <c r="K977" s="570">
        <v>0</v>
      </c>
      <c r="L977" s="19">
        <v>0</v>
      </c>
      <c r="M977" s="19">
        <v>0</v>
      </c>
      <c r="N977" s="19">
        <v>35.524955920889532</v>
      </c>
      <c r="O977" s="19">
        <v>69.241368631261039</v>
      </c>
      <c r="P977" s="19">
        <v>73.936798941568426</v>
      </c>
      <c r="Q977" s="19">
        <v>87.41939168973677</v>
      </c>
      <c r="R977" s="19">
        <v>99.920364701369124</v>
      </c>
      <c r="S977" s="19">
        <v>114.20897685366491</v>
      </c>
      <c r="T977" s="19">
        <v>121.86097830286045</v>
      </c>
      <c r="U977" s="19">
        <v>131.60985656708928</v>
      </c>
      <c r="V977" s="19">
        <v>140.82254652678554</v>
      </c>
      <c r="W977" s="19">
        <v>149.27189931839266</v>
      </c>
      <c r="X977" s="19">
        <v>150.76461831157658</v>
      </c>
      <c r="Y977" s="19">
        <v>147.74932594534505</v>
      </c>
      <c r="Z977" s="19">
        <v>144.79433942643814</v>
      </c>
      <c r="AA977" s="19">
        <v>146.24228282070251</v>
      </c>
      <c r="AB977" s="19">
        <v>146.24228282070251</v>
      </c>
      <c r="AC977" s="19">
        <v>146.24228282070251</v>
      </c>
      <c r="AD977" s="19">
        <v>147.70470564890954</v>
      </c>
      <c r="AE977" s="19">
        <v>149.18175270539865</v>
      </c>
      <c r="AF977" s="19">
        <v>150.67357023245265</v>
      </c>
      <c r="AG977" s="19">
        <v>152.18030593477715</v>
      </c>
      <c r="AH977" s="19">
        <v>153.70210899412496</v>
      </c>
      <c r="AI977" s="19">
        <v>155.2391300840662</v>
      </c>
      <c r="AJ977" s="19">
        <v>156.79152138490687</v>
      </c>
      <c r="AK977" s="19">
        <v>158.35943659875593</v>
      </c>
      <c r="AL977" s="19">
        <v>159.94303096474349</v>
      </c>
      <c r="AM977" s="19">
        <v>161.54246127439092</v>
      </c>
      <c r="AN977" s="19">
        <v>163.15788588713485</v>
      </c>
      <c r="AO977" s="19">
        <v>164.78946474600619</v>
      </c>
      <c r="AP977" s="19">
        <v>166.43735939346627</v>
      </c>
      <c r="AQ977" s="19">
        <v>166.43735939346627</v>
      </c>
      <c r="AR977" s="19">
        <v>166.43735939346627</v>
      </c>
      <c r="AS977" s="19">
        <v>166.43735939346627</v>
      </c>
      <c r="AT977" s="2"/>
      <c r="AU977" s="2"/>
    </row>
    <row r="978" spans="1:47" hidden="1" outlineLevel="1">
      <c r="A978" s="2"/>
      <c r="B978" s="2" t="s">
        <v>634</v>
      </c>
      <c r="C978" s="38" t="s">
        <v>846</v>
      </c>
      <c r="D978" s="38"/>
      <c r="E978" s="38"/>
      <c r="F978" s="38"/>
      <c r="G978" s="38"/>
      <c r="H978" s="38"/>
      <c r="I978" s="38"/>
      <c r="J978" s="38"/>
      <c r="K978" s="570">
        <v>0</v>
      </c>
      <c r="L978" s="19">
        <v>0</v>
      </c>
      <c r="M978" s="19">
        <v>0</v>
      </c>
      <c r="N978" s="19">
        <v>83.45545200462935</v>
      </c>
      <c r="O978" s="19">
        <v>180.77973402313609</v>
      </c>
      <c r="P978" s="19">
        <v>204.67238530533604</v>
      </c>
      <c r="Q978" s="19">
        <v>226.00514519406767</v>
      </c>
      <c r="R978" s="19">
        <v>258.32388095681932</v>
      </c>
      <c r="S978" s="19">
        <v>273.40451069039233</v>
      </c>
      <c r="T978" s="19">
        <v>291.72261290664858</v>
      </c>
      <c r="U978" s="19">
        <v>308.26595655502899</v>
      </c>
      <c r="V978" s="19">
        <v>316.06539771482176</v>
      </c>
      <c r="W978" s="19">
        <v>323.11280769692451</v>
      </c>
      <c r="X978" s="19">
        <v>328.08234485767912</v>
      </c>
      <c r="Y978" s="19">
        <v>323.29387522598654</v>
      </c>
      <c r="Z978" s="19">
        <v>327.36067067830527</v>
      </c>
      <c r="AA978" s="19">
        <v>336.11126732264438</v>
      </c>
      <c r="AB978" s="19">
        <v>338.00995716766374</v>
      </c>
      <c r="AC978" s="19">
        <v>341.845310654603</v>
      </c>
      <c r="AD978" s="19">
        <v>343.30773348281002</v>
      </c>
      <c r="AE978" s="19">
        <v>344.78478053929916</v>
      </c>
      <c r="AF978" s="19">
        <v>346.27659806635313</v>
      </c>
      <c r="AG978" s="19">
        <v>347.78333376867761</v>
      </c>
      <c r="AH978" s="19">
        <v>349.30513682802541</v>
      </c>
      <c r="AI978" s="19">
        <v>350.84215791796669</v>
      </c>
      <c r="AJ978" s="19">
        <v>352.39454921880736</v>
      </c>
      <c r="AK978" s="19">
        <v>353.96246443265642</v>
      </c>
      <c r="AL978" s="19">
        <v>355.54605879864397</v>
      </c>
      <c r="AM978" s="19">
        <v>357.14548910829137</v>
      </c>
      <c r="AN978" s="19">
        <v>358.76091372103531</v>
      </c>
      <c r="AO978" s="19">
        <v>360.39249257990667</v>
      </c>
      <c r="AP978" s="19">
        <v>362.04038722736675</v>
      </c>
      <c r="AQ978" s="19">
        <v>362.04038722736675</v>
      </c>
      <c r="AR978" s="19">
        <v>362.04038722736675</v>
      </c>
      <c r="AS978" s="19">
        <v>362.04038722736675</v>
      </c>
      <c r="AT978" s="2"/>
      <c r="AU978" s="2"/>
    </row>
    <row r="979" spans="1:47" hidden="1" outlineLevel="1">
      <c r="A979" s="2"/>
      <c r="B979" s="2" t="s">
        <v>849</v>
      </c>
      <c r="C979" s="38" t="s">
        <v>846</v>
      </c>
      <c r="D979" s="38"/>
      <c r="E979" s="38"/>
      <c r="F979" s="38"/>
      <c r="G979" s="38"/>
      <c r="H979" s="38"/>
      <c r="I979" s="38"/>
      <c r="J979" s="38"/>
      <c r="K979" s="570">
        <v>0</v>
      </c>
      <c r="L979" s="19">
        <v>0</v>
      </c>
      <c r="M979" s="19">
        <v>0</v>
      </c>
      <c r="N979" s="19">
        <v>23.965248041869909</v>
      </c>
      <c r="O979" s="19">
        <v>79.734430737807443</v>
      </c>
      <c r="P979" s="19">
        <v>121.13697587782134</v>
      </c>
      <c r="Q979" s="19">
        <v>134.66066993404925</v>
      </c>
      <c r="R979" s="19">
        <v>148.49463487989055</v>
      </c>
      <c r="S979" s="19">
        <v>158.79952504608883</v>
      </c>
      <c r="T979" s="19">
        <v>164.52858422025781</v>
      </c>
      <c r="U979" s="19">
        <v>173.25886729586392</v>
      </c>
      <c r="V979" s="19">
        <v>175.94947558798793</v>
      </c>
      <c r="W979" s="19">
        <v>174.54187978328403</v>
      </c>
      <c r="X979" s="19">
        <v>175.57931746231719</v>
      </c>
      <c r="Y979" s="19">
        <v>176.431137913372</v>
      </c>
      <c r="Z979" s="19">
        <v>179.05544026625432</v>
      </c>
      <c r="AA979" s="19">
        <v>186.2176578769045</v>
      </c>
      <c r="AB979" s="19">
        <v>190.81832942445155</v>
      </c>
      <c r="AC979" s="19">
        <v>193.68535109043086</v>
      </c>
      <c r="AD979" s="19">
        <v>195.60302783390048</v>
      </c>
      <c r="AE979" s="19">
        <v>195.60302783390048</v>
      </c>
      <c r="AF979" s="19">
        <v>195.60302783390048</v>
      </c>
      <c r="AG979" s="19">
        <v>195.60302783390048</v>
      </c>
      <c r="AH979" s="19">
        <v>195.60302783390048</v>
      </c>
      <c r="AI979" s="19">
        <v>195.60302783390048</v>
      </c>
      <c r="AJ979" s="19">
        <v>195.60302783390048</v>
      </c>
      <c r="AK979" s="19">
        <v>195.60302783390048</v>
      </c>
      <c r="AL979" s="19">
        <v>195.60302783390048</v>
      </c>
      <c r="AM979" s="19">
        <v>195.60302783390048</v>
      </c>
      <c r="AN979" s="19">
        <v>195.60302783390048</v>
      </c>
      <c r="AO979" s="19">
        <v>195.60302783390048</v>
      </c>
      <c r="AP979" s="19">
        <v>195.60302783390048</v>
      </c>
      <c r="AQ979" s="19">
        <v>195.60302783390048</v>
      </c>
      <c r="AR979" s="19">
        <v>195.60302783390048</v>
      </c>
      <c r="AS979" s="19">
        <v>195.60302783390048</v>
      </c>
      <c r="AT979" s="2"/>
      <c r="AU979" s="2"/>
    </row>
    <row r="980" spans="1:47" hidden="1" outlineLevel="1">
      <c r="A980" s="2"/>
      <c r="B980" s="2" t="s">
        <v>850</v>
      </c>
      <c r="C980" s="38" t="s">
        <v>846</v>
      </c>
      <c r="D980" s="38"/>
      <c r="E980" s="38"/>
      <c r="F980" s="38"/>
      <c r="G980" s="38"/>
      <c r="H980" s="38"/>
      <c r="I980" s="38"/>
      <c r="J980" s="38"/>
      <c r="K980" s="570">
        <v>0</v>
      </c>
      <c r="L980" s="19">
        <v>0</v>
      </c>
      <c r="M980" s="19">
        <v>0</v>
      </c>
      <c r="N980" s="19">
        <v>17.762477960444766</v>
      </c>
      <c r="O980" s="19">
        <v>52.383162276075282</v>
      </c>
      <c r="P980" s="19">
        <v>71.589083786414733</v>
      </c>
      <c r="Q980" s="19">
        <v>80.678095315652598</v>
      </c>
      <c r="R980" s="19">
        <v>93.66987819555294</v>
      </c>
      <c r="S980" s="19">
        <v>107.06467077751702</v>
      </c>
      <c r="T980" s="19">
        <v>118.03497757826267</v>
      </c>
      <c r="U980" s="19">
        <v>126.73541743497486</v>
      </c>
      <c r="V980" s="19">
        <v>136.21620154693741</v>
      </c>
      <c r="W980" s="19">
        <v>145.0472229225891</v>
      </c>
      <c r="X980" s="19">
        <v>150.01825881498462</v>
      </c>
      <c r="Y980" s="19">
        <v>149.2569721284608</v>
      </c>
      <c r="Z980" s="19">
        <v>146.27183268589158</v>
      </c>
      <c r="AA980" s="19">
        <v>145.51831112357033</v>
      </c>
      <c r="AB980" s="19">
        <v>146.24228282070251</v>
      </c>
      <c r="AC980" s="19">
        <v>146.24228282070251</v>
      </c>
      <c r="AD980" s="19">
        <v>146.97349423480603</v>
      </c>
      <c r="AE980" s="19">
        <v>148.44322917715408</v>
      </c>
      <c r="AF980" s="19">
        <v>149.92766146892563</v>
      </c>
      <c r="AG980" s="19">
        <v>151.42693808361491</v>
      </c>
      <c r="AH980" s="19">
        <v>152.94120746445105</v>
      </c>
      <c r="AI980" s="19">
        <v>154.47061953909559</v>
      </c>
      <c r="AJ980" s="19">
        <v>156.01532573448654</v>
      </c>
      <c r="AK980" s="19">
        <v>157.5754789918314</v>
      </c>
      <c r="AL980" s="19">
        <v>159.15123378174971</v>
      </c>
      <c r="AM980" s="19">
        <v>160.74274611956719</v>
      </c>
      <c r="AN980" s="19">
        <v>162.35017358076288</v>
      </c>
      <c r="AO980" s="19">
        <v>163.97367531657051</v>
      </c>
      <c r="AP980" s="19">
        <v>165.61341206973623</v>
      </c>
      <c r="AQ980" s="19">
        <v>165.61341206973623</v>
      </c>
      <c r="AR980" s="19">
        <v>165.61341206973623</v>
      </c>
      <c r="AS980" s="19">
        <v>165.61341206973623</v>
      </c>
      <c r="AT980" s="2"/>
      <c r="AU980" s="2"/>
    </row>
    <row r="981" spans="1:47" hidden="1" outlineLevel="1">
      <c r="A981" s="2"/>
      <c r="B981" s="2" t="s">
        <v>851</v>
      </c>
      <c r="C981" s="38" t="s">
        <v>846</v>
      </c>
      <c r="D981" s="38"/>
      <c r="E981" s="38"/>
      <c r="F981" s="38"/>
      <c r="G981" s="38"/>
      <c r="H981" s="38"/>
      <c r="I981" s="38"/>
      <c r="J981" s="38"/>
      <c r="K981" s="570">
        <v>0</v>
      </c>
      <c r="L981" s="19">
        <v>0</v>
      </c>
      <c r="M981" s="19">
        <v>0</v>
      </c>
      <c r="N981" s="19">
        <v>41.727726002314675</v>
      </c>
      <c r="O981" s="19">
        <v>132.11759301388273</v>
      </c>
      <c r="P981" s="19">
        <v>192.72605966423606</v>
      </c>
      <c r="Q981" s="19">
        <v>215.33876524970185</v>
      </c>
      <c r="R981" s="19">
        <v>242.16451307544349</v>
      </c>
      <c r="S981" s="19">
        <v>265.86419582360583</v>
      </c>
      <c r="T981" s="19">
        <v>282.56356179852048</v>
      </c>
      <c r="U981" s="19">
        <v>299.99428473083879</v>
      </c>
      <c r="V981" s="19">
        <v>312.16567713492537</v>
      </c>
      <c r="W981" s="19">
        <v>319.58910270587313</v>
      </c>
      <c r="X981" s="19">
        <v>325.59757627730181</v>
      </c>
      <c r="Y981" s="19">
        <v>325.68811004183283</v>
      </c>
      <c r="Z981" s="19">
        <v>325.3272729521459</v>
      </c>
      <c r="AA981" s="19">
        <v>331.73596900047482</v>
      </c>
      <c r="AB981" s="19">
        <v>337.06061224515406</v>
      </c>
      <c r="AC981" s="19">
        <v>339.9276339111334</v>
      </c>
      <c r="AD981" s="19">
        <v>342.57652206870648</v>
      </c>
      <c r="AE981" s="19">
        <v>344.04625701105459</v>
      </c>
      <c r="AF981" s="19">
        <v>345.53068930282615</v>
      </c>
      <c r="AG981" s="19">
        <v>347.02996591751537</v>
      </c>
      <c r="AH981" s="19">
        <v>348.54423529835151</v>
      </c>
      <c r="AI981" s="19">
        <v>350.07364737299605</v>
      </c>
      <c r="AJ981" s="19">
        <v>351.61835356838702</v>
      </c>
      <c r="AK981" s="19">
        <v>353.17850682573192</v>
      </c>
      <c r="AL981" s="19">
        <v>354.75426161565019</v>
      </c>
      <c r="AM981" s="19">
        <v>356.34577395346764</v>
      </c>
      <c r="AN981" s="19">
        <v>357.95320141466334</v>
      </c>
      <c r="AO981" s="19">
        <v>359.57670315047096</v>
      </c>
      <c r="AP981" s="19">
        <v>361.21643990363668</v>
      </c>
      <c r="AQ981" s="19">
        <v>361.21643990363668</v>
      </c>
      <c r="AR981" s="19">
        <v>361.21643990363668</v>
      </c>
      <c r="AS981" s="19">
        <v>361.21643990363668</v>
      </c>
      <c r="AT981" s="2"/>
      <c r="AU981" s="2"/>
    </row>
    <row r="982" spans="1:47" hidden="1" outlineLevel="1">
      <c r="A982" s="2"/>
      <c r="B982" s="2"/>
      <c r="C982" s="38"/>
      <c r="D982" s="38"/>
      <c r="E982" s="38"/>
      <c r="F982" s="38"/>
      <c r="G982" s="38"/>
      <c r="H982" s="38"/>
      <c r="I982" s="38"/>
      <c r="J982" s="38"/>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c r="AO982" s="5"/>
      <c r="AP982" s="5"/>
      <c r="AQ982" s="5"/>
      <c r="AR982" s="5"/>
      <c r="AS982" s="5"/>
      <c r="AT982" s="2"/>
      <c r="AU982" s="2"/>
    </row>
    <row r="983" spans="1:47" hidden="1" outlineLevel="1">
      <c r="A983" s="2"/>
      <c r="B983" s="2" t="s">
        <v>852</v>
      </c>
      <c r="C983" s="38"/>
      <c r="D983" s="38"/>
      <c r="E983" s="38"/>
      <c r="F983" s="38"/>
      <c r="G983" s="38"/>
      <c r="H983" s="38"/>
      <c r="I983" s="38"/>
      <c r="J983" s="38"/>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c r="AO983" s="5"/>
      <c r="AP983" s="5"/>
      <c r="AQ983" s="5"/>
      <c r="AR983" s="5"/>
      <c r="AS983" s="5"/>
      <c r="AT983" s="2"/>
      <c r="AU983" s="2"/>
    </row>
    <row r="984" spans="1:47" hidden="1" outlineLevel="1">
      <c r="A984" s="2"/>
      <c r="B984" s="2" t="s">
        <v>853</v>
      </c>
      <c r="C984" s="38" t="s">
        <v>846</v>
      </c>
      <c r="D984" s="38"/>
      <c r="E984" s="38"/>
      <c r="F984" s="38"/>
      <c r="G984" s="38"/>
      <c r="H984" s="38"/>
      <c r="I984" s="38"/>
      <c r="J984" s="38"/>
      <c r="K984" s="6"/>
      <c r="L984" s="6"/>
      <c r="M984" s="2"/>
      <c r="N984" s="19">
        <v>223.31100000000001</v>
      </c>
      <c r="O984" s="19">
        <v>195.54083999999997</v>
      </c>
      <c r="P984" s="19">
        <v>157.43815188749994</v>
      </c>
      <c r="Q984" s="19">
        <v>123.43821057562495</v>
      </c>
      <c r="R984" s="19">
        <v>178.18866779366803</v>
      </c>
      <c r="S984" s="19">
        <v>174.54595009130381</v>
      </c>
      <c r="T984" s="19">
        <v>171.317983429875</v>
      </c>
      <c r="U984" s="19">
        <v>90.437442117120497</v>
      </c>
      <c r="V984" s="19">
        <v>71.331101497693396</v>
      </c>
      <c r="W984" s="19">
        <v>175.75063007722002</v>
      </c>
      <c r="X984" s="19">
        <v>0</v>
      </c>
      <c r="Y984" s="19"/>
      <c r="Z984" s="19"/>
      <c r="AA984" s="19"/>
      <c r="AB984" s="19"/>
      <c r="AC984" s="19"/>
      <c r="AD984" s="19"/>
      <c r="AE984" s="19"/>
      <c r="AF984" s="19"/>
      <c r="AG984" s="19"/>
      <c r="AH984" s="19"/>
      <c r="AI984" s="19"/>
      <c r="AJ984" s="19"/>
      <c r="AK984" s="19"/>
      <c r="AL984" s="19"/>
      <c r="AM984" s="19"/>
      <c r="AN984" s="19"/>
      <c r="AO984" s="19"/>
      <c r="AP984" s="19"/>
      <c r="AQ984" s="19"/>
      <c r="AR984" s="19"/>
      <c r="AS984" s="19"/>
      <c r="AT984" s="2"/>
      <c r="AU984" s="2"/>
    </row>
    <row r="985" spans="1:47" hidden="1" outlineLevel="1">
      <c r="A985" s="2"/>
      <c r="B985" s="2" t="s">
        <v>854</v>
      </c>
      <c r="C985" s="38" t="s">
        <v>846</v>
      </c>
      <c r="D985" s="38"/>
      <c r="E985" s="38"/>
      <c r="F985" s="38"/>
      <c r="G985" s="38"/>
      <c r="H985" s="38"/>
      <c r="I985" s="38"/>
      <c r="J985" s="38"/>
      <c r="K985" s="6"/>
      <c r="L985" s="6"/>
      <c r="M985" s="2"/>
      <c r="N985" s="19">
        <v>111.6555</v>
      </c>
      <c r="O985" s="19">
        <v>209.42591999999999</v>
      </c>
      <c r="P985" s="19">
        <v>176.48949594374994</v>
      </c>
      <c r="Q985" s="19">
        <v>140.43818123156245</v>
      </c>
      <c r="R985" s="19">
        <v>150.81343918464648</v>
      </c>
      <c r="S985" s="19">
        <v>176.36730894248592</v>
      </c>
      <c r="T985" s="19">
        <v>172.9319667605894</v>
      </c>
      <c r="U985" s="19">
        <v>130.87771277349776</v>
      </c>
      <c r="V985" s="19">
        <v>80.884271807406947</v>
      </c>
      <c r="W985" s="19">
        <v>123.54086578745671</v>
      </c>
      <c r="X985" s="19"/>
      <c r="Y985" s="19"/>
      <c r="Z985" s="19"/>
      <c r="AA985" s="19"/>
      <c r="AB985" s="19"/>
      <c r="AC985" s="19"/>
      <c r="AD985" s="19"/>
      <c r="AE985" s="19"/>
      <c r="AF985" s="19"/>
      <c r="AG985" s="19"/>
      <c r="AH985" s="19"/>
      <c r="AI985" s="19"/>
      <c r="AJ985" s="19"/>
      <c r="AK985" s="19"/>
      <c r="AL985" s="19"/>
      <c r="AM985" s="19"/>
      <c r="AN985" s="19"/>
      <c r="AO985" s="19"/>
      <c r="AP985" s="19"/>
      <c r="AQ985" s="19"/>
      <c r="AR985" s="19"/>
      <c r="AS985" s="19"/>
      <c r="AT985" s="2"/>
      <c r="AU985" s="2"/>
    </row>
    <row r="986" spans="1:47" hidden="1" outlineLevel="1">
      <c r="A986" s="312"/>
      <c r="B986" s="758" t="s">
        <v>614</v>
      </c>
      <c r="C986" s="750" t="s">
        <v>733</v>
      </c>
      <c r="D986" s="750"/>
      <c r="E986" s="750"/>
      <c r="F986" s="750"/>
      <c r="G986" s="750"/>
      <c r="H986" s="750"/>
      <c r="I986" s="750"/>
      <c r="J986" s="750"/>
      <c r="K986" s="517"/>
      <c r="L986" s="517"/>
      <c r="M986" s="513"/>
      <c r="N986" s="513"/>
      <c r="O986" s="313">
        <v>-0.12435643564356447</v>
      </c>
      <c r="P986" s="313">
        <v>-0.19485795454545474</v>
      </c>
      <c r="Q986" s="313">
        <v>-0.2159574468085107</v>
      </c>
      <c r="R986" s="313">
        <v>0.44354545454545447</v>
      </c>
      <c r="S986" s="313">
        <v>-2.0443037974683498E-2</v>
      </c>
      <c r="T986" s="312">
        <v>-1.8493506493506673E-2</v>
      </c>
      <c r="U986" s="312">
        <v>-0.47210771276595753</v>
      </c>
      <c r="V986" s="313">
        <v>-0.2112658227848101</v>
      </c>
      <c r="W986" s="313">
        <v>1.463870967741935</v>
      </c>
      <c r="X986" s="312">
        <v>-1</v>
      </c>
      <c r="Y986" s="312"/>
      <c r="Z986" s="313"/>
      <c r="AA986" s="313"/>
      <c r="AB986" s="313"/>
      <c r="AC986" s="313"/>
      <c r="AD986" s="313"/>
      <c r="AE986" s="313"/>
      <c r="AF986" s="313"/>
      <c r="AG986" s="313"/>
      <c r="AH986" s="313"/>
      <c r="AI986" s="313"/>
      <c r="AJ986" s="313"/>
      <c r="AK986" s="313"/>
      <c r="AL986" s="313"/>
      <c r="AM986" s="313"/>
      <c r="AN986" s="313"/>
      <c r="AO986" s="313"/>
      <c r="AP986" s="313"/>
      <c r="AQ986" s="313"/>
      <c r="AR986" s="313"/>
      <c r="AS986" s="313"/>
      <c r="AT986" s="312"/>
      <c r="AU986" s="514"/>
    </row>
    <row r="987" spans="1:47" hidden="1" outlineLevel="1">
      <c r="A987" s="2"/>
      <c r="B987" s="2"/>
      <c r="C987" s="38"/>
      <c r="D987" s="38"/>
      <c r="E987" s="38"/>
      <c r="F987" s="38"/>
      <c r="G987" s="38"/>
      <c r="H987" s="38"/>
      <c r="I987" s="38"/>
      <c r="J987" s="38"/>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c r="AO987" s="5"/>
      <c r="AP987" s="5"/>
      <c r="AQ987" s="5"/>
      <c r="AR987" s="5"/>
      <c r="AS987" s="5"/>
      <c r="AT987" s="2"/>
      <c r="AU987" s="2"/>
    </row>
    <row r="988" spans="1:47" hidden="1" outlineLevel="1">
      <c r="A988" s="2"/>
      <c r="B988" s="6" t="s">
        <v>855</v>
      </c>
      <c r="C988" s="37" t="s">
        <v>846</v>
      </c>
      <c r="D988" s="37"/>
      <c r="E988" s="37"/>
      <c r="F988" s="37"/>
      <c r="G988" s="37"/>
      <c r="H988" s="37"/>
      <c r="I988" s="37"/>
      <c r="J988" s="37"/>
      <c r="K988" s="778">
        <v>635.01534281249985</v>
      </c>
      <c r="L988" s="24">
        <v>743.9739359906248</v>
      </c>
      <c r="M988" s="24">
        <v>798.01272911390583</v>
      </c>
      <c r="N988" s="24">
        <v>1057.8655200462933</v>
      </c>
      <c r="O988" s="24">
        <v>1099.4395101156804</v>
      </c>
      <c r="P988" s="24">
        <v>1180.8000784141802</v>
      </c>
      <c r="Q988" s="24">
        <v>1253.463936545963</v>
      </c>
      <c r="R988" s="24">
        <v>1469.8080725777645</v>
      </c>
      <c r="S988" s="24">
        <v>1541.5685035432655</v>
      </c>
      <c r="T988" s="24">
        <v>1629.9310479631181</v>
      </c>
      <c r="U988" s="24">
        <v>1631.7672248922654</v>
      </c>
      <c r="V988" s="24">
        <v>1651.6580900718018</v>
      </c>
      <c r="W988" s="24">
        <v>1791.3146685618426</v>
      </c>
      <c r="X988" s="24">
        <v>2396.5606742883951</v>
      </c>
      <c r="Y988" s="24">
        <v>2387.7413051299327</v>
      </c>
      <c r="Z988" s="24">
        <v>2423.5007209715263</v>
      </c>
      <c r="AA988" s="24">
        <v>2482.9876515448213</v>
      </c>
      <c r="AB988" s="24">
        <v>2508.5297270685505</v>
      </c>
      <c r="AC988" s="24">
        <v>2544.0760933278516</v>
      </c>
      <c r="AD988" s="24">
        <v>2568.0851982699833</v>
      </c>
      <c r="AE988" s="24">
        <v>2592.5013641695477</v>
      </c>
      <c r="AF988" s="24">
        <v>2617.3320010342786</v>
      </c>
      <c r="AG988" s="24">
        <v>2642.5846597599511</v>
      </c>
      <c r="AH988" s="24">
        <v>2668.2670348750216</v>
      </c>
      <c r="AI988" s="24">
        <v>2694.3869673394256</v>
      </c>
      <c r="AJ988" s="24">
        <v>2720.9524473986212</v>
      </c>
      <c r="AK988" s="24">
        <v>2747.9716174939581</v>
      </c>
      <c r="AL988" s="24">
        <v>2775.4527752305094</v>
      </c>
      <c r="AM988" s="24">
        <v>2803.4043764034923</v>
      </c>
      <c r="AN988" s="24">
        <v>2831.8350380844522</v>
      </c>
      <c r="AO988" s="24">
        <v>2860.7535417683948</v>
      </c>
      <c r="AP988" s="24">
        <v>2890.1688365830723</v>
      </c>
      <c r="AQ988" s="24">
        <v>2890.1688365830723</v>
      </c>
      <c r="AR988" s="24">
        <v>2890.1688365830723</v>
      </c>
      <c r="AS988" s="24">
        <v>2890.1688365830723</v>
      </c>
      <c r="AT988" s="2"/>
      <c r="AU988" s="2"/>
    </row>
    <row r="989" spans="1:47" hidden="1" outlineLevel="1">
      <c r="A989" s="2"/>
      <c r="B989" s="6" t="s">
        <v>856</v>
      </c>
      <c r="C989" s="37" t="s">
        <v>846</v>
      </c>
      <c r="D989" s="37"/>
      <c r="E989" s="37"/>
      <c r="F989" s="37"/>
      <c r="G989" s="37"/>
      <c r="H989" s="37"/>
      <c r="I989" s="37"/>
      <c r="J989" s="37"/>
      <c r="K989" s="778">
        <v>565.01404640624992</v>
      </c>
      <c r="L989" s="24">
        <v>689.49463940156227</v>
      </c>
      <c r="M989" s="24">
        <v>770.99333255226531</v>
      </c>
      <c r="N989" s="24">
        <v>927.93912458009959</v>
      </c>
      <c r="O989" s="24">
        <v>1078.6525150809869</v>
      </c>
      <c r="P989" s="24">
        <v>1140.1197942649303</v>
      </c>
      <c r="Q989" s="24">
        <v>1217.1320074800715</v>
      </c>
      <c r="R989" s="24">
        <v>1361.636004561864</v>
      </c>
      <c r="S989" s="24">
        <v>1505.6882880605149</v>
      </c>
      <c r="T989" s="24">
        <v>1585.7497757531917</v>
      </c>
      <c r="U989" s="24">
        <v>1630.8491364276915</v>
      </c>
      <c r="V989" s="24">
        <v>1641.7126574820336</v>
      </c>
      <c r="W989" s="24">
        <v>1721.4863793168224</v>
      </c>
      <c r="X989" s="24">
        <v>1627.9878813865089</v>
      </c>
      <c r="Y989" s="24">
        <v>2392.1509897091637</v>
      </c>
      <c r="Z989" s="24">
        <v>2405.6210130507297</v>
      </c>
      <c r="AA989" s="24">
        <v>2453.2441862581736</v>
      </c>
      <c r="AB989" s="24">
        <v>2495.7586893066859</v>
      </c>
      <c r="AC989" s="24">
        <v>2526.3029101982011</v>
      </c>
      <c r="AD989" s="24">
        <v>2556.0806457989174</v>
      </c>
      <c r="AE989" s="24">
        <v>2580.2932812197655</v>
      </c>
      <c r="AF989" s="24">
        <v>2604.9166826019132</v>
      </c>
      <c r="AG989" s="24">
        <v>2629.9583303971149</v>
      </c>
      <c r="AH989" s="24">
        <v>2655.4258473174864</v>
      </c>
      <c r="AI989" s="24">
        <v>2681.3270011072236</v>
      </c>
      <c r="AJ989" s="24">
        <v>2707.6697073690234</v>
      </c>
      <c r="AK989" s="24">
        <v>2734.4620324462894</v>
      </c>
      <c r="AL989" s="24">
        <v>2761.712196362234</v>
      </c>
      <c r="AM989" s="24">
        <v>2789.4285758170008</v>
      </c>
      <c r="AN989" s="24">
        <v>2817.6197072439722</v>
      </c>
      <c r="AO989" s="24">
        <v>2846.2942899264235</v>
      </c>
      <c r="AP989" s="24">
        <v>2875.4611891757336</v>
      </c>
      <c r="AQ989" s="24">
        <v>2875.4611891757336</v>
      </c>
      <c r="AR989" s="24">
        <v>2875.4611891757336</v>
      </c>
      <c r="AS989" s="24">
        <v>2875.4611891757336</v>
      </c>
      <c r="AT989" s="2"/>
      <c r="AU989" s="2"/>
    </row>
    <row r="990" spans="1:47" hidden="1" outlineLevel="1">
      <c r="A990" s="312"/>
      <c r="B990" s="758" t="s">
        <v>614</v>
      </c>
      <c r="C990" s="750" t="s">
        <v>733</v>
      </c>
      <c r="D990" s="750"/>
      <c r="E990" s="750"/>
      <c r="F990" s="750"/>
      <c r="G990" s="750"/>
      <c r="H990" s="750"/>
      <c r="I990" s="750"/>
      <c r="J990" s="750"/>
      <c r="K990" s="759">
        <v>0.3797442015554704</v>
      </c>
      <c r="L990" s="312">
        <v>0.22031415641268803</v>
      </c>
      <c r="M990" s="313">
        <v>0.118200618965564</v>
      </c>
      <c r="N990" s="313">
        <v>0.20356309892886792</v>
      </c>
      <c r="O990" s="313">
        <v>0.16241732513335538</v>
      </c>
      <c r="P990" s="313">
        <v>5.6985246244318333E-2</v>
      </c>
      <c r="Q990" s="313">
        <v>6.7547474925468975E-2</v>
      </c>
      <c r="R990" s="313">
        <v>0.11872499958403937</v>
      </c>
      <c r="S990" s="313">
        <v>0.10579353293834415</v>
      </c>
      <c r="T990" s="312">
        <v>5.3172684099047185E-2</v>
      </c>
      <c r="U990" s="312">
        <v>2.8440401735563059E-2</v>
      </c>
      <c r="V990" s="313">
        <v>6.6612667055998553E-3</v>
      </c>
      <c r="W990" s="313">
        <v>4.8591768767344057E-2</v>
      </c>
      <c r="X990" s="312">
        <v>-5.4312656233399093E-2</v>
      </c>
      <c r="Y990" s="312">
        <v>0.46939115275958931</v>
      </c>
      <c r="Z990" s="313">
        <v>5.6309252214901129E-3</v>
      </c>
      <c r="AA990" s="313">
        <v>1.9796623387093648E-2</v>
      </c>
      <c r="AB990" s="313">
        <v>1.7329910853007169E-2</v>
      </c>
      <c r="AC990" s="313">
        <v>1.2238451186160182E-2</v>
      </c>
      <c r="AD990" s="313">
        <v>1.1787080433034891E-2</v>
      </c>
      <c r="AE990" s="313">
        <v>9.4725631840462121E-3</v>
      </c>
      <c r="AF990" s="313">
        <v>9.5428692394639025E-3</v>
      </c>
      <c r="AG990" s="313">
        <v>9.6132240859960749E-3</v>
      </c>
      <c r="AH990" s="313">
        <v>9.6836199364900288E-3</v>
      </c>
      <c r="AI990" s="313">
        <v>9.7540489846110745E-3</v>
      </c>
      <c r="AJ990" s="313">
        <v>9.8245034085442384E-3</v>
      </c>
      <c r="AK990" s="313">
        <v>9.8949753747104019E-3</v>
      </c>
      <c r="AL990" s="313">
        <v>9.9654570414957622E-3</v>
      </c>
      <c r="AM990" s="313">
        <v>1.0035940562986623E-2</v>
      </c>
      <c r="AN990" s="313">
        <v>1.0106418092714398E-2</v>
      </c>
      <c r="AO990" s="313">
        <v>1.0176881787393066E-2</v>
      </c>
      <c r="AP990" s="313">
        <v>1.0247323810660403E-2</v>
      </c>
      <c r="AQ990" s="313">
        <v>1.0247323810660403E-2</v>
      </c>
      <c r="AR990" s="313">
        <v>1.0247323810660403E-2</v>
      </c>
      <c r="AS990" s="313">
        <v>1.0247323810660403E-2</v>
      </c>
      <c r="AT990" s="312"/>
      <c r="AU990" s="514"/>
    </row>
    <row r="991" spans="1:47" hidden="1" outlineLevel="1">
      <c r="A991" s="2"/>
      <c r="B991" s="2"/>
      <c r="C991" s="38"/>
      <c r="D991" s="38"/>
      <c r="E991" s="38"/>
      <c r="F991" s="38"/>
      <c r="G991" s="38"/>
      <c r="H991" s="38"/>
      <c r="I991" s="38"/>
      <c r="J991" s="38"/>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c r="AO991" s="5"/>
      <c r="AP991" s="5"/>
      <c r="AQ991" s="5"/>
      <c r="AR991" s="5"/>
      <c r="AS991" s="5"/>
      <c r="AT991" s="2"/>
      <c r="AU991" s="2"/>
    </row>
    <row r="992" spans="1:47" hidden="1" outlineLevel="1">
      <c r="A992" s="2"/>
      <c r="B992" s="2" t="s">
        <v>857</v>
      </c>
      <c r="C992" s="38"/>
      <c r="D992" s="38"/>
      <c r="E992" s="38"/>
      <c r="F992" s="38"/>
      <c r="G992" s="38"/>
      <c r="H992" s="38"/>
      <c r="I992" s="38"/>
      <c r="J992" s="38"/>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c r="AO992" s="5"/>
      <c r="AP992" s="5"/>
      <c r="AQ992" s="5"/>
      <c r="AR992" s="5"/>
      <c r="AS992" s="5"/>
      <c r="AT992" s="2"/>
      <c r="AU992" s="2"/>
    </row>
    <row r="993" spans="1:47" hidden="1" outlineLevel="1">
      <c r="A993" s="2"/>
      <c r="B993" s="2" t="s">
        <v>858</v>
      </c>
      <c r="C993" s="38"/>
      <c r="D993" s="38"/>
      <c r="E993" s="38"/>
      <c r="F993" s="38"/>
      <c r="G993" s="38"/>
      <c r="H993" s="38"/>
      <c r="I993" s="38"/>
      <c r="J993" s="38"/>
      <c r="K993" s="80"/>
      <c r="L993" s="6"/>
      <c r="M993" s="2"/>
      <c r="N993" s="2"/>
      <c r="O993" s="2"/>
      <c r="P993" s="2"/>
      <c r="Q993" s="2"/>
      <c r="R993" s="2"/>
      <c r="S993" s="2"/>
      <c r="T993" s="6"/>
      <c r="U993" s="6"/>
      <c r="V993" s="2"/>
      <c r="W993" s="6"/>
      <c r="X993" s="6"/>
      <c r="Y993" s="6"/>
      <c r="Z993" s="6"/>
      <c r="AA993" s="6"/>
      <c r="AB993" s="6"/>
      <c r="AC993" s="6"/>
      <c r="AD993" s="6"/>
      <c r="AE993" s="6"/>
      <c r="AF993" s="6"/>
      <c r="AG993" s="6"/>
      <c r="AH993" s="6"/>
      <c r="AI993" s="6"/>
      <c r="AJ993" s="6"/>
      <c r="AK993" s="6"/>
      <c r="AL993" s="6"/>
      <c r="AM993" s="6"/>
      <c r="AN993" s="6"/>
      <c r="AO993" s="6"/>
      <c r="AP993" s="6"/>
      <c r="AQ993" s="6"/>
      <c r="AR993" s="6"/>
      <c r="AS993" s="6"/>
      <c r="AT993" s="2"/>
      <c r="AU993" s="2"/>
    </row>
    <row r="994" spans="1:47" hidden="1" outlineLevel="1">
      <c r="A994" s="2"/>
      <c r="B994" s="6" t="s">
        <v>859</v>
      </c>
      <c r="C994" s="38" t="s">
        <v>35</v>
      </c>
      <c r="D994" s="38"/>
      <c r="E994" s="38"/>
      <c r="F994" s="38"/>
      <c r="G994" s="38"/>
      <c r="H994" s="38"/>
      <c r="I994" s="38"/>
      <c r="J994" s="38"/>
      <c r="K994" s="766">
        <v>50.909040000000005</v>
      </c>
      <c r="L994" s="767">
        <v>49.127223600000001</v>
      </c>
      <c r="M994" s="767">
        <v>50.502785860800003</v>
      </c>
      <c r="N994" s="767">
        <v>52.017869436624004</v>
      </c>
      <c r="O994" s="767">
        <v>54.618762908455203</v>
      </c>
      <c r="P994" s="767">
        <v>69.365828893738112</v>
      </c>
      <c r="Q994" s="767">
        <v>75.60875349417455</v>
      </c>
      <c r="R994" s="767">
        <v>74.852665959232809</v>
      </c>
      <c r="S994" s="767">
        <v>80.840879235971443</v>
      </c>
      <c r="T994" s="767">
        <v>85.69133199012974</v>
      </c>
      <c r="U994" s="767">
        <v>88.69052860978428</v>
      </c>
      <c r="V994" s="767">
        <v>92.238149754175652</v>
      </c>
      <c r="W994" s="767">
        <v>95.927675744342679</v>
      </c>
      <c r="X994" s="767">
        <v>98.13401228646255</v>
      </c>
      <c r="Y994" s="767">
        <v>101.07803265505643</v>
      </c>
      <c r="Z994" s="767">
        <v>103.60498347143283</v>
      </c>
      <c r="AA994" s="767">
        <v>106.19510805821864</v>
      </c>
      <c r="AB994" s="767">
        <v>108.8499857596741</v>
      </c>
      <c r="AC994" s="767">
        <v>111.57123540366594</v>
      </c>
      <c r="AD994" s="767">
        <v>114.36051628875758</v>
      </c>
      <c r="AE994" s="767">
        <v>114.36051628875758</v>
      </c>
      <c r="AF994" s="767">
        <v>114.36051628875758</v>
      </c>
      <c r="AG994" s="767">
        <v>114.36051628875758</v>
      </c>
      <c r="AH994" s="767">
        <v>114.36051628875758</v>
      </c>
      <c r="AI994" s="767">
        <v>114.36051628875758</v>
      </c>
      <c r="AJ994" s="767">
        <v>114.36051628875758</v>
      </c>
      <c r="AK994" s="767">
        <v>114.36051628875758</v>
      </c>
      <c r="AL994" s="767">
        <v>114.36051628875758</v>
      </c>
      <c r="AM994" s="767">
        <v>114.36051628875758</v>
      </c>
      <c r="AN994" s="767">
        <v>114.36051628875758</v>
      </c>
      <c r="AO994" s="767">
        <v>114.36051628875758</v>
      </c>
      <c r="AP994" s="767">
        <v>114.36051628875758</v>
      </c>
      <c r="AQ994" s="767">
        <v>114.36051628875758</v>
      </c>
      <c r="AR994" s="767">
        <v>114.36051628875758</v>
      </c>
      <c r="AS994" s="767">
        <v>114.36051628875758</v>
      </c>
      <c r="AT994" s="2"/>
      <c r="AU994" s="2"/>
    </row>
    <row r="995" spans="1:47" hidden="1" outlineLevel="1">
      <c r="A995" s="312"/>
      <c r="B995" s="769" t="s">
        <v>614</v>
      </c>
      <c r="C995" s="750" t="s">
        <v>733</v>
      </c>
      <c r="D995" s="750"/>
      <c r="E995" s="750"/>
      <c r="F995" s="750"/>
      <c r="G995" s="750"/>
      <c r="H995" s="750"/>
      <c r="I995" s="750"/>
      <c r="J995" s="750"/>
      <c r="K995" s="759">
        <v>0.05</v>
      </c>
      <c r="L995" s="759">
        <v>-3.5000000000000003E-2</v>
      </c>
      <c r="M995" s="708">
        <v>2.8000000000000001E-2</v>
      </c>
      <c r="N995" s="708">
        <v>0.03</v>
      </c>
      <c r="O995" s="708">
        <v>0.05</v>
      </c>
      <c r="P995" s="708">
        <v>0.27</v>
      </c>
      <c r="Q995" s="708">
        <v>0.09</v>
      </c>
      <c r="R995" s="708">
        <v>-0.01</v>
      </c>
      <c r="S995" s="708">
        <v>0.08</v>
      </c>
      <c r="T995" s="708">
        <v>0.06</v>
      </c>
      <c r="U995" s="708">
        <v>3.5000000000000003E-2</v>
      </c>
      <c r="V995" s="708">
        <v>0.04</v>
      </c>
      <c r="W995" s="313">
        <v>0.04</v>
      </c>
      <c r="X995" s="754">
        <v>2.3E-2</v>
      </c>
      <c r="Y995" s="756">
        <v>0.03</v>
      </c>
      <c r="Z995" s="756">
        <v>2.5000000000000001E-2</v>
      </c>
      <c r="AA995" s="756">
        <v>2.5000000000000001E-2</v>
      </c>
      <c r="AB995" s="755">
        <v>2.5000000000000001E-2</v>
      </c>
      <c r="AC995" s="755">
        <v>2.5000000000000001E-2</v>
      </c>
      <c r="AD995" s="755">
        <v>2.5000000000000001E-2</v>
      </c>
      <c r="AE995" s="756">
        <v>0</v>
      </c>
      <c r="AF995" s="755">
        <v>0</v>
      </c>
      <c r="AG995" s="755">
        <v>0</v>
      </c>
      <c r="AH995" s="755">
        <v>0</v>
      </c>
      <c r="AI995" s="755">
        <v>0</v>
      </c>
      <c r="AJ995" s="755">
        <v>0</v>
      </c>
      <c r="AK995" s="755">
        <v>0</v>
      </c>
      <c r="AL995" s="755">
        <v>0</v>
      </c>
      <c r="AM995" s="755">
        <v>0</v>
      </c>
      <c r="AN995" s="755">
        <v>0</v>
      </c>
      <c r="AO995" s="760">
        <v>0</v>
      </c>
      <c r="AP995" s="760">
        <v>0</v>
      </c>
      <c r="AQ995" s="760">
        <v>0</v>
      </c>
      <c r="AR995" s="760">
        <v>0</v>
      </c>
      <c r="AS995" s="760">
        <v>0</v>
      </c>
      <c r="AT995" s="312"/>
      <c r="AU995" s="514"/>
    </row>
    <row r="996" spans="1:47" hidden="1" outlineLevel="1">
      <c r="A996" s="2"/>
      <c r="B996" s="6" t="s">
        <v>860</v>
      </c>
      <c r="C996" s="38" t="s">
        <v>35</v>
      </c>
      <c r="D996" s="38"/>
      <c r="E996" s="38"/>
      <c r="F996" s="38"/>
      <c r="G996" s="38"/>
      <c r="H996" s="38"/>
      <c r="I996" s="38"/>
      <c r="J996" s="38"/>
      <c r="K996" s="766">
        <v>60.909040000000005</v>
      </c>
      <c r="L996" s="767">
        <v>57.127223600000001</v>
      </c>
      <c r="M996" s="767">
        <v>58.502785860800003</v>
      </c>
      <c r="N996" s="767">
        <v>60.017869436624004</v>
      </c>
      <c r="O996" s="767">
        <v>62.618762908455203</v>
      </c>
      <c r="P996" s="767">
        <v>77.365828893738112</v>
      </c>
      <c r="Q996" s="767">
        <v>83.60875349417455</v>
      </c>
      <c r="R996" s="767">
        <v>84.852665959232809</v>
      </c>
      <c r="S996" s="767">
        <v>90.840879235971443</v>
      </c>
      <c r="T996" s="767">
        <v>91.69133199012974</v>
      </c>
      <c r="U996" s="767">
        <v>93.69052860978428</v>
      </c>
      <c r="V996" s="767">
        <v>98.238149754175652</v>
      </c>
      <c r="W996" s="767">
        <v>101.92767574434268</v>
      </c>
      <c r="X996" s="767">
        <v>104.13401228646255</v>
      </c>
      <c r="Y996" s="767">
        <v>107.07803265505643</v>
      </c>
      <c r="Z996" s="767">
        <v>109.60498347143283</v>
      </c>
      <c r="AA996" s="767">
        <v>112.19510805821864</v>
      </c>
      <c r="AB996" s="767">
        <v>114.8499857596741</v>
      </c>
      <c r="AC996" s="767">
        <v>117.57123540366594</v>
      </c>
      <c r="AD996" s="767">
        <v>120.36051628875758</v>
      </c>
      <c r="AE996" s="767">
        <v>120.36051628875758</v>
      </c>
      <c r="AF996" s="767">
        <v>120.36051628875758</v>
      </c>
      <c r="AG996" s="767">
        <v>120.36051628875758</v>
      </c>
      <c r="AH996" s="767">
        <v>120.36051628875758</v>
      </c>
      <c r="AI996" s="767">
        <v>120.36051628875758</v>
      </c>
      <c r="AJ996" s="767">
        <v>120.36051628875758</v>
      </c>
      <c r="AK996" s="767">
        <v>120.36051628875758</v>
      </c>
      <c r="AL996" s="767">
        <v>120.36051628875758</v>
      </c>
      <c r="AM996" s="767">
        <v>120.36051628875758</v>
      </c>
      <c r="AN996" s="767">
        <v>120.36051628875758</v>
      </c>
      <c r="AO996" s="767">
        <v>120.36051628875758</v>
      </c>
      <c r="AP996" s="767">
        <v>120.36051628875758</v>
      </c>
      <c r="AQ996" s="767">
        <v>120.36051628875758</v>
      </c>
      <c r="AR996" s="767">
        <v>120.36051628875758</v>
      </c>
      <c r="AS996" s="767">
        <v>120.36051628875758</v>
      </c>
      <c r="AT996" s="2"/>
      <c r="AU996" s="2"/>
    </row>
    <row r="997" spans="1:47" hidden="1" outlineLevel="1">
      <c r="A997" s="312"/>
      <c r="B997" s="758" t="s">
        <v>614</v>
      </c>
      <c r="C997" s="750" t="s">
        <v>733</v>
      </c>
      <c r="D997" s="750"/>
      <c r="E997" s="750"/>
      <c r="F997" s="750"/>
      <c r="G997" s="750"/>
      <c r="H997" s="750"/>
      <c r="I997" s="750"/>
      <c r="J997" s="750"/>
      <c r="K997" s="759">
        <v>4.1450770114628055E-2</v>
      </c>
      <c r="L997" s="312">
        <v>-6.2089574880838772E-2</v>
      </c>
      <c r="M997" s="312">
        <v>2.4078927245468451E-2</v>
      </c>
      <c r="N997" s="312">
        <v>2.5897631258602782E-2</v>
      </c>
      <c r="O997" s="312">
        <v>4.3335318235140363E-2</v>
      </c>
      <c r="P997" s="312">
        <v>0.23550554658580869</v>
      </c>
      <c r="Q997" s="312">
        <v>8.0693565747367524E-2</v>
      </c>
      <c r="R997" s="759">
        <v>-0.01</v>
      </c>
      <c r="S997" s="313">
        <v>7.0571893163800636E-2</v>
      </c>
      <c r="T997" s="312">
        <v>9.3620048739195827E-3</v>
      </c>
      <c r="U997" s="312">
        <v>2.180355085112895E-2</v>
      </c>
      <c r="V997" s="313">
        <v>4.8538749987546259E-2</v>
      </c>
      <c r="W997" s="313">
        <v>3.7556957245219236E-2</v>
      </c>
      <c r="X997" s="312">
        <v>2.1646098824561255E-2</v>
      </c>
      <c r="Y997" s="312">
        <v>2.8271458133152239E-2</v>
      </c>
      <c r="Z997" s="313">
        <v>2.3599152447232319E-2</v>
      </c>
      <c r="AA997" s="313">
        <v>2.3631449088817202E-2</v>
      </c>
      <c r="AB997" s="313">
        <v>2.3663043312706966E-2</v>
      </c>
      <c r="AC997" s="313">
        <v>2.3693948466707804E-2</v>
      </c>
      <c r="AD997" s="313">
        <v>2.3724177733737362E-2</v>
      </c>
      <c r="AE997" s="313">
        <v>0</v>
      </c>
      <c r="AF997" s="313">
        <v>0</v>
      </c>
      <c r="AG997" s="313">
        <v>0</v>
      </c>
      <c r="AH997" s="313">
        <v>0</v>
      </c>
      <c r="AI997" s="313">
        <v>0</v>
      </c>
      <c r="AJ997" s="313">
        <v>0</v>
      </c>
      <c r="AK997" s="313">
        <v>0</v>
      </c>
      <c r="AL997" s="313">
        <v>0</v>
      </c>
      <c r="AM997" s="313">
        <v>0</v>
      </c>
      <c r="AN997" s="313">
        <v>0</v>
      </c>
      <c r="AO997" s="313">
        <v>0</v>
      </c>
      <c r="AP997" s="313">
        <v>0</v>
      </c>
      <c r="AQ997" s="313">
        <v>0</v>
      </c>
      <c r="AR997" s="313">
        <v>0</v>
      </c>
      <c r="AS997" s="313">
        <v>0</v>
      </c>
      <c r="AT997" s="312"/>
      <c r="AU997" s="514"/>
    </row>
    <row r="998" spans="1:47" hidden="1" outlineLevel="1">
      <c r="A998" s="2"/>
      <c r="B998" s="2" t="s">
        <v>861</v>
      </c>
      <c r="C998" s="38" t="s">
        <v>35</v>
      </c>
      <c r="D998" s="38"/>
      <c r="E998" s="38"/>
      <c r="F998" s="38"/>
      <c r="G998" s="38"/>
      <c r="H998" s="38"/>
      <c r="I998" s="38"/>
      <c r="J998" s="38"/>
      <c r="K998" s="766">
        <v>53.288803049347671</v>
      </c>
      <c r="L998" s="767">
        <v>51.64482020888245</v>
      </c>
      <c r="M998" s="767">
        <v>53.44151300680636</v>
      </c>
      <c r="N998" s="767">
        <v>55.273208047488701</v>
      </c>
      <c r="O998" s="767">
        <v>57.856764756972737</v>
      </c>
      <c r="P998" s="767">
        <v>72.337469943677533</v>
      </c>
      <c r="Q998" s="767">
        <v>78.606006505153786</v>
      </c>
      <c r="R998" s="767">
        <v>78.720692574939761</v>
      </c>
      <c r="S998" s="767">
        <v>84.867922834145574</v>
      </c>
      <c r="T998" s="151">
        <v>88.197705639165747</v>
      </c>
      <c r="U998" s="767">
        <v>90.802825808190661</v>
      </c>
      <c r="V998" s="767">
        <v>94.856301809785421</v>
      </c>
      <c r="W998" s="767">
        <v>98.650807822899438</v>
      </c>
      <c r="X998" s="767">
        <v>100.89849709369376</v>
      </c>
      <c r="Y998" s="767">
        <v>103.82772417021718</v>
      </c>
      <c r="Z998" s="767">
        <v>106.30266998308429</v>
      </c>
      <c r="AA998" s="767">
        <v>108.8270501698085</v>
      </c>
      <c r="AB998" s="767">
        <v>111.45323771213307</v>
      </c>
      <c r="AC998" s="767">
        <v>114.15253097775158</v>
      </c>
      <c r="AD998" s="767">
        <v>116.93465931550003</v>
      </c>
      <c r="AE998" s="767">
        <v>116.94929427111565</v>
      </c>
      <c r="AF998" s="767">
        <v>116.96394920126851</v>
      </c>
      <c r="AG998" s="767">
        <v>116.97862341993726</v>
      </c>
      <c r="AH998" s="767">
        <v>116.99331623738163</v>
      </c>
      <c r="AI998" s="767">
        <v>117.00802696026796</v>
      </c>
      <c r="AJ998" s="767">
        <v>117.02275489179699</v>
      </c>
      <c r="AK998" s="767">
        <v>117.03749933183244</v>
      </c>
      <c r="AL998" s="767">
        <v>117.05225957703151</v>
      </c>
      <c r="AM998" s="767">
        <v>117.06703492097614</v>
      </c>
      <c r="AN998" s="767">
        <v>117.08182465430606</v>
      </c>
      <c r="AO998" s="767">
        <v>117.09662806485261</v>
      </c>
      <c r="AP998" s="767">
        <v>117.11144443777401</v>
      </c>
      <c r="AQ998" s="767">
        <v>117.11144443777401</v>
      </c>
      <c r="AR998" s="767">
        <v>117.11144443777401</v>
      </c>
      <c r="AS998" s="767">
        <v>117.11144443777401</v>
      </c>
      <c r="AT998" s="2"/>
      <c r="AU998" s="2"/>
    </row>
    <row r="999" spans="1:47" hidden="1" outlineLevel="1">
      <c r="A999" s="312"/>
      <c r="B999" s="758" t="s">
        <v>614</v>
      </c>
      <c r="C999" s="750" t="s">
        <v>733</v>
      </c>
      <c r="D999" s="750"/>
      <c r="E999" s="750"/>
      <c r="F999" s="750"/>
      <c r="G999" s="750"/>
      <c r="H999" s="750"/>
      <c r="I999" s="750"/>
      <c r="J999" s="750"/>
      <c r="K999" s="759">
        <v>7.4525716013335908E-2</v>
      </c>
      <c r="L999" s="312">
        <v>-3.0850436609409781E-2</v>
      </c>
      <c r="M999" s="312">
        <v>3.4789409483023004E-2</v>
      </c>
      <c r="N999" s="312">
        <v>3.4274760156005613E-2</v>
      </c>
      <c r="O999" s="312">
        <v>4.6741573372479861E-2</v>
      </c>
      <c r="P999" s="312">
        <v>0.25028542898191741</v>
      </c>
      <c r="Q999" s="312">
        <v>8.6656840035419735E-2</v>
      </c>
      <c r="R999" s="312">
        <v>1.4589988079150018E-3</v>
      </c>
      <c r="S999" s="313">
        <v>7.8089128260067531E-2</v>
      </c>
      <c r="T999" s="312">
        <v>3.9234880433299368E-2</v>
      </c>
      <c r="U999" s="312">
        <v>2.9537278210875151E-2</v>
      </c>
      <c r="V999" s="313">
        <v>4.4640416920032955E-2</v>
      </c>
      <c r="W999" s="313">
        <v>4.0002677109667539E-2</v>
      </c>
      <c r="X999" s="312">
        <v>2.2784296656033876E-2</v>
      </c>
      <c r="Y999" s="312">
        <v>2.9031424261982464E-2</v>
      </c>
      <c r="Z999" s="313">
        <v>2.383704191386915E-2</v>
      </c>
      <c r="AA999" s="313">
        <v>2.3747100492639728E-2</v>
      </c>
      <c r="AB999" s="313">
        <v>2.4131753440222781E-2</v>
      </c>
      <c r="AC999" s="313">
        <v>2.4219065511496218E-2</v>
      </c>
      <c r="AD999" s="313">
        <v>2.4372024990761521E-2</v>
      </c>
      <c r="AE999" s="313">
        <v>1.251549857099743E-4</v>
      </c>
      <c r="AF999" s="313">
        <v>1.253101204603535E-4</v>
      </c>
      <c r="AG999" s="313">
        <v>1.2545932972485296E-4</v>
      </c>
      <c r="AH999" s="313">
        <v>1.2560258459903828E-4</v>
      </c>
      <c r="AI999" s="313">
        <v>1.257398572793722E-4</v>
      </c>
      <c r="AJ999" s="313">
        <v>1.2587112108164433E-4</v>
      </c>
      <c r="AK999" s="313">
        <v>1.2599635044541202E-4</v>
      </c>
      <c r="AL999" s="313">
        <v>1.2611552095131984E-4</v>
      </c>
      <c r="AM999" s="313">
        <v>1.2622860932398616E-4</v>
      </c>
      <c r="AN999" s="313">
        <v>1.2633559344776835E-4</v>
      </c>
      <c r="AO999" s="313">
        <v>1.2643645237209178E-4</v>
      </c>
      <c r="AP999" s="313">
        <v>1.2653116632188599E-4</v>
      </c>
      <c r="AQ999" s="313">
        <v>1.2653116632188599E-4</v>
      </c>
      <c r="AR999" s="313">
        <v>1.2653116632188599E-4</v>
      </c>
      <c r="AS999" s="313">
        <v>1.2653116632188599E-4</v>
      </c>
      <c r="AT999" s="312"/>
      <c r="AU999" s="514"/>
    </row>
    <row r="1000" spans="1:47" hidden="1" outlineLevel="1">
      <c r="A1000" s="2"/>
      <c r="B1000" s="2" t="s">
        <v>862</v>
      </c>
      <c r="C1000" s="38" t="s">
        <v>732</v>
      </c>
      <c r="D1000" s="38"/>
      <c r="E1000" s="38"/>
      <c r="F1000" s="38"/>
      <c r="G1000" s="38"/>
      <c r="H1000" s="38"/>
      <c r="I1000" s="38"/>
      <c r="J1000" s="38"/>
      <c r="K1000" s="570">
        <v>361.30706686869161</v>
      </c>
      <c r="L1000" s="19">
        <v>427.30592024258306</v>
      </c>
      <c r="M1000" s="19">
        <v>494.43660251703437</v>
      </c>
      <c r="N1000" s="19">
        <v>513.74627191799368</v>
      </c>
      <c r="O1000" s="19">
        <v>511.76090559412063</v>
      </c>
      <c r="P1000" s="19">
        <v>669.18314631960379</v>
      </c>
      <c r="Q1000" s="19">
        <v>812.49217833743273</v>
      </c>
      <c r="R1000" s="19">
        <v>915.04119294585439</v>
      </c>
      <c r="S1000" s="19">
        <v>1083.0404186649578</v>
      </c>
      <c r="T1000" s="152">
        <v>1196.2299766972862</v>
      </c>
      <c r="U1000" s="19">
        <v>1307.535781433621</v>
      </c>
      <c r="V1000" s="19">
        <v>1421.3223208783925</v>
      </c>
      <c r="W1000" s="19">
        <v>1513.3307113598382</v>
      </c>
      <c r="X1000" s="19">
        <v>1576.9106929789955</v>
      </c>
      <c r="Y1000" s="19">
        <v>1623.1418522372524</v>
      </c>
      <c r="Z1000" s="19">
        <v>1659.9915711901797</v>
      </c>
      <c r="AA1000" s="19">
        <v>1732.8886531941462</v>
      </c>
      <c r="AB1000" s="19">
        <v>1803.191833917901</v>
      </c>
      <c r="AC1000" s="19">
        <v>1862.5727884912537</v>
      </c>
      <c r="AD1000" s="19">
        <v>1922.8353070844673</v>
      </c>
      <c r="AE1000" s="19">
        <v>1931.3264137949618</v>
      </c>
      <c r="AF1000" s="19">
        <v>1939.9024315725617</v>
      </c>
      <c r="AG1000" s="19">
        <v>1948.5642095279375</v>
      </c>
      <c r="AH1000" s="19">
        <v>1957.3126052628668</v>
      </c>
      <c r="AI1000" s="19">
        <v>1966.1484849551455</v>
      </c>
      <c r="AJ1000" s="19">
        <v>1975.0727234443473</v>
      </c>
      <c r="AK1000" s="19">
        <v>1984.0862043184404</v>
      </c>
      <c r="AL1000" s="19">
        <v>1993.1898200012749</v>
      </c>
      <c r="AM1000" s="19">
        <v>2002.3844718409375</v>
      </c>
      <c r="AN1000" s="19">
        <v>2011.6710701989973</v>
      </c>
      <c r="AO1000" s="19">
        <v>2021.0505345406375</v>
      </c>
      <c r="AP1000" s="19">
        <v>2030.5237935256937</v>
      </c>
      <c r="AQ1000" s="19">
        <v>2030.5237935256937</v>
      </c>
      <c r="AR1000" s="19">
        <v>2030.5237935256937</v>
      </c>
      <c r="AS1000" s="19">
        <v>2030.5237935256937</v>
      </c>
      <c r="AT1000" s="2"/>
      <c r="AU1000" s="2"/>
    </row>
    <row r="1001" spans="1:47" hidden="1" outlineLevel="1">
      <c r="A1001" s="312"/>
      <c r="B1001" s="758" t="s">
        <v>614</v>
      </c>
      <c r="C1001" s="750" t="s">
        <v>733</v>
      </c>
      <c r="D1001" s="750"/>
      <c r="E1001" s="750"/>
      <c r="F1001" s="750"/>
      <c r="G1001" s="750"/>
      <c r="H1001" s="750"/>
      <c r="I1001" s="750"/>
      <c r="J1001" s="750"/>
      <c r="K1001" s="759">
        <v>0.48257062609164048</v>
      </c>
      <c r="L1001" s="312">
        <v>0.18266693188671335</v>
      </c>
      <c r="M1001" s="312">
        <v>0.15710215818292661</v>
      </c>
      <c r="N1001" s="312">
        <v>3.9053883354629004E-2</v>
      </c>
      <c r="O1001" s="312">
        <v>-3.8644880408785776E-3</v>
      </c>
      <c r="P1001" s="312">
        <v>0.30760896153786188</v>
      </c>
      <c r="Q1001" s="312">
        <v>0.21415517232614834</v>
      </c>
      <c r="R1001" s="312">
        <v>0.12621538685857048</v>
      </c>
      <c r="S1001" s="313">
        <v>0.18359744568247471</v>
      </c>
      <c r="T1001" s="312">
        <v>0.10451092690691532</v>
      </c>
      <c r="U1001" s="312">
        <v>9.3047162255240234E-2</v>
      </c>
      <c r="V1001" s="313">
        <v>8.7023652477037805E-2</v>
      </c>
      <c r="W1001" s="313">
        <v>6.4734359778845674E-2</v>
      </c>
      <c r="X1001" s="312">
        <v>4.2013276504529573E-2</v>
      </c>
      <c r="Y1001" s="312">
        <v>2.9317550742788079E-2</v>
      </c>
      <c r="Z1001" s="313">
        <v>2.2702710118734037E-2</v>
      </c>
      <c r="AA1001" s="313">
        <v>4.3914127799878466E-2</v>
      </c>
      <c r="AB1001" s="313">
        <v>4.0569935404775492E-2</v>
      </c>
      <c r="AC1001" s="313">
        <v>3.293102456233532E-2</v>
      </c>
      <c r="AD1001" s="313">
        <v>3.2354450234413745E-2</v>
      </c>
      <c r="AE1001" s="313">
        <v>4.4159303083368684E-3</v>
      </c>
      <c r="AF1001" s="313">
        <v>4.4404807578581895E-3</v>
      </c>
      <c r="AG1001" s="313">
        <v>4.4650585588235092E-3</v>
      </c>
      <c r="AH1001" s="313">
        <v>4.4896625382691013E-3</v>
      </c>
      <c r="AI1001" s="313">
        <v>4.5142915181359822E-3</v>
      </c>
      <c r="AJ1001" s="313">
        <v>4.5389443154926212E-3</v>
      </c>
      <c r="AK1001" s="313">
        <v>4.563619742757874E-3</v>
      </c>
      <c r="AL1001" s="313">
        <v>4.5883166079276894E-3</v>
      </c>
      <c r="AM1001" s="313">
        <v>4.6130337148002631E-3</v>
      </c>
      <c r="AN1001" s="313">
        <v>4.6377698632080744E-3</v>
      </c>
      <c r="AO1001" s="313">
        <v>4.6625238492454812E-3</v>
      </c>
      <c r="AP1001" s="313">
        <v>4.6872944655040882E-3</v>
      </c>
      <c r="AQ1001" s="313">
        <v>4.6872944655040882E-3</v>
      </c>
      <c r="AR1001" s="313">
        <v>4.6872944655040882E-3</v>
      </c>
      <c r="AS1001" s="313">
        <v>4.6872944655040882E-3</v>
      </c>
      <c r="AT1001" s="312"/>
      <c r="AU1001" s="514"/>
    </row>
    <row r="1002" spans="1:47" hidden="1" outlineLevel="1">
      <c r="A1002" s="2"/>
      <c r="B1002" s="55"/>
      <c r="C1002" s="38"/>
      <c r="D1002" s="38"/>
      <c r="E1002" s="38"/>
      <c r="F1002" s="38"/>
      <c r="G1002" s="38"/>
      <c r="H1002" s="38"/>
      <c r="I1002" s="38"/>
      <c r="J1002" s="38"/>
      <c r="K1002" s="5"/>
      <c r="L1002" s="5"/>
      <c r="M1002" s="5"/>
      <c r="N1002" s="5"/>
      <c r="O1002" s="5"/>
      <c r="P1002" s="5"/>
      <c r="Q1002" s="5"/>
      <c r="R1002" s="5"/>
      <c r="S1002" s="5"/>
      <c r="T1002" s="5"/>
      <c r="U1002" s="5"/>
      <c r="V1002" s="5"/>
      <c r="W1002" s="5"/>
      <c r="X1002" s="19"/>
      <c r="Y1002" s="5"/>
      <c r="Z1002" s="5"/>
      <c r="AA1002" s="5"/>
      <c r="AB1002" s="5"/>
      <c r="AC1002" s="5"/>
      <c r="AD1002" s="5"/>
      <c r="AE1002" s="5"/>
      <c r="AF1002" s="5"/>
      <c r="AG1002" s="5"/>
      <c r="AH1002" s="5"/>
      <c r="AI1002" s="5"/>
      <c r="AJ1002" s="5"/>
      <c r="AK1002" s="5"/>
      <c r="AL1002" s="5"/>
      <c r="AM1002" s="5"/>
      <c r="AN1002" s="5"/>
      <c r="AO1002" s="5"/>
      <c r="AP1002" s="5"/>
      <c r="AQ1002" s="5"/>
      <c r="AR1002" s="5"/>
      <c r="AS1002" s="5"/>
      <c r="AT1002" s="2"/>
      <c r="AU1002" s="2"/>
    </row>
    <row r="1003" spans="1:47" hidden="1" outlineLevel="1">
      <c r="A1003" s="2"/>
      <c r="B1003" s="2" t="s">
        <v>64</v>
      </c>
      <c r="C1003" s="38"/>
      <c r="D1003" s="38"/>
      <c r="E1003" s="38"/>
      <c r="F1003" s="38"/>
      <c r="G1003" s="38"/>
      <c r="H1003" s="38"/>
      <c r="I1003" s="38"/>
      <c r="J1003" s="38"/>
      <c r="K1003" s="5"/>
      <c r="L1003" s="5"/>
      <c r="M1003" s="5"/>
      <c r="N1003" s="5"/>
      <c r="O1003" s="5"/>
      <c r="P1003" s="5"/>
      <c r="Q1003" s="5"/>
      <c r="R1003" s="5"/>
      <c r="S1003" s="5"/>
      <c r="T1003" s="5"/>
      <c r="U1003" s="5"/>
      <c r="V1003" s="5"/>
      <c r="W1003" s="5"/>
      <c r="X1003" s="5"/>
      <c r="Y1003" s="5"/>
      <c r="Z1003" s="5"/>
      <c r="AA1003" s="5"/>
      <c r="AB1003" s="5"/>
      <c r="AC1003" s="5"/>
      <c r="AD1003" s="5"/>
      <c r="AE1003" s="5"/>
      <c r="AF1003" s="5"/>
      <c r="AG1003" s="5"/>
      <c r="AH1003" s="5"/>
      <c r="AI1003" s="5"/>
      <c r="AJ1003" s="5"/>
      <c r="AK1003" s="5"/>
      <c r="AL1003" s="5"/>
      <c r="AM1003" s="5"/>
      <c r="AN1003" s="5"/>
      <c r="AO1003" s="5"/>
      <c r="AP1003" s="5"/>
      <c r="AQ1003" s="5"/>
      <c r="AR1003" s="5"/>
      <c r="AS1003" s="5"/>
      <c r="AT1003" s="2"/>
      <c r="AU1003" s="2"/>
    </row>
    <row r="1004" spans="1:47" hidden="1" outlineLevel="1">
      <c r="A1004" s="2"/>
      <c r="B1004" s="6" t="s">
        <v>65</v>
      </c>
      <c r="C1004" s="38"/>
      <c r="D1004" s="38"/>
      <c r="E1004" s="38"/>
      <c r="F1004" s="38"/>
      <c r="G1004" s="38"/>
      <c r="H1004" s="38"/>
      <c r="I1004" s="38"/>
      <c r="J1004" s="38"/>
      <c r="K1004" s="5"/>
      <c r="L1004" s="5"/>
      <c r="M1004" s="5"/>
      <c r="N1004" s="5"/>
      <c r="O1004" s="5"/>
      <c r="P1004" s="5"/>
      <c r="Q1004" s="5"/>
      <c r="R1004" s="5"/>
      <c r="S1004" s="5"/>
      <c r="T1004" s="766">
        <v>81.680000000000007</v>
      </c>
      <c r="U1004" s="766">
        <v>85.1</v>
      </c>
      <c r="V1004" s="766">
        <v>86.32</v>
      </c>
      <c r="W1004" s="766">
        <v>88.046400000000006</v>
      </c>
      <c r="X1004" s="767">
        <v>89.534384160000002</v>
      </c>
      <c r="Y1004" s="767">
        <v>96.697134892800008</v>
      </c>
      <c r="Z1004" s="767">
        <v>98.631077590656005</v>
      </c>
      <c r="AA1004" s="767">
        <v>100.60369914246913</v>
      </c>
      <c r="AB1004" s="767">
        <v>102.61577312531851</v>
      </c>
      <c r="AC1004" s="767">
        <v>104.66808858782488</v>
      </c>
      <c r="AD1004" s="767">
        <v>106.76145035958139</v>
      </c>
      <c r="AE1004" s="767">
        <v>108.89667936677301</v>
      </c>
      <c r="AF1004" s="767">
        <v>111.07461295410847</v>
      </c>
      <c r="AG1004" s="767">
        <v>113.29610521319064</v>
      </c>
      <c r="AH1004" s="767">
        <v>115.56202731745445</v>
      </c>
      <c r="AI1004" s="767">
        <v>117.87326786380355</v>
      </c>
      <c r="AJ1004" s="767">
        <v>120.23073322107962</v>
      </c>
      <c r="AK1004" s="767">
        <v>122.63534788550122</v>
      </c>
      <c r="AL1004" s="767">
        <v>125.08805484321124</v>
      </c>
      <c r="AM1004" s="767">
        <v>127.58981594007547</v>
      </c>
      <c r="AN1004" s="767">
        <v>130.14161225887699</v>
      </c>
      <c r="AO1004" s="767">
        <v>132.74444450405454</v>
      </c>
      <c r="AP1004" s="767">
        <v>135.39933339413562</v>
      </c>
      <c r="AQ1004" s="767">
        <v>135.39933339413562</v>
      </c>
      <c r="AR1004" s="767">
        <v>135.39933339413562</v>
      </c>
      <c r="AS1004" s="767">
        <v>135.39933339413562</v>
      </c>
      <c r="AT1004" s="2"/>
      <c r="AU1004" s="2"/>
    </row>
    <row r="1005" spans="1:47" hidden="1" outlineLevel="1">
      <c r="A1005" s="312"/>
      <c r="B1005" s="758" t="s">
        <v>614</v>
      </c>
      <c r="C1005" s="750"/>
      <c r="D1005" s="750"/>
      <c r="E1005" s="750"/>
      <c r="F1005" s="750"/>
      <c r="G1005" s="750"/>
      <c r="H1005" s="750"/>
      <c r="I1005" s="750"/>
      <c r="J1005" s="750"/>
      <c r="K1005" s="312"/>
      <c r="L1005" s="312"/>
      <c r="M1005" s="312"/>
      <c r="N1005" s="312"/>
      <c r="O1005" s="312"/>
      <c r="P1005" s="312"/>
      <c r="Q1005" s="312"/>
      <c r="R1005" s="312"/>
      <c r="S1005" s="313"/>
      <c r="T1005" s="312"/>
      <c r="U1005" s="312">
        <v>4.1870714985308366E-2</v>
      </c>
      <c r="V1005" s="312">
        <v>1.4336075205640508E-2</v>
      </c>
      <c r="W1005" s="312">
        <v>2.000000000000024E-2</v>
      </c>
      <c r="X1005" s="754">
        <v>1.6899999999999998E-2</v>
      </c>
      <c r="Y1005" s="756">
        <v>0.08</v>
      </c>
      <c r="Z1005" s="756">
        <v>0.02</v>
      </c>
      <c r="AA1005" s="755">
        <v>0.02</v>
      </c>
      <c r="AB1005" s="755">
        <v>0.02</v>
      </c>
      <c r="AC1005" s="755">
        <v>0.02</v>
      </c>
      <c r="AD1005" s="755">
        <v>0.02</v>
      </c>
      <c r="AE1005" s="755">
        <v>0.02</v>
      </c>
      <c r="AF1005" s="755">
        <v>0.02</v>
      </c>
      <c r="AG1005" s="755">
        <v>0.02</v>
      </c>
      <c r="AH1005" s="755">
        <v>0.02</v>
      </c>
      <c r="AI1005" s="755">
        <v>0.02</v>
      </c>
      <c r="AJ1005" s="755">
        <v>0.02</v>
      </c>
      <c r="AK1005" s="755">
        <v>0.02</v>
      </c>
      <c r="AL1005" s="755">
        <v>0.02</v>
      </c>
      <c r="AM1005" s="755">
        <v>0.02</v>
      </c>
      <c r="AN1005" s="755">
        <v>0.02</v>
      </c>
      <c r="AO1005" s="760">
        <v>0.02</v>
      </c>
      <c r="AP1005" s="760">
        <v>0.02</v>
      </c>
      <c r="AQ1005" s="760">
        <v>0.02</v>
      </c>
      <c r="AR1005" s="760">
        <v>0.02</v>
      </c>
      <c r="AS1005" s="760">
        <v>0.02</v>
      </c>
      <c r="AT1005" s="312"/>
      <c r="AU1005" s="514"/>
    </row>
    <row r="1006" spans="1:47" hidden="1" outlineLevel="1">
      <c r="A1006" s="2"/>
      <c r="B1006" s="2" t="s">
        <v>66</v>
      </c>
      <c r="C1006" s="38"/>
      <c r="D1006" s="38"/>
      <c r="E1006" s="38"/>
      <c r="F1006" s="38"/>
      <c r="G1006" s="38"/>
      <c r="H1006" s="38"/>
      <c r="I1006" s="38"/>
      <c r="J1006" s="38"/>
      <c r="K1006" s="5"/>
      <c r="L1006" s="5"/>
      <c r="M1006" s="5"/>
      <c r="N1006" s="5"/>
      <c r="O1006" s="5"/>
      <c r="P1006" s="5"/>
      <c r="Q1006" s="5"/>
      <c r="R1006" s="5"/>
      <c r="S1006" s="5"/>
      <c r="T1006" s="5"/>
      <c r="U1006" s="5"/>
      <c r="V1006" s="5"/>
      <c r="W1006" s="5"/>
      <c r="X1006" s="19">
        <v>812.41596685776756</v>
      </c>
      <c r="Y1006" s="19">
        <v>894.9574290905166</v>
      </c>
      <c r="Z1006" s="19">
        <v>931.11370922577362</v>
      </c>
      <c r="AA1006" s="19">
        <v>968.73070307849491</v>
      </c>
      <c r="AB1006" s="19">
        <v>1007.867423482866</v>
      </c>
      <c r="AC1006" s="19">
        <v>1048.5852673915738</v>
      </c>
      <c r="AD1006" s="19">
        <v>1090.9481121941935</v>
      </c>
      <c r="AE1006" s="19">
        <v>1135.0224159268389</v>
      </c>
      <c r="AF1006" s="19">
        <v>1180.8773215302831</v>
      </c>
      <c r="AG1006" s="19">
        <v>1228.5847653201067</v>
      </c>
      <c r="AH1006" s="19">
        <v>1278.2195898390389</v>
      </c>
      <c r="AI1006" s="19">
        <v>1329.8596612685362</v>
      </c>
      <c r="AJ1006" s="19">
        <v>1383.585991583785</v>
      </c>
      <c r="AK1006" s="19">
        <v>1439.4828656437699</v>
      </c>
      <c r="AL1006" s="19">
        <v>1497.6379734157783</v>
      </c>
      <c r="AM1006" s="19">
        <v>1558.1425475417757</v>
      </c>
      <c r="AN1006" s="19">
        <v>1621.0915064624639</v>
      </c>
      <c r="AO1006" s="19">
        <v>1686.5836033235478</v>
      </c>
      <c r="AP1006" s="19">
        <v>1754.721580897819</v>
      </c>
      <c r="AQ1006" s="19">
        <v>1754.721580897819</v>
      </c>
      <c r="AR1006" s="19">
        <v>1754.721580897819</v>
      </c>
      <c r="AS1006" s="19">
        <v>1754.721580897819</v>
      </c>
      <c r="AT1006" s="2"/>
      <c r="AU1006" s="2"/>
    </row>
    <row r="1007" spans="1:47" hidden="1" outlineLevel="1">
      <c r="A1007" s="312"/>
      <c r="B1007" s="758" t="s">
        <v>614</v>
      </c>
      <c r="C1007" s="750"/>
      <c r="D1007" s="750"/>
      <c r="E1007" s="750"/>
      <c r="F1007" s="750"/>
      <c r="G1007" s="750"/>
      <c r="H1007" s="750"/>
      <c r="I1007" s="750"/>
      <c r="J1007" s="750"/>
      <c r="K1007" s="312"/>
      <c r="L1007" s="312"/>
      <c r="M1007" s="312"/>
      <c r="N1007" s="312"/>
      <c r="O1007" s="312"/>
      <c r="P1007" s="312"/>
      <c r="Q1007" s="312"/>
      <c r="R1007" s="312"/>
      <c r="S1007" s="313"/>
      <c r="T1007" s="312"/>
      <c r="U1007" s="312"/>
      <c r="V1007" s="313"/>
      <c r="W1007" s="313"/>
      <c r="X1007" s="312"/>
      <c r="Y1007" s="312">
        <v>0.10159999999999991</v>
      </c>
      <c r="Z1007" s="312">
        <v>4.0400000000000214E-2</v>
      </c>
      <c r="AA1007" s="312">
        <v>4.0399999999999991E-2</v>
      </c>
      <c r="AB1007" s="312">
        <v>4.0399999999999991E-2</v>
      </c>
      <c r="AC1007" s="312">
        <v>4.0399999999999991E-2</v>
      </c>
      <c r="AD1007" s="312">
        <v>4.0400000000000214E-2</v>
      </c>
      <c r="AE1007" s="312">
        <v>4.0399999999999991E-2</v>
      </c>
      <c r="AF1007" s="312">
        <v>4.0399999999999991E-2</v>
      </c>
      <c r="AG1007" s="312">
        <v>4.0400000000000214E-2</v>
      </c>
      <c r="AH1007" s="312">
        <v>4.0399999999999991E-2</v>
      </c>
      <c r="AI1007" s="312">
        <v>4.0400000000000214E-2</v>
      </c>
      <c r="AJ1007" s="312">
        <v>4.0399999999999991E-2</v>
      </c>
      <c r="AK1007" s="312">
        <v>4.0399999999999991E-2</v>
      </c>
      <c r="AL1007" s="312">
        <v>4.0400000000000214E-2</v>
      </c>
      <c r="AM1007" s="312">
        <v>4.0399999999999991E-2</v>
      </c>
      <c r="AN1007" s="312">
        <v>4.0400000000000436E-2</v>
      </c>
      <c r="AO1007" s="312">
        <v>4.0400000000000214E-2</v>
      </c>
      <c r="AP1007" s="312">
        <v>4.0399999999999991E-2</v>
      </c>
      <c r="AQ1007" s="312">
        <v>4.0399999999999991E-2</v>
      </c>
      <c r="AR1007" s="312">
        <v>4.0399999999999991E-2</v>
      </c>
      <c r="AS1007" s="312">
        <v>4.0399999999999991E-2</v>
      </c>
      <c r="AT1007" s="312"/>
      <c r="AU1007" s="514"/>
    </row>
    <row r="1008" spans="1:47" hidden="1" outlineLevel="1">
      <c r="A1008" s="2"/>
      <c r="B1008" s="55"/>
      <c r="C1008" s="38"/>
      <c r="D1008" s="38"/>
      <c r="E1008" s="38"/>
      <c r="F1008" s="38"/>
      <c r="G1008" s="38"/>
      <c r="H1008" s="38"/>
      <c r="I1008" s="38"/>
      <c r="J1008" s="38"/>
      <c r="K1008" s="5"/>
      <c r="L1008" s="5"/>
      <c r="M1008" s="5"/>
      <c r="N1008" s="5"/>
      <c r="O1008" s="5"/>
      <c r="P1008" s="5"/>
      <c r="Q1008" s="5"/>
      <c r="R1008" s="5"/>
      <c r="S1008" s="5"/>
      <c r="T1008" s="5"/>
      <c r="U1008" s="5"/>
      <c r="V1008" s="5"/>
      <c r="W1008" s="5"/>
      <c r="X1008" s="19"/>
      <c r="Y1008" s="5"/>
      <c r="Z1008" s="5"/>
      <c r="AA1008" s="5"/>
      <c r="AB1008" s="5"/>
      <c r="AC1008" s="5"/>
      <c r="AD1008" s="5"/>
      <c r="AE1008" s="5"/>
      <c r="AF1008" s="5"/>
      <c r="AG1008" s="5"/>
      <c r="AH1008" s="5"/>
      <c r="AI1008" s="5"/>
      <c r="AJ1008" s="5"/>
      <c r="AK1008" s="5"/>
      <c r="AL1008" s="5"/>
      <c r="AM1008" s="5"/>
      <c r="AN1008" s="5"/>
      <c r="AO1008" s="5"/>
      <c r="AP1008" s="5"/>
      <c r="AQ1008" s="5"/>
      <c r="AR1008" s="5"/>
      <c r="AS1008" s="5"/>
      <c r="AT1008" s="2"/>
      <c r="AU1008" s="2"/>
    </row>
    <row r="1009" spans="1:47" hidden="1" outlineLevel="1">
      <c r="A1009" s="2"/>
      <c r="B1009" s="2" t="s">
        <v>423</v>
      </c>
      <c r="C1009" s="38"/>
      <c r="D1009" s="38"/>
      <c r="E1009" s="38"/>
      <c r="F1009" s="38"/>
      <c r="G1009" s="38"/>
      <c r="H1009" s="38"/>
      <c r="I1009" s="38"/>
      <c r="J1009" s="38"/>
      <c r="K1009" s="80"/>
      <c r="L1009" s="6"/>
      <c r="M1009" s="6"/>
      <c r="N1009" s="6"/>
      <c r="O1009" s="6"/>
      <c r="P1009" s="6"/>
      <c r="Q1009" s="6"/>
      <c r="R1009" s="6"/>
      <c r="S1009" s="2"/>
      <c r="T1009" s="6"/>
      <c r="U1009" s="6"/>
      <c r="V1009" s="6"/>
      <c r="W1009" s="6"/>
      <c r="X1009" s="6"/>
      <c r="Y1009" s="6"/>
      <c r="Z1009" s="6"/>
      <c r="AA1009" s="6"/>
      <c r="AB1009" s="6"/>
      <c r="AC1009" s="6"/>
      <c r="AD1009" s="6"/>
      <c r="AE1009" s="6"/>
      <c r="AF1009" s="6"/>
      <c r="AG1009" s="6"/>
      <c r="AH1009" s="6"/>
      <c r="AI1009" s="6"/>
      <c r="AJ1009" s="6"/>
      <c r="AK1009" s="6"/>
      <c r="AL1009" s="6"/>
      <c r="AM1009" s="6"/>
      <c r="AN1009" s="6"/>
      <c r="AO1009" s="6"/>
      <c r="AP1009" s="6"/>
      <c r="AQ1009" s="6"/>
      <c r="AR1009" s="6"/>
      <c r="AS1009" s="6"/>
      <c r="AT1009" s="2"/>
      <c r="AU1009" s="2"/>
    </row>
    <row r="1010" spans="1:47" hidden="1" outlineLevel="1">
      <c r="A1010" s="312"/>
      <c r="B1010" s="514" t="s">
        <v>424</v>
      </c>
      <c r="C1010" s="750" t="s">
        <v>733</v>
      </c>
      <c r="D1010" s="750"/>
      <c r="E1010" s="750"/>
      <c r="F1010" s="750"/>
      <c r="G1010" s="750"/>
      <c r="H1010" s="750"/>
      <c r="I1010" s="750"/>
      <c r="J1010" s="750"/>
      <c r="K1010" s="312"/>
      <c r="L1010" s="517"/>
      <c r="M1010" s="517"/>
      <c r="N1010" s="759">
        <v>0.1</v>
      </c>
      <c r="O1010" s="514">
        <v>0.1</v>
      </c>
      <c r="P1010" s="514">
        <v>0.1</v>
      </c>
      <c r="Q1010" s="514">
        <v>0.1</v>
      </c>
      <c r="R1010" s="514">
        <v>0.1</v>
      </c>
      <c r="S1010" s="513">
        <v>0.1</v>
      </c>
      <c r="T1010" s="751">
        <v>0.15</v>
      </c>
      <c r="U1010" s="751">
        <v>0.1</v>
      </c>
      <c r="V1010" s="513">
        <v>0.1</v>
      </c>
      <c r="W1010" s="513">
        <v>0.1</v>
      </c>
      <c r="X1010" s="514">
        <v>0.1</v>
      </c>
      <c r="Y1010" s="514">
        <v>0.1</v>
      </c>
      <c r="Z1010" s="513">
        <v>0.1</v>
      </c>
      <c r="AA1010" s="513">
        <v>0.1</v>
      </c>
      <c r="AB1010" s="513">
        <v>0.1</v>
      </c>
      <c r="AC1010" s="513">
        <v>0.1</v>
      </c>
      <c r="AD1010" s="513">
        <v>0.1</v>
      </c>
      <c r="AE1010" s="513">
        <v>0.1</v>
      </c>
      <c r="AF1010" s="513">
        <v>0.1</v>
      </c>
      <c r="AG1010" s="513">
        <v>0.1</v>
      </c>
      <c r="AH1010" s="513">
        <v>0.1</v>
      </c>
      <c r="AI1010" s="513">
        <v>0.1</v>
      </c>
      <c r="AJ1010" s="513">
        <v>0.1</v>
      </c>
      <c r="AK1010" s="513">
        <v>0.1</v>
      </c>
      <c r="AL1010" s="513">
        <v>0.1</v>
      </c>
      <c r="AM1010" s="513">
        <v>0.1</v>
      </c>
      <c r="AN1010" s="513">
        <v>0.1</v>
      </c>
      <c r="AO1010" s="513">
        <v>0.1</v>
      </c>
      <c r="AP1010" s="513">
        <v>0.1</v>
      </c>
      <c r="AQ1010" s="513">
        <v>0.1</v>
      </c>
      <c r="AR1010" s="513">
        <v>0.1</v>
      </c>
      <c r="AS1010" s="513">
        <v>0.1</v>
      </c>
      <c r="AT1010" s="312"/>
      <c r="AU1010" s="514"/>
    </row>
    <row r="1011" spans="1:47" hidden="1" outlineLevel="1">
      <c r="A1011" s="2"/>
      <c r="B1011" s="2" t="s">
        <v>859</v>
      </c>
      <c r="C1011" s="38" t="s">
        <v>35</v>
      </c>
      <c r="D1011" s="38"/>
      <c r="E1011" s="38"/>
      <c r="F1011" s="38"/>
      <c r="G1011" s="38"/>
      <c r="H1011" s="38"/>
      <c r="I1011" s="38"/>
      <c r="J1011" s="38"/>
      <c r="K1011" s="767"/>
      <c r="L1011" s="767"/>
      <c r="M1011" s="767"/>
      <c r="N1011" s="767">
        <v>46.816082492961606</v>
      </c>
      <c r="O1011" s="767">
        <v>49.156886617609686</v>
      </c>
      <c r="P1011" s="767">
        <v>62.429246004364302</v>
      </c>
      <c r="Q1011" s="767">
        <v>68.047878144757092</v>
      </c>
      <c r="R1011" s="767">
        <v>67.367399363309531</v>
      </c>
      <c r="S1011" s="767">
        <v>72.756791312374304</v>
      </c>
      <c r="T1011" s="767">
        <v>72.837632191610282</v>
      </c>
      <c r="U1011" s="767">
        <v>79.821475748805852</v>
      </c>
      <c r="V1011" s="767">
        <v>83.014334778758084</v>
      </c>
      <c r="W1011" s="767">
        <v>86.334908169908417</v>
      </c>
      <c r="X1011" s="767">
        <v>88.320611057816294</v>
      </c>
      <c r="Y1011" s="767">
        <v>90.970229389550795</v>
      </c>
      <c r="Z1011" s="767">
        <v>93.244485124289554</v>
      </c>
      <c r="AA1011" s="767">
        <v>95.575597252396776</v>
      </c>
      <c r="AB1011" s="767">
        <v>97.964987183706697</v>
      </c>
      <c r="AC1011" s="767">
        <v>100.41411186329934</v>
      </c>
      <c r="AD1011" s="767">
        <v>102.92446465988182</v>
      </c>
      <c r="AE1011" s="767">
        <v>102.92446465988182</v>
      </c>
      <c r="AF1011" s="767">
        <v>102.92446465988182</v>
      </c>
      <c r="AG1011" s="767">
        <v>102.92446465988182</v>
      </c>
      <c r="AH1011" s="767">
        <v>102.92446465988182</v>
      </c>
      <c r="AI1011" s="767">
        <v>102.92446465988182</v>
      </c>
      <c r="AJ1011" s="767">
        <v>102.92446465988182</v>
      </c>
      <c r="AK1011" s="767">
        <v>102.92446465988182</v>
      </c>
      <c r="AL1011" s="767">
        <v>102.92446465988182</v>
      </c>
      <c r="AM1011" s="767">
        <v>102.92446465988182</v>
      </c>
      <c r="AN1011" s="767">
        <v>102.92446465988182</v>
      </c>
      <c r="AO1011" s="767">
        <v>102.92446465988182</v>
      </c>
      <c r="AP1011" s="767">
        <v>102.92446465988182</v>
      </c>
      <c r="AQ1011" s="767">
        <v>102.92446465988182</v>
      </c>
      <c r="AR1011" s="767">
        <v>102.92446465988182</v>
      </c>
      <c r="AS1011" s="767">
        <v>102.92446465988182</v>
      </c>
      <c r="AT1011" s="2"/>
      <c r="AU1011" s="2"/>
    </row>
    <row r="1012" spans="1:47" hidden="1" outlineLevel="1">
      <c r="A1012" s="312"/>
      <c r="B1012" s="758" t="s">
        <v>614</v>
      </c>
      <c r="C1012" s="750" t="s">
        <v>733</v>
      </c>
      <c r="D1012" s="750"/>
      <c r="E1012" s="750"/>
      <c r="F1012" s="750"/>
      <c r="G1012" s="750"/>
      <c r="H1012" s="750"/>
      <c r="I1012" s="750"/>
      <c r="J1012" s="750"/>
      <c r="K1012" s="312"/>
      <c r="L1012" s="312"/>
      <c r="M1012" s="312"/>
      <c r="N1012" s="312"/>
      <c r="O1012" s="312">
        <v>5.0000000000000044E-2</v>
      </c>
      <c r="P1012" s="312">
        <v>0.27</v>
      </c>
      <c r="Q1012" s="312">
        <v>9.000000000000008E-2</v>
      </c>
      <c r="R1012" s="312">
        <v>-9.9999999999998979E-3</v>
      </c>
      <c r="S1012" s="313">
        <v>8.0000000000000071E-2</v>
      </c>
      <c r="T1012" s="312">
        <v>1.1111111111112848E-3</v>
      </c>
      <c r="U1012" s="312">
        <v>9.5882352941176308E-2</v>
      </c>
      <c r="V1012" s="313">
        <v>4.0000000000000036E-2</v>
      </c>
      <c r="W1012" s="313">
        <v>4.0000000000000036E-2</v>
      </c>
      <c r="X1012" s="312">
        <v>2.2999999999999909E-2</v>
      </c>
      <c r="Y1012" s="312">
        <v>3.0000000000000249E-2</v>
      </c>
      <c r="Z1012" s="313">
        <v>2.4999999999999911E-2</v>
      </c>
      <c r="AA1012" s="313">
        <v>2.4999999999999911E-2</v>
      </c>
      <c r="AB1012" s="313">
        <v>2.4999999999999911E-2</v>
      </c>
      <c r="AC1012" s="313">
        <v>2.4999999999999689E-2</v>
      </c>
      <c r="AD1012" s="313">
        <v>2.4999999999999911E-2</v>
      </c>
      <c r="AE1012" s="313">
        <v>0</v>
      </c>
      <c r="AF1012" s="313">
        <v>0</v>
      </c>
      <c r="AG1012" s="313">
        <v>0</v>
      </c>
      <c r="AH1012" s="313">
        <v>0</v>
      </c>
      <c r="AI1012" s="313">
        <v>0</v>
      </c>
      <c r="AJ1012" s="313">
        <v>0</v>
      </c>
      <c r="AK1012" s="313">
        <v>0</v>
      </c>
      <c r="AL1012" s="313">
        <v>0</v>
      </c>
      <c r="AM1012" s="313">
        <v>0</v>
      </c>
      <c r="AN1012" s="313">
        <v>0</v>
      </c>
      <c r="AO1012" s="313">
        <v>0</v>
      </c>
      <c r="AP1012" s="313">
        <v>0</v>
      </c>
      <c r="AQ1012" s="313">
        <v>0</v>
      </c>
      <c r="AR1012" s="313">
        <v>0</v>
      </c>
      <c r="AS1012" s="313">
        <v>0</v>
      </c>
      <c r="AT1012" s="312"/>
      <c r="AU1012" s="514"/>
    </row>
    <row r="1013" spans="1:47" hidden="1" outlineLevel="1">
      <c r="A1013" s="2"/>
      <c r="B1013" s="2" t="s">
        <v>860</v>
      </c>
      <c r="C1013" s="38" t="s">
        <v>35</v>
      </c>
      <c r="D1013" s="38"/>
      <c r="E1013" s="38"/>
      <c r="F1013" s="38"/>
      <c r="G1013" s="38"/>
      <c r="H1013" s="38"/>
      <c r="I1013" s="38"/>
      <c r="J1013" s="38"/>
      <c r="K1013" s="767"/>
      <c r="L1013" s="767"/>
      <c r="M1013" s="767"/>
      <c r="N1013" s="767">
        <v>54.016082492961601</v>
      </c>
      <c r="O1013" s="767">
        <v>56.356886617609682</v>
      </c>
      <c r="P1013" s="767">
        <v>69.629246004364305</v>
      </c>
      <c r="Q1013" s="767">
        <v>75.247878144757095</v>
      </c>
      <c r="R1013" s="767">
        <v>76.367399363309531</v>
      </c>
      <c r="S1013" s="767">
        <v>81.756791312374304</v>
      </c>
      <c r="T1013" s="767">
        <v>77.937632191610277</v>
      </c>
      <c r="U1013" s="767">
        <v>84.321475748805852</v>
      </c>
      <c r="V1013" s="767">
        <v>88.414334778758089</v>
      </c>
      <c r="W1013" s="767">
        <v>91.734908169908408</v>
      </c>
      <c r="X1013" s="767">
        <v>93.720611057816299</v>
      </c>
      <c r="Y1013" s="767">
        <v>96.370229389550786</v>
      </c>
      <c r="Z1013" s="767">
        <v>98.644485124289545</v>
      </c>
      <c r="AA1013" s="767">
        <v>100.97559725239678</v>
      </c>
      <c r="AB1013" s="767">
        <v>103.36498718370669</v>
      </c>
      <c r="AC1013" s="767">
        <v>105.81411186329935</v>
      </c>
      <c r="AD1013" s="767">
        <v>108.32446465988183</v>
      </c>
      <c r="AE1013" s="767">
        <v>108.32446465988183</v>
      </c>
      <c r="AF1013" s="767">
        <v>108.32446465988183</v>
      </c>
      <c r="AG1013" s="767">
        <v>108.32446465988183</v>
      </c>
      <c r="AH1013" s="767">
        <v>108.32446465988183</v>
      </c>
      <c r="AI1013" s="767">
        <v>108.32446465988183</v>
      </c>
      <c r="AJ1013" s="767">
        <v>108.32446465988183</v>
      </c>
      <c r="AK1013" s="767">
        <v>108.32446465988183</v>
      </c>
      <c r="AL1013" s="767">
        <v>108.32446465988183</v>
      </c>
      <c r="AM1013" s="767">
        <v>108.32446465988183</v>
      </c>
      <c r="AN1013" s="767">
        <v>108.32446465988183</v>
      </c>
      <c r="AO1013" s="767">
        <v>108.32446465988183</v>
      </c>
      <c r="AP1013" s="767">
        <v>108.32446465988183</v>
      </c>
      <c r="AQ1013" s="767">
        <v>108.32446465988183</v>
      </c>
      <c r="AR1013" s="767">
        <v>108.32446465988183</v>
      </c>
      <c r="AS1013" s="767">
        <v>108.32446465988183</v>
      </c>
      <c r="AT1013" s="2"/>
      <c r="AU1013" s="2"/>
    </row>
    <row r="1014" spans="1:47" hidden="1" outlineLevel="1">
      <c r="A1014" s="312"/>
      <c r="B1014" s="758" t="s">
        <v>614</v>
      </c>
      <c r="C1014" s="750" t="s">
        <v>733</v>
      </c>
      <c r="D1014" s="750"/>
      <c r="E1014" s="750"/>
      <c r="F1014" s="750"/>
      <c r="G1014" s="750"/>
      <c r="H1014" s="750"/>
      <c r="I1014" s="750"/>
      <c r="J1014" s="750"/>
      <c r="K1014" s="312"/>
      <c r="L1014" s="312"/>
      <c r="M1014" s="312"/>
      <c r="N1014" s="312"/>
      <c r="O1014" s="312">
        <v>4.3335318235140363E-2</v>
      </c>
      <c r="P1014" s="312">
        <v>0.23550554658580891</v>
      </c>
      <c r="Q1014" s="312">
        <v>8.0693565747367302E-2</v>
      </c>
      <c r="R1014" s="312">
        <v>1.4877777900909939E-2</v>
      </c>
      <c r="S1014" s="313">
        <v>7.0571893163800636E-2</v>
      </c>
      <c r="T1014" s="312">
        <v>-4.6713662063520567E-2</v>
      </c>
      <c r="U1014" s="312">
        <v>8.1909642077665934E-2</v>
      </c>
      <c r="V1014" s="313">
        <v>4.8538749987546259E-2</v>
      </c>
      <c r="W1014" s="313">
        <v>3.7556957245219236E-2</v>
      </c>
      <c r="X1014" s="312">
        <v>2.1646098824561255E-2</v>
      </c>
      <c r="Y1014" s="312">
        <v>2.8271458133152017E-2</v>
      </c>
      <c r="Z1014" s="313">
        <v>2.3599152447232319E-2</v>
      </c>
      <c r="AA1014" s="313">
        <v>2.3631449088817202E-2</v>
      </c>
      <c r="AB1014" s="313">
        <v>2.3663043312706744E-2</v>
      </c>
      <c r="AC1014" s="313">
        <v>2.3693948466707804E-2</v>
      </c>
      <c r="AD1014" s="313">
        <v>2.3724177733737362E-2</v>
      </c>
      <c r="AE1014" s="313">
        <v>0</v>
      </c>
      <c r="AF1014" s="313">
        <v>0</v>
      </c>
      <c r="AG1014" s="313">
        <v>0</v>
      </c>
      <c r="AH1014" s="313">
        <v>0</v>
      </c>
      <c r="AI1014" s="313">
        <v>0</v>
      </c>
      <c r="AJ1014" s="313">
        <v>0</v>
      </c>
      <c r="AK1014" s="313">
        <v>0</v>
      </c>
      <c r="AL1014" s="313">
        <v>0</v>
      </c>
      <c r="AM1014" s="313">
        <v>0</v>
      </c>
      <c r="AN1014" s="313">
        <v>0</v>
      </c>
      <c r="AO1014" s="313">
        <v>0</v>
      </c>
      <c r="AP1014" s="313">
        <v>0</v>
      </c>
      <c r="AQ1014" s="313">
        <v>0</v>
      </c>
      <c r="AR1014" s="313">
        <v>0</v>
      </c>
      <c r="AS1014" s="313">
        <v>0</v>
      </c>
      <c r="AT1014" s="312"/>
      <c r="AU1014" s="514"/>
    </row>
    <row r="1015" spans="1:47" hidden="1" outlineLevel="1">
      <c r="A1015" s="2"/>
      <c r="B1015" s="2" t="s">
        <v>861</v>
      </c>
      <c r="C1015" s="38" t="s">
        <v>35</v>
      </c>
      <c r="D1015" s="38"/>
      <c r="E1015" s="38"/>
      <c r="F1015" s="38"/>
      <c r="G1015" s="38"/>
      <c r="H1015" s="38"/>
      <c r="I1015" s="38"/>
      <c r="J1015" s="38"/>
      <c r="K1015" s="767"/>
      <c r="L1015" s="2"/>
      <c r="M1015" s="767"/>
      <c r="N1015" s="767">
        <v>49.745887242739833</v>
      </c>
      <c r="O1015" s="767">
        <v>52.071088281275465</v>
      </c>
      <c r="P1015" s="767">
        <v>65.103722949309784</v>
      </c>
      <c r="Q1015" s="767">
        <v>70.745405854638406</v>
      </c>
      <c r="R1015" s="767">
        <v>70.848623317445785</v>
      </c>
      <c r="S1015" s="767">
        <v>76.381130550731015</v>
      </c>
      <c r="T1015" s="767">
        <v>74.968049793290888</v>
      </c>
      <c r="U1015" s="767">
        <v>81.722543227371602</v>
      </c>
      <c r="V1015" s="767">
        <v>85.370671628806875</v>
      </c>
      <c r="W1015" s="767">
        <v>88.785727040609501</v>
      </c>
      <c r="X1015" s="767">
        <v>90.808647384324388</v>
      </c>
      <c r="Y1015" s="767">
        <v>93.444951753195468</v>
      </c>
      <c r="Z1015" s="767">
        <v>95.672402984775857</v>
      </c>
      <c r="AA1015" s="767">
        <v>97.944345152827651</v>
      </c>
      <c r="AB1015" s="767">
        <v>100.30791394091978</v>
      </c>
      <c r="AC1015" s="767">
        <v>102.73727787997643</v>
      </c>
      <c r="AD1015" s="767">
        <v>105.24119338395003</v>
      </c>
      <c r="AE1015" s="767">
        <v>105.25436484400409</v>
      </c>
      <c r="AF1015" s="767">
        <v>105.26755428114166</v>
      </c>
      <c r="AG1015" s="767">
        <v>105.28076107794354</v>
      </c>
      <c r="AH1015" s="767">
        <v>105.29398461364347</v>
      </c>
      <c r="AI1015" s="767">
        <v>105.30722426424116</v>
      </c>
      <c r="AJ1015" s="767">
        <v>105.32047940261729</v>
      </c>
      <c r="AK1015" s="767">
        <v>105.33374939864919</v>
      </c>
      <c r="AL1015" s="767">
        <v>105.34703361932836</v>
      </c>
      <c r="AM1015" s="767">
        <v>105.36033142887852</v>
      </c>
      <c r="AN1015" s="767">
        <v>105.37364218887545</v>
      </c>
      <c r="AO1015" s="767">
        <v>105.38696525836735</v>
      </c>
      <c r="AP1015" s="767">
        <v>105.40029999399661</v>
      </c>
      <c r="AQ1015" s="767">
        <v>105.40029999399661</v>
      </c>
      <c r="AR1015" s="767">
        <v>105.40029999399661</v>
      </c>
      <c r="AS1015" s="767">
        <v>105.40029999399661</v>
      </c>
      <c r="AT1015" s="2"/>
      <c r="AU1015" s="2"/>
    </row>
    <row r="1016" spans="1:47" hidden="1" outlineLevel="1">
      <c r="A1016" s="312"/>
      <c r="B1016" s="758" t="s">
        <v>614</v>
      </c>
      <c r="C1016" s="750" t="s">
        <v>733</v>
      </c>
      <c r="D1016" s="750"/>
      <c r="E1016" s="750"/>
      <c r="F1016" s="750"/>
      <c r="G1016" s="750"/>
      <c r="H1016" s="750"/>
      <c r="I1016" s="750"/>
      <c r="J1016" s="750"/>
      <c r="K1016" s="312"/>
      <c r="L1016" s="514"/>
      <c r="M1016" s="514"/>
      <c r="N1016" s="312"/>
      <c r="O1016" s="312">
        <v>4.6741573372479861E-2</v>
      </c>
      <c r="P1016" s="312">
        <v>0.25028542898191741</v>
      </c>
      <c r="Q1016" s="312">
        <v>8.6656840035419735E-2</v>
      </c>
      <c r="R1016" s="312">
        <v>1.4589988079150018E-3</v>
      </c>
      <c r="S1016" s="313">
        <v>7.8089128260067531E-2</v>
      </c>
      <c r="T1016" s="312">
        <v>-1.8500390701883918E-2</v>
      </c>
      <c r="U1016" s="312">
        <v>9.0098294576220761E-2</v>
      </c>
      <c r="V1016" s="313">
        <v>4.4640416920032733E-2</v>
      </c>
      <c r="W1016" s="313">
        <v>4.0002677109667761E-2</v>
      </c>
      <c r="X1016" s="312">
        <v>2.2784296656033876E-2</v>
      </c>
      <c r="Y1016" s="312">
        <v>2.9031424261982464E-2</v>
      </c>
      <c r="Z1016" s="313">
        <v>2.3837041913868928E-2</v>
      </c>
      <c r="AA1016" s="313">
        <v>2.3747100492639728E-2</v>
      </c>
      <c r="AB1016" s="313">
        <v>2.4131753440222781E-2</v>
      </c>
      <c r="AC1016" s="313">
        <v>2.4219065511496218E-2</v>
      </c>
      <c r="AD1016" s="313">
        <v>2.4372024990761521E-2</v>
      </c>
      <c r="AE1016" s="313">
        <v>1.2515498570975225E-4</v>
      </c>
      <c r="AF1016" s="313">
        <v>1.253101204603535E-4</v>
      </c>
      <c r="AG1016" s="313">
        <v>1.2545932972485296E-4</v>
      </c>
      <c r="AH1016" s="313">
        <v>1.2560258459903828E-4</v>
      </c>
      <c r="AI1016" s="313">
        <v>1.2573985727915016E-4</v>
      </c>
      <c r="AJ1016" s="313">
        <v>1.2587112108164433E-4</v>
      </c>
      <c r="AK1016" s="313">
        <v>1.2599635044541202E-4</v>
      </c>
      <c r="AL1016" s="313">
        <v>1.2611552095131984E-4</v>
      </c>
      <c r="AM1016" s="313">
        <v>1.2622860932398616E-4</v>
      </c>
      <c r="AN1016" s="313">
        <v>1.2633559344776835E-4</v>
      </c>
      <c r="AO1016" s="313">
        <v>1.2643645237231382E-4</v>
      </c>
      <c r="AP1016" s="313">
        <v>1.2653116632188599E-4</v>
      </c>
      <c r="AQ1016" s="313">
        <v>1.2653116632188599E-4</v>
      </c>
      <c r="AR1016" s="313">
        <v>1.2653116632188599E-4</v>
      </c>
      <c r="AS1016" s="313">
        <v>1.2653116632188599E-4</v>
      </c>
      <c r="AT1016" s="312"/>
      <c r="AU1016" s="514"/>
    </row>
    <row r="1017" spans="1:47" hidden="1" outlineLevel="1">
      <c r="A1017" s="2"/>
      <c r="B1017" s="2" t="s">
        <v>862</v>
      </c>
      <c r="C1017" s="38" t="s">
        <v>732</v>
      </c>
      <c r="D1017" s="38"/>
      <c r="E1017" s="38"/>
      <c r="F1017" s="38"/>
      <c r="G1017" s="38"/>
      <c r="H1017" s="38"/>
      <c r="I1017" s="38"/>
      <c r="J1017" s="38"/>
      <c r="K1017" s="19"/>
      <c r="L1017" s="19"/>
      <c r="M1017" s="19"/>
      <c r="N1017" s="19">
        <v>24.977022048999178</v>
      </c>
      <c r="O1017" s="19">
        <v>82.459779700352115</v>
      </c>
      <c r="P1017" s="19">
        <v>150.56620792191086</v>
      </c>
      <c r="Q1017" s="19">
        <v>182.81074012592236</v>
      </c>
      <c r="R1017" s="19">
        <v>205.88426841281728</v>
      </c>
      <c r="S1017" s="19">
        <v>243.68409419961554</v>
      </c>
      <c r="T1017" s="152">
        <v>254.19887004817338</v>
      </c>
      <c r="U1017" s="19">
        <v>294.19555082256471</v>
      </c>
      <c r="V1017" s="19">
        <v>319.79752219763833</v>
      </c>
      <c r="W1017" s="19">
        <v>340.49941005596355</v>
      </c>
      <c r="X1017" s="19">
        <v>354.804905920274</v>
      </c>
      <c r="Y1017" s="19">
        <v>365.20691675338173</v>
      </c>
      <c r="Z1017" s="19">
        <v>373.49810351779047</v>
      </c>
      <c r="AA1017" s="19">
        <v>389.89994696868291</v>
      </c>
      <c r="AB1017" s="19">
        <v>405.71816263152772</v>
      </c>
      <c r="AC1017" s="19">
        <v>419.07887741053207</v>
      </c>
      <c r="AD1017" s="19">
        <v>432.63794409400515</v>
      </c>
      <c r="AE1017" s="19">
        <v>434.54844310386642</v>
      </c>
      <c r="AF1017" s="19">
        <v>436.47804710382638</v>
      </c>
      <c r="AG1017" s="19">
        <v>438.42694714378587</v>
      </c>
      <c r="AH1017" s="19">
        <v>440.39533618414509</v>
      </c>
      <c r="AI1017" s="19">
        <v>442.38340911490781</v>
      </c>
      <c r="AJ1017" s="19">
        <v>444.39136277497812</v>
      </c>
      <c r="AK1017" s="19">
        <v>446.41939597164907</v>
      </c>
      <c r="AL1017" s="19">
        <v>448.46770950028684</v>
      </c>
      <c r="AM1017" s="19">
        <v>450.53650616421095</v>
      </c>
      <c r="AN1017" s="19">
        <v>452.6259907947744</v>
      </c>
      <c r="AO1017" s="19">
        <v>454.73637027164341</v>
      </c>
      <c r="AP1017" s="19">
        <v>456.86785354328111</v>
      </c>
      <c r="AQ1017" s="19">
        <v>456.86785354328111</v>
      </c>
      <c r="AR1017" s="19">
        <v>456.86785354328111</v>
      </c>
      <c r="AS1017" s="19">
        <v>456.86785354328111</v>
      </c>
      <c r="AT1017" s="2"/>
      <c r="AU1017" s="2"/>
    </row>
    <row r="1018" spans="1:47" hidden="1" outlineLevel="1">
      <c r="A1018" s="312"/>
      <c r="B1018" s="758" t="s">
        <v>614</v>
      </c>
      <c r="C1018" s="750" t="s">
        <v>733</v>
      </c>
      <c r="D1018" s="750"/>
      <c r="E1018" s="750"/>
      <c r="F1018" s="750"/>
      <c r="G1018" s="750"/>
      <c r="H1018" s="750"/>
      <c r="I1018" s="750"/>
      <c r="J1018" s="750"/>
      <c r="K1018" s="312"/>
      <c r="L1018" s="514"/>
      <c r="M1018" s="312"/>
      <c r="N1018" s="312"/>
      <c r="O1018" s="312">
        <v>2.301425587829685</v>
      </c>
      <c r="P1018" s="312">
        <v>0.82593512217772669</v>
      </c>
      <c r="Q1018" s="312">
        <v>0.21415517232614834</v>
      </c>
      <c r="R1018" s="312">
        <v>0.1262153868585707</v>
      </c>
      <c r="S1018" s="313">
        <v>0.18359744568247471</v>
      </c>
      <c r="T1018" s="312">
        <v>4.3149208745420164E-2</v>
      </c>
      <c r="U1018" s="312">
        <v>0.15734405415260722</v>
      </c>
      <c r="V1018" s="313">
        <v>8.7023652477037805E-2</v>
      </c>
      <c r="W1018" s="313">
        <v>6.4734359778845452E-2</v>
      </c>
      <c r="X1018" s="312">
        <v>4.2013276504529795E-2</v>
      </c>
      <c r="Y1018" s="312">
        <v>2.9317550742787857E-2</v>
      </c>
      <c r="Z1018" s="313">
        <v>2.2702710118734259E-2</v>
      </c>
      <c r="AA1018" s="313">
        <v>4.3914127799878244E-2</v>
      </c>
      <c r="AB1018" s="313">
        <v>4.056993540477527E-2</v>
      </c>
      <c r="AC1018" s="313">
        <v>3.293102456233532E-2</v>
      </c>
      <c r="AD1018" s="313">
        <v>3.2354450234413745E-2</v>
      </c>
      <c r="AE1018" s="313">
        <v>4.4159303083368684E-3</v>
      </c>
      <c r="AF1018" s="313">
        <v>4.4404807578581895E-3</v>
      </c>
      <c r="AG1018" s="313">
        <v>4.4650585588235092E-3</v>
      </c>
      <c r="AH1018" s="313">
        <v>4.4896625382693234E-3</v>
      </c>
      <c r="AI1018" s="313">
        <v>4.5142915181359822E-3</v>
      </c>
      <c r="AJ1018" s="313">
        <v>4.5389443154926212E-3</v>
      </c>
      <c r="AK1018" s="313">
        <v>4.563619742757874E-3</v>
      </c>
      <c r="AL1018" s="313">
        <v>4.5883166079276894E-3</v>
      </c>
      <c r="AM1018" s="313">
        <v>4.6130337148002631E-3</v>
      </c>
      <c r="AN1018" s="313">
        <v>4.6377698632080744E-3</v>
      </c>
      <c r="AO1018" s="313">
        <v>4.6625238492454812E-3</v>
      </c>
      <c r="AP1018" s="313">
        <v>4.6872944655040882E-3</v>
      </c>
      <c r="AQ1018" s="313">
        <v>4.6872944655040882E-3</v>
      </c>
      <c r="AR1018" s="313">
        <v>4.6872944655040882E-3</v>
      </c>
      <c r="AS1018" s="313">
        <v>4.6872944655040882E-3</v>
      </c>
      <c r="AT1018" s="312"/>
      <c r="AU1018" s="514"/>
    </row>
    <row r="1019" spans="1:47" hidden="1" outlineLevel="1">
      <c r="A1019" s="2"/>
      <c r="B1019" s="2"/>
      <c r="C1019" s="38"/>
      <c r="D1019" s="38"/>
      <c r="E1019" s="38"/>
      <c r="F1019" s="38"/>
      <c r="G1019" s="38"/>
      <c r="H1019" s="38"/>
      <c r="I1019" s="38"/>
      <c r="J1019" s="38"/>
      <c r="K1019" s="80"/>
      <c r="L1019" s="6"/>
      <c r="M1019" s="6"/>
      <c r="N1019" s="6"/>
      <c r="O1019" s="6"/>
      <c r="P1019" s="6"/>
      <c r="Q1019" s="6"/>
      <c r="R1019" s="6"/>
      <c r="S1019" s="2"/>
      <c r="T1019" s="6"/>
      <c r="U1019" s="6"/>
      <c r="V1019" s="6"/>
      <c r="W1019" s="6"/>
      <c r="X1019" s="6"/>
      <c r="Y1019" s="6"/>
      <c r="Z1019" s="6"/>
      <c r="AA1019" s="6"/>
      <c r="AB1019" s="6"/>
      <c r="AC1019" s="6"/>
      <c r="AD1019" s="6"/>
      <c r="AE1019" s="6"/>
      <c r="AF1019" s="6"/>
      <c r="AG1019" s="6"/>
      <c r="AH1019" s="6"/>
      <c r="AI1019" s="6"/>
      <c r="AJ1019" s="6"/>
      <c r="AK1019" s="6"/>
      <c r="AL1019" s="6"/>
      <c r="AM1019" s="6"/>
      <c r="AN1019" s="6"/>
      <c r="AO1019" s="6"/>
      <c r="AP1019" s="6"/>
      <c r="AQ1019" s="6"/>
      <c r="AR1019" s="6"/>
      <c r="AS1019" s="6"/>
      <c r="AT1019" s="2"/>
      <c r="AU1019" s="2"/>
    </row>
    <row r="1020" spans="1:47" hidden="1" outlineLevel="1">
      <c r="A1020" s="2"/>
      <c r="B1020" s="2" t="s">
        <v>425</v>
      </c>
      <c r="C1020" s="38"/>
      <c r="D1020" s="38"/>
      <c r="E1020" s="38"/>
      <c r="F1020" s="38"/>
      <c r="G1020" s="38"/>
      <c r="H1020" s="38"/>
      <c r="I1020" s="38"/>
      <c r="J1020" s="38"/>
      <c r="K1020" s="80"/>
      <c r="L1020" s="6"/>
      <c r="M1020" s="6"/>
      <c r="N1020" s="6"/>
      <c r="O1020" s="6"/>
      <c r="P1020" s="6"/>
      <c r="Q1020" s="6"/>
      <c r="R1020" s="6"/>
      <c r="S1020" s="2"/>
      <c r="T1020" s="6"/>
      <c r="U1020" s="6"/>
      <c r="V1020" s="6"/>
      <c r="W1020" s="6"/>
      <c r="X1020" s="6"/>
      <c r="Y1020" s="6"/>
      <c r="Z1020" s="6"/>
      <c r="AA1020" s="6"/>
      <c r="AB1020" s="6"/>
      <c r="AC1020" s="6"/>
      <c r="AD1020" s="6"/>
      <c r="AE1020" s="6"/>
      <c r="AF1020" s="6"/>
      <c r="AG1020" s="6"/>
      <c r="AH1020" s="6"/>
      <c r="AI1020" s="6"/>
      <c r="AJ1020" s="6"/>
      <c r="AK1020" s="6"/>
      <c r="AL1020" s="6"/>
      <c r="AM1020" s="6"/>
      <c r="AN1020" s="6"/>
      <c r="AO1020" s="6"/>
      <c r="AP1020" s="6"/>
      <c r="AQ1020" s="6"/>
      <c r="AR1020" s="6"/>
      <c r="AS1020" s="6"/>
      <c r="AT1020" s="2"/>
      <c r="AU1020" s="2"/>
    </row>
    <row r="1021" spans="1:47" hidden="1" outlineLevel="1">
      <c r="A1021" s="312"/>
      <c r="B1021" s="514" t="s">
        <v>700</v>
      </c>
      <c r="C1021" s="750" t="s">
        <v>733</v>
      </c>
      <c r="D1021" s="750"/>
      <c r="E1021" s="750"/>
      <c r="F1021" s="750"/>
      <c r="G1021" s="750"/>
      <c r="H1021" s="750"/>
      <c r="I1021" s="750"/>
      <c r="J1021" s="750"/>
      <c r="K1021" s="312"/>
      <c r="L1021" s="517"/>
      <c r="M1021" s="517"/>
      <c r="N1021" s="759">
        <v>0.1</v>
      </c>
      <c r="O1021" s="514">
        <v>0.1</v>
      </c>
      <c r="P1021" s="514">
        <v>0.1</v>
      </c>
      <c r="Q1021" s="514">
        <v>0.1</v>
      </c>
      <c r="R1021" s="514">
        <v>0.1</v>
      </c>
      <c r="S1021" s="513">
        <v>0.1</v>
      </c>
      <c r="T1021" s="514">
        <v>0.1</v>
      </c>
      <c r="U1021" s="514">
        <v>0.1</v>
      </c>
      <c r="V1021" s="513">
        <v>0.1</v>
      </c>
      <c r="W1021" s="513">
        <v>0.1</v>
      </c>
      <c r="X1021" s="514">
        <v>0.1</v>
      </c>
      <c r="Y1021" s="514">
        <v>0.1</v>
      </c>
      <c r="Z1021" s="513">
        <v>0.1</v>
      </c>
      <c r="AA1021" s="513">
        <v>0.1</v>
      </c>
      <c r="AB1021" s="513">
        <v>0.1</v>
      </c>
      <c r="AC1021" s="513">
        <v>0.1</v>
      </c>
      <c r="AD1021" s="513">
        <v>0.1</v>
      </c>
      <c r="AE1021" s="513">
        <v>0.1</v>
      </c>
      <c r="AF1021" s="513">
        <v>0.1</v>
      </c>
      <c r="AG1021" s="513">
        <v>0.1</v>
      </c>
      <c r="AH1021" s="513">
        <v>0.1</v>
      </c>
      <c r="AI1021" s="513">
        <v>0.1</v>
      </c>
      <c r="AJ1021" s="513">
        <v>0.1</v>
      </c>
      <c r="AK1021" s="513">
        <v>0.1</v>
      </c>
      <c r="AL1021" s="513">
        <v>0.1</v>
      </c>
      <c r="AM1021" s="513">
        <v>0.1</v>
      </c>
      <c r="AN1021" s="513">
        <v>0.1</v>
      </c>
      <c r="AO1021" s="513">
        <v>0.1</v>
      </c>
      <c r="AP1021" s="513">
        <v>0.1</v>
      </c>
      <c r="AQ1021" s="513">
        <v>0.1</v>
      </c>
      <c r="AR1021" s="513">
        <v>0.1</v>
      </c>
      <c r="AS1021" s="513">
        <v>0.1</v>
      </c>
      <c r="AT1021" s="312"/>
      <c r="AU1021" s="514"/>
    </row>
    <row r="1022" spans="1:47" hidden="1" outlineLevel="1">
      <c r="A1022" s="2"/>
      <c r="B1022" s="2" t="s">
        <v>701</v>
      </c>
      <c r="C1022" s="38" t="s">
        <v>35</v>
      </c>
      <c r="D1022" s="38"/>
      <c r="E1022" s="38"/>
      <c r="F1022" s="38"/>
      <c r="G1022" s="38"/>
      <c r="H1022" s="38"/>
      <c r="I1022" s="38"/>
      <c r="J1022" s="38"/>
      <c r="K1022" s="6"/>
      <c r="L1022" s="6"/>
      <c r="M1022" s="6"/>
      <c r="N1022" s="767">
        <v>46.816082492961606</v>
      </c>
      <c r="O1022" s="767">
        <v>49.156886617609686</v>
      </c>
      <c r="P1022" s="767">
        <v>62.429246004364302</v>
      </c>
      <c r="Q1022" s="767">
        <v>68.047878144757092</v>
      </c>
      <c r="R1022" s="767">
        <v>67.367399363309531</v>
      </c>
      <c r="S1022" s="767">
        <v>72.756791312374304</v>
      </c>
      <c r="T1022" s="767">
        <v>77.122198791116773</v>
      </c>
      <c r="U1022" s="767">
        <v>79.821475748805852</v>
      </c>
      <c r="V1022" s="767">
        <v>83.014334778758084</v>
      </c>
      <c r="W1022" s="767">
        <v>86.334908169908417</v>
      </c>
      <c r="X1022" s="767">
        <v>88.320611057816294</v>
      </c>
      <c r="Y1022" s="767">
        <v>90.970229389550795</v>
      </c>
      <c r="Z1022" s="767">
        <v>93.244485124289554</v>
      </c>
      <c r="AA1022" s="767">
        <v>95.575597252396776</v>
      </c>
      <c r="AB1022" s="767">
        <v>97.964987183706697</v>
      </c>
      <c r="AC1022" s="767">
        <v>100.41411186329934</v>
      </c>
      <c r="AD1022" s="767">
        <v>102.92446465988182</v>
      </c>
      <c r="AE1022" s="767">
        <v>102.92446465988182</v>
      </c>
      <c r="AF1022" s="767">
        <v>102.92446465988182</v>
      </c>
      <c r="AG1022" s="767">
        <v>102.92446465988182</v>
      </c>
      <c r="AH1022" s="767">
        <v>102.92446465988182</v>
      </c>
      <c r="AI1022" s="767">
        <v>102.92446465988182</v>
      </c>
      <c r="AJ1022" s="767">
        <v>102.92446465988182</v>
      </c>
      <c r="AK1022" s="767">
        <v>102.92446465988182</v>
      </c>
      <c r="AL1022" s="767">
        <v>102.92446465988182</v>
      </c>
      <c r="AM1022" s="767">
        <v>102.92446465988182</v>
      </c>
      <c r="AN1022" s="767">
        <v>102.92446465988182</v>
      </c>
      <c r="AO1022" s="767">
        <v>102.92446465988182</v>
      </c>
      <c r="AP1022" s="767">
        <v>102.92446465988182</v>
      </c>
      <c r="AQ1022" s="767">
        <v>102.92446465988182</v>
      </c>
      <c r="AR1022" s="767">
        <v>102.92446465988182</v>
      </c>
      <c r="AS1022" s="767">
        <v>102.92446465988182</v>
      </c>
      <c r="AT1022" s="2"/>
      <c r="AU1022" s="2"/>
    </row>
    <row r="1023" spans="1:47" hidden="1" outlineLevel="1">
      <c r="A1023" s="312"/>
      <c r="B1023" s="758" t="s">
        <v>614</v>
      </c>
      <c r="C1023" s="750" t="s">
        <v>733</v>
      </c>
      <c r="D1023" s="750"/>
      <c r="E1023" s="750"/>
      <c r="F1023" s="750"/>
      <c r="G1023" s="750"/>
      <c r="H1023" s="750"/>
      <c r="I1023" s="750"/>
      <c r="J1023" s="750"/>
      <c r="K1023" s="517"/>
      <c r="L1023" s="517"/>
      <c r="M1023" s="517"/>
      <c r="N1023" s="517"/>
      <c r="O1023" s="312">
        <v>5.0000000000000044E-2</v>
      </c>
      <c r="P1023" s="312">
        <v>0.27</v>
      </c>
      <c r="Q1023" s="312">
        <v>9.000000000000008E-2</v>
      </c>
      <c r="R1023" s="312">
        <v>-9.9999999999998979E-3</v>
      </c>
      <c r="S1023" s="313">
        <v>8.0000000000000071E-2</v>
      </c>
      <c r="T1023" s="312">
        <v>6.0000000000000053E-2</v>
      </c>
      <c r="U1023" s="312">
        <v>3.499999999999992E-2</v>
      </c>
      <c r="V1023" s="313">
        <v>4.0000000000000036E-2</v>
      </c>
      <c r="W1023" s="313">
        <v>4.0000000000000036E-2</v>
      </c>
      <c r="X1023" s="312">
        <v>2.2999999999999909E-2</v>
      </c>
      <c r="Y1023" s="312">
        <v>3.0000000000000249E-2</v>
      </c>
      <c r="Z1023" s="313">
        <v>2.4999999999999911E-2</v>
      </c>
      <c r="AA1023" s="313">
        <v>2.4999999999999911E-2</v>
      </c>
      <c r="AB1023" s="313">
        <v>2.4999999999999911E-2</v>
      </c>
      <c r="AC1023" s="313">
        <v>2.4999999999999689E-2</v>
      </c>
      <c r="AD1023" s="313">
        <v>2.4999999999999911E-2</v>
      </c>
      <c r="AE1023" s="313">
        <v>0</v>
      </c>
      <c r="AF1023" s="313">
        <v>0</v>
      </c>
      <c r="AG1023" s="313">
        <v>0</v>
      </c>
      <c r="AH1023" s="313">
        <v>0</v>
      </c>
      <c r="AI1023" s="313">
        <v>0</v>
      </c>
      <c r="AJ1023" s="313">
        <v>0</v>
      </c>
      <c r="AK1023" s="313">
        <v>0</v>
      </c>
      <c r="AL1023" s="313">
        <v>0</v>
      </c>
      <c r="AM1023" s="313">
        <v>0</v>
      </c>
      <c r="AN1023" s="313">
        <v>0</v>
      </c>
      <c r="AO1023" s="313">
        <v>0</v>
      </c>
      <c r="AP1023" s="313">
        <v>0</v>
      </c>
      <c r="AQ1023" s="313">
        <v>0</v>
      </c>
      <c r="AR1023" s="313">
        <v>0</v>
      </c>
      <c r="AS1023" s="313">
        <v>0</v>
      </c>
      <c r="AT1023" s="312"/>
      <c r="AU1023" s="514"/>
    </row>
    <row r="1024" spans="1:47" hidden="1" outlineLevel="1">
      <c r="A1024" s="2"/>
      <c r="B1024" s="2" t="s">
        <v>702</v>
      </c>
      <c r="C1024" s="38" t="s">
        <v>732</v>
      </c>
      <c r="D1024" s="38"/>
      <c r="E1024" s="38"/>
      <c r="F1024" s="38"/>
      <c r="G1024" s="38"/>
      <c r="H1024" s="38"/>
      <c r="I1024" s="38"/>
      <c r="J1024" s="38"/>
      <c r="K1024" s="2"/>
      <c r="L1024" s="2"/>
      <c r="M1024" s="2"/>
      <c r="N1024" s="19">
        <v>62.727277185514495</v>
      </c>
      <c r="O1024" s="19">
        <v>123.53671445074316</v>
      </c>
      <c r="P1024" s="19">
        <v>132.21727391350345</v>
      </c>
      <c r="Q1024" s="19">
        <v>114.67824291980008</v>
      </c>
      <c r="R1024" s="19">
        <v>121.91891024287528</v>
      </c>
      <c r="S1024" s="19">
        <v>153.98303389264194</v>
      </c>
      <c r="T1024" s="152">
        <v>160.04272221418768</v>
      </c>
      <c r="U1024" s="19">
        <v>125.36222611450715</v>
      </c>
      <c r="V1024" s="19">
        <v>80.57464821787373</v>
      </c>
      <c r="W1024" s="19">
        <v>127.99067163589268</v>
      </c>
      <c r="X1024" s="19">
        <v>0</v>
      </c>
      <c r="Y1024" s="19">
        <v>0</v>
      </c>
      <c r="Z1024" s="19">
        <v>0</v>
      </c>
      <c r="AA1024" s="19">
        <v>0</v>
      </c>
      <c r="AB1024" s="19">
        <v>0</v>
      </c>
      <c r="AC1024" s="19">
        <v>0</v>
      </c>
      <c r="AD1024" s="19">
        <v>0</v>
      </c>
      <c r="AE1024" s="19">
        <v>0</v>
      </c>
      <c r="AF1024" s="19">
        <v>0</v>
      </c>
      <c r="AG1024" s="19">
        <v>0</v>
      </c>
      <c r="AH1024" s="19">
        <v>0</v>
      </c>
      <c r="AI1024" s="19">
        <v>0</v>
      </c>
      <c r="AJ1024" s="19">
        <v>0</v>
      </c>
      <c r="AK1024" s="19">
        <v>0</v>
      </c>
      <c r="AL1024" s="19">
        <v>0</v>
      </c>
      <c r="AM1024" s="19">
        <v>0</v>
      </c>
      <c r="AN1024" s="19">
        <v>0</v>
      </c>
      <c r="AO1024" s="19">
        <v>0</v>
      </c>
      <c r="AP1024" s="19">
        <v>0</v>
      </c>
      <c r="AQ1024" s="19">
        <v>0</v>
      </c>
      <c r="AR1024" s="19">
        <v>0</v>
      </c>
      <c r="AS1024" s="19">
        <v>0</v>
      </c>
      <c r="AT1024" s="2"/>
      <c r="AU1024" s="2"/>
    </row>
    <row r="1025" spans="1:47" hidden="1" outlineLevel="1">
      <c r="A1025" s="2"/>
      <c r="B1025" s="6"/>
      <c r="C1025" s="37"/>
      <c r="D1025" s="37"/>
      <c r="E1025" s="37"/>
      <c r="F1025" s="37"/>
      <c r="G1025" s="37"/>
      <c r="H1025" s="37"/>
      <c r="I1025" s="37"/>
      <c r="J1025" s="37"/>
      <c r="K1025" s="6"/>
      <c r="L1025" s="6"/>
      <c r="M1025" s="6"/>
      <c r="N1025" s="4"/>
      <c r="O1025" s="4"/>
      <c r="P1025" s="4"/>
      <c r="Q1025" s="4"/>
      <c r="R1025" s="4"/>
      <c r="S1025" s="3"/>
      <c r="T1025" s="4"/>
      <c r="U1025" s="4"/>
      <c r="V1025" s="4"/>
      <c r="W1025" s="4"/>
      <c r="X1025" s="4"/>
      <c r="Y1025" s="4"/>
      <c r="Z1025" s="4"/>
      <c r="AA1025" s="4"/>
      <c r="AB1025" s="4"/>
      <c r="AC1025" s="4"/>
      <c r="AD1025" s="4"/>
      <c r="AE1025" s="4"/>
      <c r="AF1025" s="4"/>
      <c r="AG1025" s="4"/>
      <c r="AH1025" s="4"/>
      <c r="AI1025" s="4"/>
      <c r="AJ1025" s="4"/>
      <c r="AK1025" s="4"/>
      <c r="AL1025" s="4"/>
      <c r="AM1025" s="4"/>
      <c r="AN1025" s="4"/>
      <c r="AO1025" s="4"/>
      <c r="AP1025" s="4"/>
      <c r="AQ1025" s="4"/>
      <c r="AR1025" s="4"/>
      <c r="AS1025" s="4"/>
      <c r="AT1025" s="2"/>
      <c r="AU1025" s="2"/>
    </row>
    <row r="1026" spans="1:47" hidden="1" outlineLevel="1">
      <c r="A1026" s="2"/>
      <c r="B1026" s="6" t="s">
        <v>703</v>
      </c>
      <c r="C1026" s="37" t="s">
        <v>732</v>
      </c>
      <c r="D1026" s="37"/>
      <c r="E1026" s="37"/>
      <c r="F1026" s="37"/>
      <c r="G1026" s="37"/>
      <c r="H1026" s="37"/>
      <c r="I1026" s="37"/>
      <c r="J1026" s="37"/>
      <c r="K1026" s="778">
        <v>361.30706686869161</v>
      </c>
      <c r="L1026" s="24">
        <v>427.30592024258306</v>
      </c>
      <c r="M1026" s="24">
        <v>494.43660251703437</v>
      </c>
      <c r="N1026" s="24">
        <v>601.45057115250734</v>
      </c>
      <c r="O1026" s="24">
        <v>717.75739974521593</v>
      </c>
      <c r="P1026" s="24">
        <v>951.96662815501804</v>
      </c>
      <c r="Q1026" s="24">
        <v>1109.9811613831553</v>
      </c>
      <c r="R1026" s="24">
        <v>1242.844371601547</v>
      </c>
      <c r="S1026" s="24">
        <v>1480.7075467572154</v>
      </c>
      <c r="T1026" s="24">
        <v>1610.4715689596474</v>
      </c>
      <c r="U1026" s="24">
        <v>1727.0935583706928</v>
      </c>
      <c r="V1026" s="24">
        <v>1821.6944912939045</v>
      </c>
      <c r="W1026" s="24">
        <v>1981.8207930516946</v>
      </c>
      <c r="X1026" s="24">
        <v>2744.1315657570372</v>
      </c>
      <c r="Y1026" s="24">
        <v>2883.3061980811508</v>
      </c>
      <c r="Z1026" s="24">
        <v>2964.6033839337438</v>
      </c>
      <c r="AA1026" s="24">
        <v>3091.519303241324</v>
      </c>
      <c r="AB1026" s="24">
        <v>3216.7774200322947</v>
      </c>
      <c r="AC1026" s="24">
        <v>3330.2369332933595</v>
      </c>
      <c r="AD1026" s="24">
        <v>3446.4213633726658</v>
      </c>
      <c r="AE1026" s="24">
        <v>3500.8972728256667</v>
      </c>
      <c r="AF1026" s="24">
        <v>3557.2578002066712</v>
      </c>
      <c r="AG1026" s="24">
        <v>3615.57592199183</v>
      </c>
      <c r="AH1026" s="24">
        <v>3675.9275312860509</v>
      </c>
      <c r="AI1026" s="24">
        <v>3738.3915553385896</v>
      </c>
      <c r="AJ1026" s="24">
        <v>3803.0500778031105</v>
      </c>
      <c r="AK1026" s="24">
        <v>3869.9884659338595</v>
      </c>
      <c r="AL1026" s="24">
        <v>3939.2955029173399</v>
      </c>
      <c r="AM1026" s="24">
        <v>4011.0635255469242</v>
      </c>
      <c r="AN1026" s="24">
        <v>4085.3885674562353</v>
      </c>
      <c r="AO1026" s="24">
        <v>4162.3705081358294</v>
      </c>
      <c r="AP1026" s="24">
        <v>4242.1132279667936</v>
      </c>
      <c r="AQ1026" s="24">
        <v>4242.1132279667936</v>
      </c>
      <c r="AR1026" s="24">
        <v>4242.1132279667936</v>
      </c>
      <c r="AS1026" s="24">
        <v>4242.1132279667936</v>
      </c>
      <c r="AT1026" s="2"/>
      <c r="AU1026" s="2"/>
    </row>
    <row r="1027" spans="1:47" hidden="1" outlineLevel="1">
      <c r="A1027" s="312"/>
      <c r="B1027" s="758" t="s">
        <v>614</v>
      </c>
      <c r="C1027" s="750" t="s">
        <v>733</v>
      </c>
      <c r="D1027" s="750"/>
      <c r="E1027" s="750"/>
      <c r="F1027" s="750"/>
      <c r="G1027" s="750"/>
      <c r="H1027" s="750"/>
      <c r="I1027" s="750"/>
      <c r="J1027" s="750"/>
      <c r="K1027" s="759">
        <v>0.48257062609164048</v>
      </c>
      <c r="L1027" s="312">
        <v>0.18266693188671335</v>
      </c>
      <c r="M1027" s="312">
        <v>0.15710215818292661</v>
      </c>
      <c r="N1027" s="312">
        <v>0.21643617824953831</v>
      </c>
      <c r="O1027" s="312">
        <v>0.19337720200321695</v>
      </c>
      <c r="P1027" s="312">
        <v>0.32630695063950577</v>
      </c>
      <c r="Q1027" s="312">
        <v>0.16598747115156876</v>
      </c>
      <c r="R1027" s="312">
        <v>0.11969861727457598</v>
      </c>
      <c r="S1027" s="313">
        <v>0.19138613054919706</v>
      </c>
      <c r="T1027" s="312">
        <v>8.7636496813039422E-2</v>
      </c>
      <c r="U1027" s="312">
        <v>7.2414807972289941E-2</v>
      </c>
      <c r="V1027" s="313">
        <v>5.4774642904960258E-2</v>
      </c>
      <c r="W1027" s="313">
        <v>8.7899646468193593E-2</v>
      </c>
      <c r="X1027" s="312">
        <v>0.38465171794443775</v>
      </c>
      <c r="Y1027" s="312">
        <v>5.0717186471968212E-2</v>
      </c>
      <c r="Z1027" s="313">
        <v>2.8195821139876287E-2</v>
      </c>
      <c r="AA1027" s="313">
        <v>4.2810421115817121E-2</v>
      </c>
      <c r="AB1027" s="313">
        <v>4.0516685973670974E-2</v>
      </c>
      <c r="AC1027" s="313">
        <v>3.5271173117077392E-2</v>
      </c>
      <c r="AD1027" s="313">
        <v>3.4887736940809377E-2</v>
      </c>
      <c r="AE1027" s="313">
        <v>1.5806514557956008E-2</v>
      </c>
      <c r="AF1027" s="313">
        <v>1.6098880655105452E-2</v>
      </c>
      <c r="AG1027" s="313">
        <v>1.639412296229148E-2</v>
      </c>
      <c r="AH1027" s="313">
        <v>1.6692115058940082E-2</v>
      </c>
      <c r="AI1027" s="313">
        <v>1.6992724562958195E-2</v>
      </c>
      <c r="AJ1027" s="313">
        <v>1.7295813321690723E-2</v>
      </c>
      <c r="AK1027" s="313">
        <v>1.7601237628040112E-2</v>
      </c>
      <c r="AL1027" s="313">
        <v>1.7908848461323901E-2</v>
      </c>
      <c r="AM1027" s="313">
        <v>1.8218491752252319E-2</v>
      </c>
      <c r="AN1027" s="313">
        <v>1.8530008671248099E-2</v>
      </c>
      <c r="AO1027" s="313">
        <v>1.8843235939127956E-2</v>
      </c>
      <c r="AP1027" s="313">
        <v>1.9158006159013974E-2</v>
      </c>
      <c r="AQ1027" s="313">
        <v>1.9158006159013974E-2</v>
      </c>
      <c r="AR1027" s="313">
        <v>1.9158006159013974E-2</v>
      </c>
      <c r="AS1027" s="313">
        <v>1.9158006159013974E-2</v>
      </c>
      <c r="AT1027" s="312"/>
      <c r="AU1027" s="514"/>
    </row>
    <row r="1028" spans="1:47" hidden="1" outlineLevel="1">
      <c r="A1028" s="2"/>
      <c r="B1028" s="55"/>
      <c r="C1028" s="38"/>
      <c r="D1028" s="38"/>
      <c r="E1028" s="38"/>
      <c r="F1028" s="38"/>
      <c r="G1028" s="38"/>
      <c r="H1028" s="38"/>
      <c r="I1028" s="38"/>
      <c r="J1028" s="38"/>
      <c r="K1028" s="80"/>
      <c r="L1028" s="6"/>
      <c r="M1028" s="6"/>
      <c r="N1028" s="6"/>
      <c r="O1028" s="6"/>
      <c r="P1028" s="6"/>
      <c r="Q1028" s="6"/>
      <c r="R1028" s="6"/>
      <c r="S1028" s="2"/>
      <c r="T1028" s="6"/>
      <c r="U1028" s="6"/>
      <c r="V1028" s="6"/>
      <c r="W1028" s="6"/>
      <c r="X1028" s="6"/>
      <c r="Y1028" s="6"/>
      <c r="Z1028" s="6"/>
      <c r="AA1028" s="6"/>
      <c r="AB1028" s="6"/>
      <c r="AC1028" s="6"/>
      <c r="AD1028" s="6"/>
      <c r="AE1028" s="6"/>
      <c r="AF1028" s="6"/>
      <c r="AG1028" s="6"/>
      <c r="AH1028" s="6"/>
      <c r="AI1028" s="6"/>
      <c r="AJ1028" s="6"/>
      <c r="AK1028" s="6"/>
      <c r="AL1028" s="6"/>
      <c r="AM1028" s="6"/>
      <c r="AN1028" s="6"/>
      <c r="AO1028" s="6"/>
      <c r="AP1028" s="6"/>
      <c r="AQ1028" s="6"/>
      <c r="AR1028" s="6"/>
      <c r="AS1028" s="6"/>
      <c r="AT1028" s="2"/>
      <c r="AU1028" s="2"/>
    </row>
    <row r="1029" spans="1:47" hidden="1" outlineLevel="1">
      <c r="A1029" s="2"/>
      <c r="B1029" s="55"/>
      <c r="C1029" s="38"/>
      <c r="D1029" s="38"/>
      <c r="E1029" s="38"/>
      <c r="F1029" s="38"/>
      <c r="G1029" s="38"/>
      <c r="H1029" s="38"/>
      <c r="I1029" s="38"/>
      <c r="J1029" s="38"/>
      <c r="K1029" s="80"/>
      <c r="L1029" s="6"/>
      <c r="M1029" s="6"/>
      <c r="N1029" s="6"/>
      <c r="O1029" s="6"/>
      <c r="P1029" s="6"/>
      <c r="Q1029" s="6"/>
      <c r="R1029" s="6"/>
      <c r="S1029" s="2"/>
      <c r="T1029" s="6"/>
      <c r="U1029" s="6"/>
      <c r="V1029" s="6"/>
      <c r="W1029" s="6"/>
      <c r="X1029" s="6"/>
      <c r="Y1029" s="6"/>
      <c r="Z1029" s="6"/>
      <c r="AA1029" s="6"/>
      <c r="AB1029" s="6"/>
      <c r="AC1029" s="6"/>
      <c r="AD1029" s="6"/>
      <c r="AE1029" s="6"/>
      <c r="AF1029" s="6"/>
      <c r="AG1029" s="6"/>
      <c r="AH1029" s="6"/>
      <c r="AI1029" s="6"/>
      <c r="AJ1029" s="6"/>
      <c r="AK1029" s="6"/>
      <c r="AL1029" s="6"/>
      <c r="AM1029" s="6"/>
      <c r="AN1029" s="6"/>
      <c r="AO1029" s="6"/>
      <c r="AP1029" s="6"/>
      <c r="AQ1029" s="6"/>
      <c r="AR1029" s="6"/>
      <c r="AS1029" s="6"/>
      <c r="AT1029" s="2"/>
      <c r="AU1029" s="2"/>
    </row>
    <row r="1030" spans="1:47" hidden="1" outlineLevel="1">
      <c r="A1030" s="2"/>
      <c r="B1030" s="25"/>
      <c r="C1030" s="40" t="s">
        <v>229</v>
      </c>
      <c r="D1030" s="40"/>
      <c r="E1030" s="40"/>
      <c r="F1030" s="40"/>
      <c r="G1030" s="40"/>
      <c r="H1030" s="40"/>
      <c r="I1030" s="40"/>
      <c r="J1030" s="40"/>
      <c r="K1030" s="41">
        <v>0</v>
      </c>
      <c r="L1030" s="41">
        <v>1</v>
      </c>
      <c r="M1030" s="41">
        <v>2</v>
      </c>
      <c r="N1030" s="41">
        <v>3</v>
      </c>
      <c r="O1030" s="41">
        <v>4</v>
      </c>
      <c r="P1030" s="41">
        <v>5</v>
      </c>
      <c r="Q1030" s="41">
        <v>6</v>
      </c>
      <c r="R1030" s="41">
        <v>7</v>
      </c>
      <c r="S1030" s="41">
        <v>8</v>
      </c>
      <c r="T1030" s="41">
        <v>9</v>
      </c>
      <c r="U1030" s="41">
        <v>10</v>
      </c>
      <c r="V1030" s="41">
        <v>11</v>
      </c>
      <c r="W1030" s="41">
        <v>12</v>
      </c>
      <c r="X1030" s="41">
        <v>13</v>
      </c>
      <c r="Y1030" s="41">
        <v>14</v>
      </c>
      <c r="Z1030" s="41">
        <v>15</v>
      </c>
      <c r="AA1030" s="41">
        <v>16</v>
      </c>
      <c r="AB1030" s="41">
        <v>17</v>
      </c>
      <c r="AC1030" s="41">
        <v>18</v>
      </c>
      <c r="AD1030" s="41">
        <v>19</v>
      </c>
      <c r="AE1030" s="41">
        <v>20</v>
      </c>
      <c r="AF1030" s="41">
        <v>21</v>
      </c>
      <c r="AG1030" s="41">
        <v>22</v>
      </c>
      <c r="AH1030" s="41">
        <v>23</v>
      </c>
      <c r="AI1030" s="41">
        <v>24</v>
      </c>
      <c r="AJ1030" s="41">
        <v>25</v>
      </c>
      <c r="AK1030" s="41">
        <v>26</v>
      </c>
      <c r="AL1030" s="41">
        <v>27</v>
      </c>
      <c r="AM1030" s="41">
        <v>28</v>
      </c>
      <c r="AN1030" s="41">
        <v>29</v>
      </c>
      <c r="AO1030" s="41">
        <v>30</v>
      </c>
      <c r="AP1030" s="41">
        <v>31</v>
      </c>
      <c r="AQ1030" s="41">
        <v>31</v>
      </c>
      <c r="AR1030" s="41">
        <v>31</v>
      </c>
      <c r="AS1030" s="41">
        <v>31</v>
      </c>
      <c r="AT1030" s="2"/>
      <c r="AU1030" s="2"/>
    </row>
    <row r="1031" spans="1:47" hidden="1" outlineLevel="1">
      <c r="A1031" s="2"/>
      <c r="B1031" s="2" t="s">
        <v>704</v>
      </c>
      <c r="C1031" s="38"/>
      <c r="D1031" s="38"/>
      <c r="E1031" s="38"/>
      <c r="F1031" s="38"/>
      <c r="G1031" s="38"/>
      <c r="H1031" s="38"/>
      <c r="I1031" s="38"/>
      <c r="J1031" s="38"/>
      <c r="K1031" s="80"/>
      <c r="L1031" s="6"/>
      <c r="M1031" s="6"/>
      <c r="N1031" s="6"/>
      <c r="O1031" s="6"/>
      <c r="P1031" s="6"/>
      <c r="Q1031" s="6"/>
      <c r="R1031" s="6"/>
      <c r="S1031" s="2"/>
      <c r="T1031" s="6"/>
      <c r="U1031" s="6"/>
      <c r="V1031" s="6"/>
      <c r="W1031" s="6"/>
      <c r="X1031" s="6"/>
      <c r="Y1031" s="6"/>
      <c r="Z1031" s="6"/>
      <c r="AA1031" s="6"/>
      <c r="AB1031" s="6"/>
      <c r="AC1031" s="6"/>
      <c r="AD1031" s="6"/>
      <c r="AE1031" s="6"/>
      <c r="AF1031" s="6"/>
      <c r="AG1031" s="6"/>
      <c r="AH1031" s="6"/>
      <c r="AI1031" s="6"/>
      <c r="AJ1031" s="6"/>
      <c r="AK1031" s="6"/>
      <c r="AL1031" s="6"/>
      <c r="AM1031" s="6"/>
      <c r="AN1031" s="6"/>
      <c r="AO1031" s="6"/>
      <c r="AP1031" s="6"/>
      <c r="AQ1031" s="6"/>
      <c r="AR1031" s="6"/>
      <c r="AS1031" s="6"/>
      <c r="AT1031" s="2"/>
      <c r="AU1031" s="2"/>
    </row>
    <row r="1032" spans="1:47" hidden="1" outlineLevel="1">
      <c r="A1032" s="2"/>
      <c r="B1032" s="2" t="s">
        <v>705</v>
      </c>
      <c r="C1032" s="38"/>
      <c r="D1032" s="38"/>
      <c r="E1032" s="38"/>
      <c r="F1032" s="38"/>
      <c r="G1032" s="38"/>
      <c r="H1032" s="38"/>
      <c r="I1032" s="38"/>
      <c r="J1032" s="38"/>
      <c r="K1032" s="80"/>
      <c r="L1032" s="6"/>
      <c r="M1032" s="6"/>
      <c r="N1032" s="6"/>
      <c r="O1032" s="6"/>
      <c r="P1032" s="6"/>
      <c r="Q1032" s="6"/>
      <c r="R1032" s="6"/>
      <c r="S1032" s="2"/>
      <c r="T1032" s="6"/>
      <c r="U1032" s="6"/>
      <c r="V1032" s="2"/>
      <c r="W1032" s="6"/>
      <c r="X1032" s="6"/>
      <c r="Y1032" s="6"/>
      <c r="Z1032" s="6"/>
      <c r="AA1032" s="6"/>
      <c r="AB1032" s="6"/>
      <c r="AC1032" s="6"/>
      <c r="AD1032" s="6"/>
      <c r="AE1032" s="6"/>
      <c r="AF1032" s="6"/>
      <c r="AG1032" s="6"/>
      <c r="AH1032" s="6"/>
      <c r="AI1032" s="6"/>
      <c r="AJ1032" s="6"/>
      <c r="AK1032" s="6"/>
      <c r="AL1032" s="6"/>
      <c r="AM1032" s="6"/>
      <c r="AN1032" s="6"/>
      <c r="AO1032" s="6"/>
      <c r="AP1032" s="6"/>
      <c r="AQ1032" s="6"/>
      <c r="AR1032" s="6"/>
      <c r="AS1032" s="6"/>
      <c r="AT1032" s="2"/>
      <c r="AU1032" s="2"/>
    </row>
    <row r="1033" spans="1:47" hidden="1" outlineLevel="1">
      <c r="A1033" s="2"/>
      <c r="B1033" s="2" t="s">
        <v>706</v>
      </c>
      <c r="C1033" s="38" t="s">
        <v>733</v>
      </c>
      <c r="D1033" s="38"/>
      <c r="E1033" s="38"/>
      <c r="F1033" s="38"/>
      <c r="G1033" s="38"/>
      <c r="H1033" s="38"/>
      <c r="I1033" s="38"/>
      <c r="J1033" s="38"/>
      <c r="K1033" s="779">
        <v>0.33</v>
      </c>
      <c r="L1033" s="779">
        <v>0.34499999999999997</v>
      </c>
      <c r="M1033" s="779">
        <v>0.24</v>
      </c>
      <c r="N1033" s="752">
        <v>0.24</v>
      </c>
      <c r="O1033" s="779">
        <v>0.18</v>
      </c>
      <c r="P1033" s="779">
        <v>0.15</v>
      </c>
      <c r="Q1033" s="779">
        <v>0.14000000000000001</v>
      </c>
      <c r="R1033" s="752">
        <v>0.13</v>
      </c>
      <c r="S1033" s="752">
        <v>0.13</v>
      </c>
      <c r="T1033" s="752">
        <v>0.13300000000000001</v>
      </c>
      <c r="U1033" s="752">
        <v>0.1</v>
      </c>
      <c r="V1033" s="752">
        <v>9.0000000000000011E-2</v>
      </c>
      <c r="W1033" s="752">
        <v>8.0000000000000016E-2</v>
      </c>
      <c r="X1033" s="752">
        <v>0.06</v>
      </c>
      <c r="Y1033" s="752">
        <v>4.9999999999999996E-2</v>
      </c>
      <c r="Z1033" s="752">
        <v>3.9999999999999994E-2</v>
      </c>
      <c r="AA1033" s="752">
        <v>2.9999999999999992E-2</v>
      </c>
      <c r="AB1033" s="752">
        <v>0.04</v>
      </c>
      <c r="AC1033" s="752">
        <v>0.03</v>
      </c>
      <c r="AD1033" s="752">
        <v>0.02</v>
      </c>
      <c r="AE1033" s="752">
        <v>0.02</v>
      </c>
      <c r="AF1033" s="752">
        <v>0.02</v>
      </c>
      <c r="AG1033" s="752">
        <v>0.02</v>
      </c>
      <c r="AH1033" s="752">
        <v>0.02</v>
      </c>
      <c r="AI1033" s="752">
        <v>0.02</v>
      </c>
      <c r="AJ1033" s="752">
        <v>0.02</v>
      </c>
      <c r="AK1033" s="752">
        <v>0.02</v>
      </c>
      <c r="AL1033" s="752">
        <v>0.02</v>
      </c>
      <c r="AM1033" s="752">
        <v>0.02</v>
      </c>
      <c r="AN1033" s="752">
        <v>0.02</v>
      </c>
      <c r="AO1033" s="752">
        <v>0.02</v>
      </c>
      <c r="AP1033" s="752">
        <v>0.02</v>
      </c>
      <c r="AQ1033" s="752">
        <v>0.02</v>
      </c>
      <c r="AR1033" s="752">
        <v>0.02</v>
      </c>
      <c r="AS1033" s="752">
        <v>0.02</v>
      </c>
      <c r="AT1033" s="2"/>
      <c r="AU1033" s="2"/>
    </row>
    <row r="1034" spans="1:47" hidden="1" outlineLevel="1">
      <c r="A1034" s="2"/>
      <c r="B1034" s="2" t="s">
        <v>707</v>
      </c>
      <c r="C1034" s="38" t="s">
        <v>846</v>
      </c>
      <c r="D1034" s="38"/>
      <c r="E1034" s="38"/>
      <c r="F1034" s="38"/>
      <c r="G1034" s="38"/>
      <c r="H1034" s="38"/>
      <c r="I1034" s="38"/>
      <c r="J1034" s="38"/>
      <c r="K1034" s="570">
        <v>142.08285016406248</v>
      </c>
      <c r="L1034" s="19">
        <v>163.01628418478899</v>
      </c>
      <c r="M1034" s="19">
        <v>117.06622873970619</v>
      </c>
      <c r="N1034" s="19">
        <v>116.00182350131898</v>
      </c>
      <c r="O1034" s="19">
        <v>93.329710901709603</v>
      </c>
      <c r="P1034" s="19">
        <v>90.85273190836601</v>
      </c>
      <c r="Q1034" s="19">
        <v>94.262468953834485</v>
      </c>
      <c r="R1034" s="19">
        <v>96.521512671928832</v>
      </c>
      <c r="S1034" s="19">
        <v>103.21969127995771</v>
      </c>
      <c r="T1034" s="19">
        <v>109.41150850647143</v>
      </c>
      <c r="U1034" s="19">
        <v>86.629433647931961</v>
      </c>
      <c r="V1034" s="19">
        <v>79.17726401459457</v>
      </c>
      <c r="W1034" s="19">
        <v>69.81675191331361</v>
      </c>
      <c r="X1034" s="19">
        <v>52.673795238695149</v>
      </c>
      <c r="Y1034" s="19">
        <v>44.107784478342992</v>
      </c>
      <c r="Z1034" s="19">
        <v>35.811088053250856</v>
      </c>
      <c r="AA1034" s="19">
        <v>27.932648681535664</v>
      </c>
      <c r="AB1034" s="19">
        <v>38.163665884890307</v>
      </c>
      <c r="AC1034" s="19">
        <v>29.052802663564631</v>
      </c>
      <c r="AD1034" s="19">
        <v>19.56030278339005</v>
      </c>
      <c r="AE1034" s="19">
        <v>19.56030278339005</v>
      </c>
      <c r="AF1034" s="19">
        <v>19.56030278339005</v>
      </c>
      <c r="AG1034" s="19">
        <v>19.56030278339005</v>
      </c>
      <c r="AH1034" s="19">
        <v>19.56030278339005</v>
      </c>
      <c r="AI1034" s="19">
        <v>19.56030278339005</v>
      </c>
      <c r="AJ1034" s="19">
        <v>19.56030278339005</v>
      </c>
      <c r="AK1034" s="19">
        <v>19.56030278339005</v>
      </c>
      <c r="AL1034" s="19">
        <v>19.56030278339005</v>
      </c>
      <c r="AM1034" s="19">
        <v>19.56030278339005</v>
      </c>
      <c r="AN1034" s="19">
        <v>19.56030278339005</v>
      </c>
      <c r="AO1034" s="19">
        <v>19.56030278339005</v>
      </c>
      <c r="AP1034" s="19">
        <v>19.56030278339005</v>
      </c>
      <c r="AQ1034" s="19">
        <v>19.56030278339005</v>
      </c>
      <c r="AR1034" s="19">
        <v>19.56030278339005</v>
      </c>
      <c r="AS1034" s="19">
        <v>19.56030278339005</v>
      </c>
      <c r="AT1034" s="2"/>
      <c r="AU1034" s="2"/>
    </row>
    <row r="1035" spans="1:47" hidden="1" outlineLevel="1">
      <c r="A1035" s="2"/>
      <c r="B1035" s="2" t="s">
        <v>708</v>
      </c>
      <c r="C1035" s="38" t="s">
        <v>733</v>
      </c>
      <c r="D1035" s="38"/>
      <c r="E1035" s="38"/>
      <c r="F1035" s="38"/>
      <c r="G1035" s="38"/>
      <c r="H1035" s="38"/>
      <c r="I1035" s="38"/>
      <c r="J1035" s="38"/>
      <c r="K1035" s="780">
        <v>0.12</v>
      </c>
      <c r="L1035" s="780">
        <v>0.12</v>
      </c>
      <c r="M1035" s="780">
        <v>0.13</v>
      </c>
      <c r="N1035" s="781">
        <v>0.13</v>
      </c>
      <c r="O1035" s="781">
        <v>0.13</v>
      </c>
      <c r="P1035" s="781">
        <v>0.13</v>
      </c>
      <c r="Q1035" s="781">
        <v>0.13</v>
      </c>
      <c r="R1035" s="752">
        <v>0.13</v>
      </c>
      <c r="S1035" s="752">
        <v>0.13</v>
      </c>
      <c r="T1035" s="752">
        <v>0.13300000000000001</v>
      </c>
      <c r="U1035" s="752">
        <v>0.1</v>
      </c>
      <c r="V1035" s="752">
        <v>9.0000000000000011E-2</v>
      </c>
      <c r="W1035" s="752">
        <v>8.0000000000000016E-2</v>
      </c>
      <c r="X1035" s="752">
        <v>7.0000000000000021E-2</v>
      </c>
      <c r="Y1035" s="752">
        <v>6.0000000000000019E-2</v>
      </c>
      <c r="Z1035" s="752">
        <v>5.0000000000000017E-2</v>
      </c>
      <c r="AA1035" s="752">
        <v>0.02</v>
      </c>
      <c r="AB1035" s="752">
        <v>0.02</v>
      </c>
      <c r="AC1035" s="752">
        <v>0.02</v>
      </c>
      <c r="AD1035" s="752">
        <v>0.02</v>
      </c>
      <c r="AE1035" s="752">
        <v>0.02</v>
      </c>
      <c r="AF1035" s="752">
        <v>0.02</v>
      </c>
      <c r="AG1035" s="752">
        <v>0.02</v>
      </c>
      <c r="AH1035" s="752">
        <v>0.02</v>
      </c>
      <c r="AI1035" s="752">
        <v>0.02</v>
      </c>
      <c r="AJ1035" s="752">
        <v>0.02</v>
      </c>
      <c r="AK1035" s="752">
        <v>0.02</v>
      </c>
      <c r="AL1035" s="752">
        <v>0.02</v>
      </c>
      <c r="AM1035" s="752">
        <v>0.02</v>
      </c>
      <c r="AN1035" s="752">
        <v>0.02</v>
      </c>
      <c r="AO1035" s="752">
        <v>0.02</v>
      </c>
      <c r="AP1035" s="752">
        <v>0.02</v>
      </c>
      <c r="AQ1035" s="752">
        <v>0.02</v>
      </c>
      <c r="AR1035" s="752">
        <v>0.02</v>
      </c>
      <c r="AS1035" s="752">
        <v>0.02</v>
      </c>
      <c r="AT1035" s="2"/>
      <c r="AU1035" s="2"/>
    </row>
    <row r="1036" spans="1:47" hidden="1" outlineLevel="1">
      <c r="A1036" s="2"/>
      <c r="B1036" s="2" t="s">
        <v>709</v>
      </c>
      <c r="C1036" s="38" t="s">
        <v>846</v>
      </c>
      <c r="D1036" s="38"/>
      <c r="E1036" s="38"/>
      <c r="F1036" s="38"/>
      <c r="G1036" s="38"/>
      <c r="H1036" s="38"/>
      <c r="I1036" s="38"/>
      <c r="J1036" s="38"/>
      <c r="K1036" s="570">
        <v>16.135194599999998</v>
      </c>
      <c r="L1036" s="19">
        <v>26.038040489999993</v>
      </c>
      <c r="M1036" s="19">
        <v>36.818259331120302</v>
      </c>
      <c r="N1036" s="19">
        <v>43.282550132198502</v>
      </c>
      <c r="O1036" s="19">
        <v>45.594666153738032</v>
      </c>
      <c r="P1036" s="19">
        <v>46.532904461169579</v>
      </c>
      <c r="Q1036" s="19">
        <v>52.440761955174196</v>
      </c>
      <c r="R1036" s="19">
        <v>60.885420827109421</v>
      </c>
      <c r="S1036" s="19">
        <v>69.592036005386063</v>
      </c>
      <c r="T1036" s="19">
        <v>78.493260089544677</v>
      </c>
      <c r="U1036" s="19">
        <v>63.367708717487432</v>
      </c>
      <c r="V1036" s="19">
        <v>61.297290696121848</v>
      </c>
      <c r="W1036" s="19">
        <v>58.018889169035646</v>
      </c>
      <c r="X1036" s="19">
        <v>52.506390585244631</v>
      </c>
      <c r="Y1036" s="19">
        <v>44.777091638538252</v>
      </c>
      <c r="Z1036" s="19">
        <v>36.567958171472917</v>
      </c>
      <c r="AA1036" s="19">
        <v>14.551831112357032</v>
      </c>
      <c r="AB1036" s="19">
        <v>14.62422828207025</v>
      </c>
      <c r="AC1036" s="19">
        <v>14.62422828207025</v>
      </c>
      <c r="AD1036" s="19">
        <v>14.697349423480603</v>
      </c>
      <c r="AE1036" s="19">
        <v>14.844322917715408</v>
      </c>
      <c r="AF1036" s="19">
        <v>14.992766146892563</v>
      </c>
      <c r="AG1036" s="19">
        <v>15.142693808361489</v>
      </c>
      <c r="AH1036" s="19">
        <v>15.294120746445106</v>
      </c>
      <c r="AI1036" s="19">
        <v>15.447061953909555</v>
      </c>
      <c r="AJ1036" s="19">
        <v>15.601532573448653</v>
      </c>
      <c r="AK1036" s="19">
        <v>15.757547899183139</v>
      </c>
      <c r="AL1036" s="19">
        <v>15.915123378174972</v>
      </c>
      <c r="AM1036" s="19">
        <v>16.074274611956721</v>
      </c>
      <c r="AN1036" s="19">
        <v>16.235017358076288</v>
      </c>
      <c r="AO1036" s="19">
        <v>16.39736753165705</v>
      </c>
      <c r="AP1036" s="19">
        <v>16.561341206973619</v>
      </c>
      <c r="AQ1036" s="19">
        <v>16.561341206973619</v>
      </c>
      <c r="AR1036" s="19">
        <v>16.561341206973619</v>
      </c>
      <c r="AS1036" s="19">
        <v>16.561341206973619</v>
      </c>
      <c r="AT1036" s="2"/>
      <c r="AU1036" s="2"/>
    </row>
    <row r="1037" spans="1:47" hidden="1" outlineLevel="1">
      <c r="A1037" s="2"/>
      <c r="B1037" s="2" t="s">
        <v>710</v>
      </c>
      <c r="C1037" s="38" t="s">
        <v>846</v>
      </c>
      <c r="D1037" s="38"/>
      <c r="E1037" s="38"/>
      <c r="F1037" s="38"/>
      <c r="G1037" s="38"/>
      <c r="H1037" s="38"/>
      <c r="I1037" s="38"/>
      <c r="J1037" s="38"/>
      <c r="K1037" s="570">
        <v>158.21804476406248</v>
      </c>
      <c r="L1037" s="19">
        <v>189.05432467478897</v>
      </c>
      <c r="M1037" s="19">
        <v>153.88448807082648</v>
      </c>
      <c r="N1037" s="19">
        <v>159.28437363351748</v>
      </c>
      <c r="O1037" s="19">
        <v>138.92437705544762</v>
      </c>
      <c r="P1037" s="19">
        <v>137.38563636953558</v>
      </c>
      <c r="Q1037" s="19">
        <v>146.70323090900868</v>
      </c>
      <c r="R1037" s="19">
        <v>157.40693349903825</v>
      </c>
      <c r="S1037" s="19">
        <v>172.81172728534378</v>
      </c>
      <c r="T1037" s="19">
        <v>187.90476859601611</v>
      </c>
      <c r="U1037" s="19">
        <v>149.99714236541939</v>
      </c>
      <c r="V1037" s="19">
        <v>140.4745547107164</v>
      </c>
      <c r="W1037" s="19">
        <v>127.83564108234926</v>
      </c>
      <c r="X1037" s="19">
        <v>105.18018582393978</v>
      </c>
      <c r="Y1037" s="19">
        <v>88.884876116881244</v>
      </c>
      <c r="Z1037" s="19">
        <v>72.379046224723766</v>
      </c>
      <c r="AA1037" s="19">
        <v>42.484479793892696</v>
      </c>
      <c r="AB1037" s="19">
        <v>52.787894166960555</v>
      </c>
      <c r="AC1037" s="19">
        <v>43.677030945634883</v>
      </c>
      <c r="AD1037" s="19">
        <v>34.257652206870652</v>
      </c>
      <c r="AE1037" s="19">
        <v>34.404625701105459</v>
      </c>
      <c r="AF1037" s="19">
        <v>34.553068930282613</v>
      </c>
      <c r="AG1037" s="19">
        <v>34.702996591751543</v>
      </c>
      <c r="AH1037" s="19">
        <v>34.854423529835159</v>
      </c>
      <c r="AI1037" s="19">
        <v>35.007364737299604</v>
      </c>
      <c r="AJ1037" s="19">
        <v>35.161835356838701</v>
      </c>
      <c r="AK1037" s="19">
        <v>35.317850682573187</v>
      </c>
      <c r="AL1037" s="19">
        <v>35.475426161565025</v>
      </c>
      <c r="AM1037" s="19">
        <v>35.634577395346767</v>
      </c>
      <c r="AN1037" s="19">
        <v>35.795320141466334</v>
      </c>
      <c r="AO1037" s="19">
        <v>35.957670315047096</v>
      </c>
      <c r="AP1037" s="19">
        <v>36.121643990363665</v>
      </c>
      <c r="AQ1037" s="19">
        <v>36.121643990363665</v>
      </c>
      <c r="AR1037" s="19">
        <v>36.121643990363665</v>
      </c>
      <c r="AS1037" s="19">
        <v>36.121643990363665</v>
      </c>
      <c r="AT1037" s="2"/>
      <c r="AU1037" s="2"/>
    </row>
    <row r="1038" spans="1:47" hidden="1" outlineLevel="1">
      <c r="A1038" s="2"/>
      <c r="B1038" s="2" t="s">
        <v>711</v>
      </c>
      <c r="C1038" s="38" t="s">
        <v>733</v>
      </c>
      <c r="D1038" s="38"/>
      <c r="E1038" s="38"/>
      <c r="F1038" s="38"/>
      <c r="G1038" s="38"/>
      <c r="H1038" s="38"/>
      <c r="I1038" s="38"/>
      <c r="J1038" s="38"/>
      <c r="K1038" s="530">
        <v>0.28002497596369907</v>
      </c>
      <c r="L1038" s="2">
        <v>0.27419259537518109</v>
      </c>
      <c r="M1038" s="2">
        <v>0.19959250174241255</v>
      </c>
      <c r="N1038" s="2">
        <v>0.19513361390221953</v>
      </c>
      <c r="O1038" s="2">
        <v>0.15982527207707428</v>
      </c>
      <c r="P1038" s="2">
        <v>0.14257089737515144</v>
      </c>
      <c r="Q1038" s="2">
        <v>0.13625343373627596</v>
      </c>
      <c r="R1038" s="2">
        <v>0.12999999999999998</v>
      </c>
      <c r="S1038" s="2">
        <v>0.13</v>
      </c>
      <c r="T1038" s="2">
        <v>0.13300000000000001</v>
      </c>
      <c r="U1038" s="2">
        <v>0.1</v>
      </c>
      <c r="V1038" s="2">
        <v>9.0000000000000011E-2</v>
      </c>
      <c r="W1038" s="2">
        <v>0.08</v>
      </c>
      <c r="X1038" s="2">
        <v>6.4607474678718704E-2</v>
      </c>
      <c r="Y1038" s="2">
        <v>5.458281919193457E-2</v>
      </c>
      <c r="Z1038" s="2">
        <v>4.4496144186085732E-2</v>
      </c>
      <c r="AA1038" s="2">
        <v>2.5613429814016878E-2</v>
      </c>
      <c r="AB1038" s="2">
        <v>3.132249349180341E-2</v>
      </c>
      <c r="AC1038" s="2">
        <v>2.5697840709857252E-2</v>
      </c>
      <c r="AD1038" s="2">
        <v>0.02</v>
      </c>
      <c r="AE1038" s="2">
        <v>0.02</v>
      </c>
      <c r="AF1038" s="2">
        <v>0.02</v>
      </c>
      <c r="AG1038" s="2">
        <v>2.0000000000000004E-2</v>
      </c>
      <c r="AH1038" s="2">
        <v>2.0000000000000004E-2</v>
      </c>
      <c r="AI1038" s="2">
        <v>0.02</v>
      </c>
      <c r="AJ1038" s="2">
        <v>0.02</v>
      </c>
      <c r="AK1038" s="2">
        <v>0.02</v>
      </c>
      <c r="AL1038" s="2">
        <v>2.0000000000000004E-2</v>
      </c>
      <c r="AM1038" s="2">
        <v>0.02</v>
      </c>
      <c r="AN1038" s="2">
        <v>0.02</v>
      </c>
      <c r="AO1038" s="2">
        <v>0.02</v>
      </c>
      <c r="AP1038" s="2">
        <v>1.9999999999999997E-2</v>
      </c>
      <c r="AQ1038" s="2">
        <v>1.9999999999999997E-2</v>
      </c>
      <c r="AR1038" s="2">
        <v>1.9999999999999997E-2</v>
      </c>
      <c r="AS1038" s="2">
        <v>1.9999999999999997E-2</v>
      </c>
      <c r="AT1038" s="2"/>
      <c r="AU1038" s="2"/>
    </row>
    <row r="1039" spans="1:47" hidden="1" outlineLevel="1">
      <c r="A1039" s="2"/>
      <c r="B1039" s="2" t="s">
        <v>712</v>
      </c>
      <c r="C1039" s="38"/>
      <c r="D1039" s="38"/>
      <c r="E1039" s="38"/>
      <c r="F1039" s="38"/>
      <c r="G1039" s="38"/>
      <c r="H1039" s="38"/>
      <c r="I1039" s="38"/>
      <c r="J1039" s="38"/>
      <c r="K1039" s="80"/>
      <c r="L1039" s="6"/>
      <c r="M1039" s="6"/>
      <c r="N1039" s="2"/>
      <c r="O1039" s="2"/>
      <c r="P1039" s="2"/>
      <c r="Q1039" s="6"/>
      <c r="R1039" s="6"/>
      <c r="S1039" s="2"/>
      <c r="T1039" s="6"/>
      <c r="U1039" s="6"/>
      <c r="V1039" s="6"/>
      <c r="W1039" s="6"/>
      <c r="X1039" s="6"/>
      <c r="Y1039" s="6"/>
      <c r="Z1039" s="6"/>
      <c r="AA1039" s="6"/>
      <c r="AB1039" s="6"/>
      <c r="AC1039" s="6"/>
      <c r="AD1039" s="6"/>
      <c r="AE1039" s="6"/>
      <c r="AF1039" s="6"/>
      <c r="AG1039" s="6"/>
      <c r="AH1039" s="6"/>
      <c r="AI1039" s="6"/>
      <c r="AJ1039" s="6"/>
      <c r="AK1039" s="6"/>
      <c r="AL1039" s="6"/>
      <c r="AM1039" s="6"/>
      <c r="AN1039" s="6"/>
      <c r="AO1039" s="6"/>
      <c r="AP1039" s="6"/>
      <c r="AQ1039" s="6"/>
      <c r="AR1039" s="6"/>
      <c r="AS1039" s="6"/>
      <c r="AT1039" s="2"/>
      <c r="AU1039" s="2"/>
    </row>
    <row r="1040" spans="1:47" hidden="1" outlineLevel="1">
      <c r="A1040" s="2"/>
      <c r="B1040" s="2" t="s">
        <v>713</v>
      </c>
      <c r="C1040" s="38" t="s">
        <v>35</v>
      </c>
      <c r="D1040" s="38"/>
      <c r="E1040" s="38"/>
      <c r="F1040" s="38"/>
      <c r="G1040" s="38"/>
      <c r="H1040" s="38"/>
      <c r="I1040" s="38"/>
      <c r="J1040" s="38"/>
      <c r="K1040" s="766">
        <v>28.5</v>
      </c>
      <c r="L1040" s="767">
        <v>27.074999999999999</v>
      </c>
      <c r="M1040" s="767">
        <v>25.721249999999998</v>
      </c>
      <c r="N1040" s="767">
        <v>24.435187499999998</v>
      </c>
      <c r="O1040" s="767">
        <v>23.213428124999997</v>
      </c>
      <c r="P1040" s="767">
        <v>22.052756718749997</v>
      </c>
      <c r="Q1040" s="767">
        <v>20.950118882812497</v>
      </c>
      <c r="R1040" s="767">
        <v>20.950118882812497</v>
      </c>
      <c r="S1040" s="767">
        <v>20.950118882812497</v>
      </c>
      <c r="T1040" s="767">
        <v>20.950118882812497</v>
      </c>
      <c r="U1040" s="767">
        <v>20.950118882812497</v>
      </c>
      <c r="V1040" s="767">
        <v>20.950118882812497</v>
      </c>
      <c r="W1040" s="767">
        <v>20.950118882812497</v>
      </c>
      <c r="X1040" s="767">
        <v>20.950118882812497</v>
      </c>
      <c r="Y1040" s="767">
        <v>20.950118882812497</v>
      </c>
      <c r="Z1040" s="767">
        <v>20.950118882812497</v>
      </c>
      <c r="AA1040" s="767">
        <v>20.950118882812497</v>
      </c>
      <c r="AB1040" s="767">
        <v>20.950118882812497</v>
      </c>
      <c r="AC1040" s="767">
        <v>20.950118882812497</v>
      </c>
      <c r="AD1040" s="767">
        <v>20.950118882812497</v>
      </c>
      <c r="AE1040" s="767">
        <v>20.950118882812497</v>
      </c>
      <c r="AF1040" s="767">
        <v>20.950118882812497</v>
      </c>
      <c r="AG1040" s="767">
        <v>20.950118882812497</v>
      </c>
      <c r="AH1040" s="767">
        <v>20.950118882812497</v>
      </c>
      <c r="AI1040" s="767">
        <v>20.950118882812497</v>
      </c>
      <c r="AJ1040" s="767">
        <v>20.950118882812497</v>
      </c>
      <c r="AK1040" s="767">
        <v>20.950118882812497</v>
      </c>
      <c r="AL1040" s="767">
        <v>20.950118882812497</v>
      </c>
      <c r="AM1040" s="767">
        <v>20.950118882812497</v>
      </c>
      <c r="AN1040" s="767">
        <v>20.950118882812497</v>
      </c>
      <c r="AO1040" s="767">
        <v>20.950118882812497</v>
      </c>
      <c r="AP1040" s="767">
        <v>20.950118882812497</v>
      </c>
      <c r="AQ1040" s="767">
        <v>20.950118882812497</v>
      </c>
      <c r="AR1040" s="767">
        <v>20.950118882812497</v>
      </c>
      <c r="AS1040" s="767">
        <v>20.950118882812497</v>
      </c>
      <c r="AT1040" s="2"/>
      <c r="AU1040" s="2"/>
    </row>
    <row r="1041" spans="1:47" hidden="1" outlineLevel="1">
      <c r="A1041" s="2"/>
      <c r="B1041" s="2" t="s">
        <v>597</v>
      </c>
      <c r="C1041" s="38" t="s">
        <v>35</v>
      </c>
      <c r="D1041" s="38"/>
      <c r="E1041" s="38"/>
      <c r="F1041" s="38"/>
      <c r="G1041" s="38"/>
      <c r="H1041" s="38"/>
      <c r="I1041" s="38"/>
      <c r="J1041" s="38"/>
      <c r="K1041" s="766">
        <v>14.25</v>
      </c>
      <c r="L1041" s="767">
        <v>13.5375</v>
      </c>
      <c r="M1041" s="767">
        <v>12.860624999999999</v>
      </c>
      <c r="N1041" s="767">
        <v>12.217593749999999</v>
      </c>
      <c r="O1041" s="767">
        <v>11.606714062499998</v>
      </c>
      <c r="P1041" s="767">
        <v>11.026378359374998</v>
      </c>
      <c r="Q1041" s="767">
        <v>10.475059441406248</v>
      </c>
      <c r="R1041" s="767">
        <v>10.475059441406248</v>
      </c>
      <c r="S1041" s="767">
        <v>10.475059441406248</v>
      </c>
      <c r="T1041" s="767">
        <v>10.475059441406248</v>
      </c>
      <c r="U1041" s="767">
        <v>10.475059441406248</v>
      </c>
      <c r="V1041" s="767">
        <v>10.475059441406248</v>
      </c>
      <c r="W1041" s="767">
        <v>10.475059441406248</v>
      </c>
      <c r="X1041" s="767">
        <v>10.475059441406248</v>
      </c>
      <c r="Y1041" s="767">
        <v>10.475059441406248</v>
      </c>
      <c r="Z1041" s="767">
        <v>10.475059441406248</v>
      </c>
      <c r="AA1041" s="767">
        <v>10.475059441406248</v>
      </c>
      <c r="AB1041" s="767">
        <v>10.475059441406248</v>
      </c>
      <c r="AC1041" s="767">
        <v>10.475059441406248</v>
      </c>
      <c r="AD1041" s="767">
        <v>10.475059441406248</v>
      </c>
      <c r="AE1041" s="767">
        <v>10.475059441406248</v>
      </c>
      <c r="AF1041" s="767">
        <v>10.475059441406248</v>
      </c>
      <c r="AG1041" s="767">
        <v>10.475059441406248</v>
      </c>
      <c r="AH1041" s="767">
        <v>10.475059441406248</v>
      </c>
      <c r="AI1041" s="767">
        <v>10.475059441406248</v>
      </c>
      <c r="AJ1041" s="767">
        <v>10.475059441406248</v>
      </c>
      <c r="AK1041" s="767">
        <v>10.475059441406248</v>
      </c>
      <c r="AL1041" s="767">
        <v>10.475059441406248</v>
      </c>
      <c r="AM1041" s="767">
        <v>10.475059441406248</v>
      </c>
      <c r="AN1041" s="767">
        <v>10.475059441406248</v>
      </c>
      <c r="AO1041" s="767">
        <v>10.475059441406248</v>
      </c>
      <c r="AP1041" s="767">
        <v>10.475059441406248</v>
      </c>
      <c r="AQ1041" s="767">
        <v>10.475059441406248</v>
      </c>
      <c r="AR1041" s="767">
        <v>10.475059441406248</v>
      </c>
      <c r="AS1041" s="767">
        <v>10.475059441406248</v>
      </c>
      <c r="AT1041" s="2"/>
      <c r="AU1041" s="2"/>
    </row>
    <row r="1042" spans="1:47" hidden="1" outlineLevel="1">
      <c r="A1042" s="2"/>
      <c r="B1042" s="2" t="s">
        <v>598</v>
      </c>
      <c r="C1042" s="38" t="s">
        <v>35</v>
      </c>
      <c r="D1042" s="38"/>
      <c r="E1042" s="38"/>
      <c r="F1042" s="38"/>
      <c r="G1042" s="38"/>
      <c r="H1042" s="38"/>
      <c r="I1042" s="38"/>
      <c r="J1042" s="38"/>
      <c r="K1042" s="766">
        <v>129</v>
      </c>
      <c r="L1042" s="766">
        <v>99</v>
      </c>
      <c r="M1042" s="767">
        <v>89.100000000000009</v>
      </c>
      <c r="N1042" s="767">
        <v>80.190000000000012</v>
      </c>
      <c r="O1042" s="767">
        <v>72.171000000000006</v>
      </c>
      <c r="P1042" s="767">
        <v>64.953900000000004</v>
      </c>
      <c r="Q1042" s="767">
        <v>58.458510000000004</v>
      </c>
      <c r="R1042" s="767">
        <v>52.612659000000008</v>
      </c>
      <c r="S1042" s="766">
        <v>49</v>
      </c>
      <c r="T1042" s="767">
        <v>49</v>
      </c>
      <c r="U1042" s="767">
        <v>49</v>
      </c>
      <c r="V1042" s="767">
        <v>49</v>
      </c>
      <c r="W1042" s="767">
        <v>49</v>
      </c>
      <c r="X1042" s="767">
        <v>49</v>
      </c>
      <c r="Y1042" s="767">
        <v>49</v>
      </c>
      <c r="Z1042" s="767">
        <v>49</v>
      </c>
      <c r="AA1042" s="767">
        <v>49</v>
      </c>
      <c r="AB1042" s="767">
        <v>49</v>
      </c>
      <c r="AC1042" s="767">
        <v>49</v>
      </c>
      <c r="AD1042" s="767">
        <v>49</v>
      </c>
      <c r="AE1042" s="767">
        <v>49</v>
      </c>
      <c r="AF1042" s="767">
        <v>49</v>
      </c>
      <c r="AG1042" s="767">
        <v>49</v>
      </c>
      <c r="AH1042" s="767">
        <v>49</v>
      </c>
      <c r="AI1042" s="767">
        <v>49</v>
      </c>
      <c r="AJ1042" s="767">
        <v>49</v>
      </c>
      <c r="AK1042" s="767">
        <v>49</v>
      </c>
      <c r="AL1042" s="767">
        <v>49</v>
      </c>
      <c r="AM1042" s="767">
        <v>49</v>
      </c>
      <c r="AN1042" s="767">
        <v>49</v>
      </c>
      <c r="AO1042" s="767">
        <v>49</v>
      </c>
      <c r="AP1042" s="767">
        <v>49</v>
      </c>
      <c r="AQ1042" s="767">
        <v>49</v>
      </c>
      <c r="AR1042" s="767">
        <v>49</v>
      </c>
      <c r="AS1042" s="767">
        <v>49</v>
      </c>
      <c r="AT1042" s="2"/>
      <c r="AU1042" s="2"/>
    </row>
    <row r="1043" spans="1:47" hidden="1" outlineLevel="1">
      <c r="A1043" s="2"/>
      <c r="B1043" s="2" t="s">
        <v>599</v>
      </c>
      <c r="C1043" s="38" t="s">
        <v>35</v>
      </c>
      <c r="D1043" s="38"/>
      <c r="E1043" s="38"/>
      <c r="F1043" s="38"/>
      <c r="G1043" s="38"/>
      <c r="H1043" s="38"/>
      <c r="I1043" s="38"/>
      <c r="J1043" s="38"/>
      <c r="K1043" s="766">
        <v>64.5</v>
      </c>
      <c r="L1043" s="767">
        <v>49.5</v>
      </c>
      <c r="M1043" s="767">
        <v>44.550000000000004</v>
      </c>
      <c r="N1043" s="767">
        <v>40.095000000000006</v>
      </c>
      <c r="O1043" s="767">
        <v>36.085500000000003</v>
      </c>
      <c r="P1043" s="767">
        <v>32.476950000000002</v>
      </c>
      <c r="Q1043" s="767">
        <v>29.229255000000002</v>
      </c>
      <c r="R1043" s="767">
        <v>26.306329500000004</v>
      </c>
      <c r="S1043" s="767">
        <v>24.5</v>
      </c>
      <c r="T1043" s="767">
        <v>24.5</v>
      </c>
      <c r="U1043" s="767">
        <v>24.5</v>
      </c>
      <c r="V1043" s="767">
        <v>24.5</v>
      </c>
      <c r="W1043" s="767">
        <v>24.5</v>
      </c>
      <c r="X1043" s="767">
        <v>24.5</v>
      </c>
      <c r="Y1043" s="767">
        <v>24.5</v>
      </c>
      <c r="Z1043" s="767">
        <v>24.5</v>
      </c>
      <c r="AA1043" s="767">
        <v>24.5</v>
      </c>
      <c r="AB1043" s="767">
        <v>24.5</v>
      </c>
      <c r="AC1043" s="767">
        <v>24.5</v>
      </c>
      <c r="AD1043" s="767">
        <v>24.5</v>
      </c>
      <c r="AE1043" s="767">
        <v>24.5</v>
      </c>
      <c r="AF1043" s="767">
        <v>24.5</v>
      </c>
      <c r="AG1043" s="767">
        <v>24.5</v>
      </c>
      <c r="AH1043" s="767">
        <v>24.5</v>
      </c>
      <c r="AI1043" s="767">
        <v>24.5</v>
      </c>
      <c r="AJ1043" s="767">
        <v>24.5</v>
      </c>
      <c r="AK1043" s="767">
        <v>24.5</v>
      </c>
      <c r="AL1043" s="767">
        <v>24.5</v>
      </c>
      <c r="AM1043" s="767">
        <v>24.5</v>
      </c>
      <c r="AN1043" s="767">
        <v>24.5</v>
      </c>
      <c r="AO1043" s="767">
        <v>24.5</v>
      </c>
      <c r="AP1043" s="767">
        <v>24.5</v>
      </c>
      <c r="AQ1043" s="767">
        <v>24.5</v>
      </c>
      <c r="AR1043" s="767">
        <v>24.5</v>
      </c>
      <c r="AS1043" s="767">
        <v>24.5</v>
      </c>
      <c r="AT1043" s="2"/>
      <c r="AU1043" s="2"/>
    </row>
    <row r="1044" spans="1:47" hidden="1" outlineLevel="1">
      <c r="A1044" s="2"/>
      <c r="B1044" s="2"/>
      <c r="C1044" s="38"/>
      <c r="D1044" s="38"/>
      <c r="E1044" s="38"/>
      <c r="F1044" s="38"/>
      <c r="G1044" s="38"/>
      <c r="H1044" s="38"/>
      <c r="I1044" s="38"/>
      <c r="J1044" s="38"/>
      <c r="K1044" s="767"/>
      <c r="L1044" s="767"/>
      <c r="M1044" s="767"/>
      <c r="N1044" s="767"/>
      <c r="O1044" s="767"/>
      <c r="P1044" s="767"/>
      <c r="Q1044" s="767"/>
      <c r="R1044" s="767"/>
      <c r="S1044" s="767"/>
      <c r="T1044" s="767"/>
      <c r="U1044" s="767"/>
      <c r="V1044" s="767"/>
      <c r="W1044" s="767"/>
      <c r="X1044" s="767"/>
      <c r="Y1044" s="767"/>
      <c r="Z1044" s="767"/>
      <c r="AA1044" s="767"/>
      <c r="AB1044" s="767"/>
      <c r="AC1044" s="767"/>
      <c r="AD1044" s="767"/>
      <c r="AE1044" s="767"/>
      <c r="AF1044" s="767"/>
      <c r="AG1044" s="767"/>
      <c r="AH1044" s="767"/>
      <c r="AI1044" s="767"/>
      <c r="AJ1044" s="767"/>
      <c r="AK1044" s="767"/>
      <c r="AL1044" s="767"/>
      <c r="AM1044" s="767"/>
      <c r="AN1044" s="767"/>
      <c r="AO1044" s="767"/>
      <c r="AP1044" s="767"/>
      <c r="AQ1044" s="767"/>
      <c r="AR1044" s="767"/>
      <c r="AS1044" s="767"/>
      <c r="AT1044" s="2"/>
      <c r="AU1044" s="2"/>
    </row>
    <row r="1045" spans="1:47" hidden="1" outlineLevel="1">
      <c r="A1045" s="2"/>
      <c r="B1045" s="6" t="s">
        <v>630</v>
      </c>
      <c r="C1045" s="37" t="s">
        <v>732</v>
      </c>
      <c r="D1045" s="37"/>
      <c r="E1045" s="37"/>
      <c r="F1045" s="37"/>
      <c r="G1045" s="37"/>
      <c r="H1045" s="37"/>
      <c r="I1045" s="37"/>
      <c r="J1045" s="37"/>
      <c r="K1045" s="778">
        <v>15.840874016694139</v>
      </c>
      <c r="L1045" s="24">
        <v>12.029345120591806</v>
      </c>
      <c r="M1045" s="24">
        <v>8.0112375473862691</v>
      </c>
      <c r="N1045" s="24">
        <v>6.5330127640501381</v>
      </c>
      <c r="O1045" s="24">
        <v>3.8955636158976796</v>
      </c>
      <c r="P1045" s="24">
        <v>6.1547141815542261</v>
      </c>
      <c r="Q1045" s="24">
        <v>7.2833804581645838</v>
      </c>
      <c r="R1045" s="24">
        <v>7.9772101039196999</v>
      </c>
      <c r="S1045" s="24">
        <v>6.3699115735507625</v>
      </c>
      <c r="T1045" s="24">
        <v>6.0611976778558665</v>
      </c>
      <c r="U1045" s="24">
        <v>5.5601567928675983</v>
      </c>
      <c r="V1045" s="24">
        <v>4.4402405572965034</v>
      </c>
      <c r="W1045" s="24">
        <v>4.0760345022528988</v>
      </c>
      <c r="X1045" s="24">
        <v>2.568082628520981</v>
      </c>
      <c r="Y1045" s="24">
        <v>0.63458240709829705</v>
      </c>
      <c r="Z1045" s="24">
        <v>1.2826023894199645</v>
      </c>
      <c r="AA1045" s="24">
        <v>1.7688194178876315</v>
      </c>
      <c r="AB1045" s="24">
        <v>0.95694915143064441</v>
      </c>
      <c r="AC1045" s="24">
        <v>1.0643789852959371</v>
      </c>
      <c r="AD1045" s="24">
        <v>0.92327398813391348</v>
      </c>
      <c r="AE1045" s="24">
        <v>0.93045777467177071</v>
      </c>
      <c r="AF1045" s="24">
        <v>0.93771339907501028</v>
      </c>
      <c r="AG1045" s="24">
        <v>0.94504157972227931</v>
      </c>
      <c r="AH1045" s="24">
        <v>0.95244304217602616</v>
      </c>
      <c r="AI1045" s="24">
        <v>0.95991851925430616</v>
      </c>
      <c r="AJ1045" s="24">
        <v>0.96746875110337061</v>
      </c>
      <c r="AK1045" s="24">
        <v>0.97509448527092479</v>
      </c>
      <c r="AL1045" s="24">
        <v>0.9827964767801517</v>
      </c>
      <c r="AM1045" s="24">
        <v>0.9905754882044765</v>
      </c>
      <c r="AN1045" s="24">
        <v>0.99843228974304266</v>
      </c>
      <c r="AO1045" s="24">
        <v>1.0063676592969941</v>
      </c>
      <c r="AP1045" s="24">
        <v>1.0143823825464846</v>
      </c>
      <c r="AQ1045" s="24">
        <v>1.0143823825464846</v>
      </c>
      <c r="AR1045" s="24">
        <v>1.0143823825464846</v>
      </c>
      <c r="AS1045" s="24">
        <v>1.0143823825464846</v>
      </c>
      <c r="AT1045" s="2"/>
      <c r="AU1045" s="2"/>
    </row>
    <row r="1046" spans="1:47" hidden="1" outlineLevel="1">
      <c r="A1046" s="2"/>
      <c r="B1046" s="55" t="s">
        <v>614</v>
      </c>
      <c r="C1046" s="38" t="s">
        <v>733</v>
      </c>
      <c r="D1046" s="38"/>
      <c r="E1046" s="38"/>
      <c r="F1046" s="38"/>
      <c r="G1046" s="38"/>
      <c r="H1046" s="38"/>
      <c r="I1046" s="38"/>
      <c r="J1046" s="38"/>
      <c r="K1046" s="709">
        <v>-0.31053124840737456</v>
      </c>
      <c r="L1046" s="5">
        <v>-0.24061354771747423</v>
      </c>
      <c r="M1046" s="5">
        <v>-0.33402546297614732</v>
      </c>
      <c r="N1046" s="5">
        <v>-0.18451890542409566</v>
      </c>
      <c r="O1046" s="5">
        <v>-0.40371100492345791</v>
      </c>
      <c r="P1046" s="5">
        <v>0.57992906506186159</v>
      </c>
      <c r="Q1046" s="5">
        <v>0.18338240303554443</v>
      </c>
      <c r="R1046" s="5">
        <v>9.5262035223951713E-2</v>
      </c>
      <c r="S1046" s="5">
        <v>-0.20148629776958882</v>
      </c>
      <c r="T1046" s="5">
        <v>-4.8464392657622146E-2</v>
      </c>
      <c r="U1046" s="5">
        <v>-8.2663676655652329E-2</v>
      </c>
      <c r="V1046" s="5">
        <v>-0.20141810335415178</v>
      </c>
      <c r="W1046" s="5">
        <v>-8.2023946753316479E-2</v>
      </c>
      <c r="X1046" s="5">
        <v>-0.36995562056661813</v>
      </c>
      <c r="Y1046" s="5">
        <v>-0.75289642161406312</v>
      </c>
      <c r="Z1046" s="5">
        <v>1.0211754613318313</v>
      </c>
      <c r="AA1046" s="5">
        <v>0.37908632673571629</v>
      </c>
      <c r="AB1046" s="5">
        <v>-0.45898991058484817</v>
      </c>
      <c r="AC1046" s="5">
        <v>0.11226284458759861</v>
      </c>
      <c r="AD1046" s="5">
        <v>-0.13257025844304049</v>
      </c>
      <c r="AE1046" s="5">
        <v>7.7807743207158886E-3</v>
      </c>
      <c r="AF1046" s="5">
        <v>7.7979082992767346E-3</v>
      </c>
      <c r="AG1046" s="5">
        <v>7.8149471410964289E-3</v>
      </c>
      <c r="AH1046" s="5">
        <v>7.831890799896879E-3</v>
      </c>
      <c r="AI1046" s="5">
        <v>7.8487392392525557E-3</v>
      </c>
      <c r="AJ1046" s="5">
        <v>7.8654924325554099E-3</v>
      </c>
      <c r="AK1046" s="5">
        <v>7.8821503628487832E-3</v>
      </c>
      <c r="AL1046" s="5">
        <v>7.8987130227559099E-3</v>
      </c>
      <c r="AM1046" s="5">
        <v>7.9151804143726689E-3</v>
      </c>
      <c r="AN1046" s="5">
        <v>7.931552549122145E-3</v>
      </c>
      <c r="AO1046" s="5">
        <v>7.947829447697119E-3</v>
      </c>
      <c r="AP1046" s="5">
        <v>7.9640111399139624E-3</v>
      </c>
      <c r="AQ1046" s="5">
        <v>7.9640111399139624E-3</v>
      </c>
      <c r="AR1046" s="5">
        <v>7.9640111399139624E-3</v>
      </c>
      <c r="AS1046" s="5">
        <v>7.9640111399139624E-3</v>
      </c>
      <c r="AT1046" s="2"/>
      <c r="AU1046" s="2"/>
    </row>
    <row r="1047" spans="1:47" hidden="1" outlineLevel="1">
      <c r="A1047" s="2"/>
      <c r="B1047" s="55"/>
      <c r="C1047" s="38"/>
      <c r="D1047" s="38"/>
      <c r="E1047" s="38"/>
      <c r="F1047" s="38"/>
      <c r="G1047" s="38"/>
      <c r="H1047" s="38"/>
      <c r="I1047" s="38"/>
      <c r="J1047" s="38"/>
      <c r="K1047" s="80"/>
      <c r="L1047" s="6"/>
      <c r="M1047" s="6"/>
      <c r="N1047" s="2"/>
      <c r="O1047" s="2"/>
      <c r="P1047" s="2"/>
      <c r="Q1047" s="6"/>
      <c r="R1047" s="6"/>
      <c r="S1047" s="2"/>
      <c r="T1047" s="6"/>
      <c r="U1047" s="6"/>
      <c r="V1047" s="6"/>
      <c r="W1047" s="6"/>
      <c r="X1047" s="6"/>
      <c r="Y1047" s="6"/>
      <c r="Z1047" s="6"/>
      <c r="AA1047" s="6"/>
      <c r="AB1047" s="6"/>
      <c r="AC1047" s="6"/>
      <c r="AD1047" s="6"/>
      <c r="AE1047" s="6"/>
      <c r="AF1047" s="6"/>
      <c r="AG1047" s="6"/>
      <c r="AH1047" s="6"/>
      <c r="AI1047" s="6"/>
      <c r="AJ1047" s="6"/>
      <c r="AK1047" s="6"/>
      <c r="AL1047" s="6"/>
      <c r="AM1047" s="6"/>
      <c r="AN1047" s="6"/>
      <c r="AO1047" s="6"/>
      <c r="AP1047" s="6"/>
      <c r="AQ1047" s="6"/>
      <c r="AR1047" s="6"/>
      <c r="AS1047" s="6"/>
      <c r="AT1047" s="2"/>
      <c r="AU1047" s="2"/>
    </row>
    <row r="1048" spans="1:47" hidden="1" outlineLevel="1">
      <c r="A1048" s="2"/>
      <c r="B1048" s="2" t="s">
        <v>471</v>
      </c>
      <c r="C1048" s="18"/>
      <c r="D1048" s="18"/>
      <c r="E1048" s="18"/>
      <c r="F1048" s="18"/>
      <c r="G1048" s="18"/>
      <c r="H1048" s="18"/>
      <c r="I1048" s="18"/>
      <c r="J1048" s="18"/>
      <c r="K1048" s="6"/>
      <c r="L1048" s="6"/>
      <c r="M1048" s="6"/>
      <c r="N1048" s="2"/>
      <c r="O1048" s="2"/>
      <c r="P1048" s="2"/>
      <c r="Q1048" s="6"/>
      <c r="R1048" s="6"/>
      <c r="S1048" s="2"/>
      <c r="T1048" s="6"/>
      <c r="U1048" s="6"/>
      <c r="V1048" s="24"/>
      <c r="W1048" s="6"/>
      <c r="X1048" s="6"/>
      <c r="Y1048" s="6"/>
      <c r="Z1048" s="6"/>
      <c r="AA1048" s="6"/>
      <c r="AB1048" s="6"/>
      <c r="AC1048" s="6"/>
      <c r="AD1048" s="6"/>
      <c r="AE1048" s="6"/>
      <c r="AF1048" s="6"/>
      <c r="AG1048" s="6"/>
      <c r="AH1048" s="6"/>
      <c r="AI1048" s="6"/>
      <c r="AJ1048" s="6"/>
      <c r="AK1048" s="6"/>
      <c r="AL1048" s="6"/>
      <c r="AM1048" s="6"/>
      <c r="AN1048" s="6"/>
      <c r="AO1048" s="6"/>
      <c r="AP1048" s="6"/>
      <c r="AQ1048" s="6"/>
      <c r="AR1048" s="6"/>
      <c r="AS1048" s="6"/>
      <c r="AT1048" s="2"/>
      <c r="AU1048" s="2"/>
    </row>
    <row r="1049" spans="1:47" hidden="1" outlineLevel="1">
      <c r="A1049" s="2"/>
      <c r="B1049" s="2" t="s">
        <v>631</v>
      </c>
      <c r="C1049" s="38" t="s">
        <v>733</v>
      </c>
      <c r="D1049" s="38"/>
      <c r="E1049" s="38"/>
      <c r="F1049" s="38"/>
      <c r="G1049" s="38"/>
      <c r="H1049" s="38"/>
      <c r="I1049" s="38"/>
      <c r="J1049" s="38"/>
      <c r="K1049" s="780">
        <v>3.3000000000000002E-2</v>
      </c>
      <c r="L1049" s="780">
        <v>0.04</v>
      </c>
      <c r="M1049" s="780">
        <v>0.05</v>
      </c>
      <c r="N1049" s="780">
        <v>6.8000000000000005E-2</v>
      </c>
      <c r="O1049" s="780">
        <v>7.0000000000000007E-2</v>
      </c>
      <c r="P1049" s="780">
        <v>0.1</v>
      </c>
      <c r="Q1049" s="780">
        <v>0.12</v>
      </c>
      <c r="R1049" s="780">
        <v>0.1525</v>
      </c>
      <c r="S1049" s="780">
        <v>0.15</v>
      </c>
      <c r="T1049" s="780">
        <v>0.14000000000000001</v>
      </c>
      <c r="U1049" s="780">
        <v>0.16</v>
      </c>
      <c r="V1049" s="780">
        <v>0.17349999999999999</v>
      </c>
      <c r="W1049" s="780">
        <v>0.1875</v>
      </c>
      <c r="X1049" s="780">
        <v>0.13</v>
      </c>
      <c r="Y1049" s="781">
        <v>0.13</v>
      </c>
      <c r="Z1049" s="781">
        <v>0.13</v>
      </c>
      <c r="AA1049" s="781">
        <v>0.13</v>
      </c>
      <c r="AB1049" s="781">
        <v>0.13</v>
      </c>
      <c r="AC1049" s="781">
        <v>0.13</v>
      </c>
      <c r="AD1049" s="781">
        <v>0.13</v>
      </c>
      <c r="AE1049" s="781">
        <v>0.13</v>
      </c>
      <c r="AF1049" s="781">
        <v>0.13</v>
      </c>
      <c r="AG1049" s="781">
        <v>0.13</v>
      </c>
      <c r="AH1049" s="781">
        <v>0.13</v>
      </c>
      <c r="AI1049" s="781">
        <v>0.13</v>
      </c>
      <c r="AJ1049" s="781">
        <v>0.13</v>
      </c>
      <c r="AK1049" s="781">
        <v>0.13</v>
      </c>
      <c r="AL1049" s="781">
        <v>0.13</v>
      </c>
      <c r="AM1049" s="781">
        <v>0.13</v>
      </c>
      <c r="AN1049" s="781">
        <v>0.13</v>
      </c>
      <c r="AO1049" s="781">
        <v>0.13</v>
      </c>
      <c r="AP1049" s="781">
        <v>0.13</v>
      </c>
      <c r="AQ1049" s="781">
        <v>0.13</v>
      </c>
      <c r="AR1049" s="781">
        <v>0.13</v>
      </c>
      <c r="AS1049" s="781">
        <v>0.13</v>
      </c>
      <c r="AT1049" s="2"/>
      <c r="AU1049" s="2"/>
    </row>
    <row r="1050" spans="1:47" hidden="1" outlineLevel="1">
      <c r="A1050" s="2"/>
      <c r="B1050" s="6" t="s">
        <v>585</v>
      </c>
      <c r="C1050" s="37" t="s">
        <v>732</v>
      </c>
      <c r="D1050" s="37"/>
      <c r="E1050" s="37"/>
      <c r="F1050" s="37"/>
      <c r="G1050" s="37"/>
      <c r="H1050" s="37"/>
      <c r="I1050" s="37"/>
      <c r="J1050" s="37"/>
      <c r="K1050" s="778">
        <v>11.923133206666824</v>
      </c>
      <c r="L1050" s="24">
        <v>17.092236809703323</v>
      </c>
      <c r="M1050" s="24">
        <v>24.721830125851721</v>
      </c>
      <c r="N1050" s="24">
        <v>40.898638838370502</v>
      </c>
      <c r="O1050" s="24">
        <v>50.243017982165121</v>
      </c>
      <c r="P1050" s="24">
        <v>95.19666281550181</v>
      </c>
      <c r="Q1050" s="24">
        <v>133.19773936597863</v>
      </c>
      <c r="R1050" s="24">
        <v>189.53376666923592</v>
      </c>
      <c r="S1050" s="24">
        <v>222.10613201358231</v>
      </c>
      <c r="T1050" s="24">
        <v>225.46601965435065</v>
      </c>
      <c r="U1050" s="24">
        <v>276.33496933931087</v>
      </c>
      <c r="V1050" s="24">
        <v>316.06399423949244</v>
      </c>
      <c r="W1050" s="24">
        <v>371.59139869719274</v>
      </c>
      <c r="X1050" s="24">
        <v>356.73710354841484</v>
      </c>
      <c r="Y1050" s="24">
        <v>374.82980575054961</v>
      </c>
      <c r="Z1050" s="24">
        <v>385.39843991138673</v>
      </c>
      <c r="AA1050" s="24">
        <v>401.89750942137215</v>
      </c>
      <c r="AB1050" s="24">
        <v>418.1810646041983</v>
      </c>
      <c r="AC1050" s="24">
        <v>432.93080132813674</v>
      </c>
      <c r="AD1050" s="24">
        <v>448.03477723844657</v>
      </c>
      <c r="AE1050" s="24">
        <v>455.1166454673367</v>
      </c>
      <c r="AF1050" s="24">
        <v>462.44351402686726</v>
      </c>
      <c r="AG1050" s="24">
        <v>470.0248698589379</v>
      </c>
      <c r="AH1050" s="24">
        <v>477.87057906718661</v>
      </c>
      <c r="AI1050" s="24">
        <v>485.99090219401666</v>
      </c>
      <c r="AJ1050" s="24">
        <v>494.39651011440441</v>
      </c>
      <c r="AK1050" s="24">
        <v>503.09850057140176</v>
      </c>
      <c r="AL1050" s="24">
        <v>512.10841537925421</v>
      </c>
      <c r="AM1050" s="24">
        <v>521.43825832110019</v>
      </c>
      <c r="AN1050" s="24">
        <v>531.10051376931062</v>
      </c>
      <c r="AO1050" s="24">
        <v>541.10816605765785</v>
      </c>
      <c r="AP1050" s="24">
        <v>551.47471963568319</v>
      </c>
      <c r="AQ1050" s="24">
        <v>551.47471963568319</v>
      </c>
      <c r="AR1050" s="24">
        <v>551.47471963568319</v>
      </c>
      <c r="AS1050" s="24">
        <v>551.47471963568319</v>
      </c>
      <c r="AT1050" s="2"/>
      <c r="AU1050" s="2"/>
    </row>
    <row r="1051" spans="1:47" hidden="1" outlineLevel="1">
      <c r="A1051" s="2"/>
      <c r="B1051" s="55" t="s">
        <v>614</v>
      </c>
      <c r="C1051" s="38" t="s">
        <v>733</v>
      </c>
      <c r="D1051" s="38"/>
      <c r="E1051" s="38"/>
      <c r="F1051" s="38"/>
      <c r="G1051" s="38"/>
      <c r="H1051" s="38"/>
      <c r="I1051" s="38"/>
      <c r="J1051" s="38"/>
      <c r="K1051" s="709">
        <v>1.4462415330512068</v>
      </c>
      <c r="L1051" s="5">
        <v>0.43353567501419787</v>
      </c>
      <c r="M1051" s="5">
        <v>0.44637769772865843</v>
      </c>
      <c r="N1051" s="5">
        <v>0.65435320241937212</v>
      </c>
      <c r="O1051" s="5">
        <v>0.2284765314738999</v>
      </c>
      <c r="P1051" s="5">
        <v>0.89472421519929379</v>
      </c>
      <c r="Q1051" s="5">
        <v>0.39918496538188242</v>
      </c>
      <c r="R1051" s="5">
        <v>0.42295032611977379</v>
      </c>
      <c r="S1051" s="5">
        <v>0.17185521037625939</v>
      </c>
      <c r="T1051" s="5">
        <v>1.5127397025503475E-2</v>
      </c>
      <c r="U1051" s="5">
        <v>0.22561692339690298</v>
      </c>
      <c r="V1051" s="5">
        <v>0.14377125340006613</v>
      </c>
      <c r="W1051" s="5">
        <v>0.17568405598147718</v>
      </c>
      <c r="X1051" s="5">
        <v>-3.997480889185645E-2</v>
      </c>
      <c r="Y1051" s="5">
        <v>5.0717186471968212E-2</v>
      </c>
      <c r="Z1051" s="5">
        <v>2.8195821139876509E-2</v>
      </c>
      <c r="AA1051" s="5">
        <v>4.2810421115817121E-2</v>
      </c>
      <c r="AB1051" s="5">
        <v>4.0516685973670752E-2</v>
      </c>
      <c r="AC1051" s="5">
        <v>3.5271173117077392E-2</v>
      </c>
      <c r="AD1051" s="5">
        <v>3.4887736940809377E-2</v>
      </c>
      <c r="AE1051" s="5">
        <v>1.5806514557956008E-2</v>
      </c>
      <c r="AF1051" s="5">
        <v>1.6098880655105452E-2</v>
      </c>
      <c r="AG1051" s="5">
        <v>1.639412296229148E-2</v>
      </c>
      <c r="AH1051" s="5">
        <v>1.6692115058940082E-2</v>
      </c>
      <c r="AI1051" s="5">
        <v>1.6992724562958195E-2</v>
      </c>
      <c r="AJ1051" s="5">
        <v>1.7295813321690723E-2</v>
      </c>
      <c r="AK1051" s="5">
        <v>1.7601237628040112E-2</v>
      </c>
      <c r="AL1051" s="5">
        <v>1.7908848461323679E-2</v>
      </c>
      <c r="AM1051" s="5">
        <v>1.8218491752252319E-2</v>
      </c>
      <c r="AN1051" s="5">
        <v>1.8530008671247877E-2</v>
      </c>
      <c r="AO1051" s="5">
        <v>1.8843235939127956E-2</v>
      </c>
      <c r="AP1051" s="5">
        <v>1.9158006159013974E-2</v>
      </c>
      <c r="AQ1051" s="5">
        <v>1.9158006159013974E-2</v>
      </c>
      <c r="AR1051" s="5">
        <v>1.9158006159013974E-2</v>
      </c>
      <c r="AS1051" s="5">
        <v>1.9158006159013974E-2</v>
      </c>
      <c r="AT1051" s="2"/>
      <c r="AU1051" s="2"/>
    </row>
    <row r="1052" spans="1:47" hidden="1" outlineLevel="1">
      <c r="A1052" s="2"/>
      <c r="B1052" s="55"/>
      <c r="C1052" s="38"/>
      <c r="D1052" s="38"/>
      <c r="E1052" s="38"/>
      <c r="F1052" s="38"/>
      <c r="G1052" s="38"/>
      <c r="H1052" s="38"/>
      <c r="I1052" s="38"/>
      <c r="J1052" s="38"/>
      <c r="K1052" s="5"/>
      <c r="L1052" s="5"/>
      <c r="M1052" s="5"/>
      <c r="N1052" s="5"/>
      <c r="O1052" s="5"/>
      <c r="P1052" s="5"/>
      <c r="Q1052" s="5"/>
      <c r="R1052" s="5"/>
      <c r="S1052" s="5"/>
      <c r="T1052" s="5"/>
      <c r="U1052" s="5"/>
      <c r="V1052" s="5"/>
      <c r="W1052" s="5"/>
      <c r="X1052" s="5"/>
      <c r="Y1052" s="5"/>
      <c r="Z1052" s="5"/>
      <c r="AA1052" s="5"/>
      <c r="AB1052" s="5"/>
      <c r="AC1052" s="5"/>
      <c r="AD1052" s="5"/>
      <c r="AE1052" s="5"/>
      <c r="AF1052" s="5"/>
      <c r="AG1052" s="5"/>
      <c r="AH1052" s="5"/>
      <c r="AI1052" s="5"/>
      <c r="AJ1052" s="5"/>
      <c r="AK1052" s="5"/>
      <c r="AL1052" s="5"/>
      <c r="AM1052" s="5"/>
      <c r="AN1052" s="5"/>
      <c r="AO1052" s="5"/>
      <c r="AP1052" s="5"/>
      <c r="AQ1052" s="5"/>
      <c r="AR1052" s="5"/>
      <c r="AS1052" s="5"/>
      <c r="AT1052" s="2"/>
      <c r="AU1052" s="2"/>
    </row>
    <row r="1053" spans="1:47" hidden="1" outlineLevel="1">
      <c r="A1053" s="2"/>
      <c r="B1053" s="6" t="s">
        <v>586</v>
      </c>
      <c r="C1053" s="37" t="s">
        <v>732</v>
      </c>
      <c r="D1053" s="37"/>
      <c r="E1053" s="37"/>
      <c r="F1053" s="37"/>
      <c r="G1053" s="37"/>
      <c r="H1053" s="37"/>
      <c r="I1053" s="37"/>
      <c r="J1053" s="37"/>
      <c r="K1053" s="778">
        <v>389.07107409205258</v>
      </c>
      <c r="L1053" s="24">
        <v>456.42750217287818</v>
      </c>
      <c r="M1053" s="24">
        <v>527.16967019027231</v>
      </c>
      <c r="N1053" s="24">
        <v>648.88222275492797</v>
      </c>
      <c r="O1053" s="24">
        <v>771.89598134327878</v>
      </c>
      <c r="P1053" s="24">
        <v>1053.3180051520742</v>
      </c>
      <c r="Q1053" s="24">
        <v>1250.4622812072985</v>
      </c>
      <c r="R1053" s="24">
        <v>1432.378138270783</v>
      </c>
      <c r="S1053" s="24">
        <v>1709.1835903443484</v>
      </c>
      <c r="T1053" s="24">
        <v>1841.998786291854</v>
      </c>
      <c r="U1053" s="24">
        <v>2008.9886845028714</v>
      </c>
      <c r="V1053" s="24">
        <v>2142.1987260906935</v>
      </c>
      <c r="W1053" s="24">
        <v>2357.4882262511401</v>
      </c>
      <c r="X1053" s="24">
        <v>3103.436751933973</v>
      </c>
      <c r="Y1053" s="24">
        <v>3258.7705862387984</v>
      </c>
      <c r="Z1053" s="24">
        <v>3351.2844262345507</v>
      </c>
      <c r="AA1053" s="24">
        <v>3495.1856320805837</v>
      </c>
      <c r="AB1053" s="24">
        <v>3635.9154337879236</v>
      </c>
      <c r="AC1053" s="24">
        <v>3764.2321136067922</v>
      </c>
      <c r="AD1053" s="24">
        <v>3895.3794145992465</v>
      </c>
      <c r="AE1053" s="24">
        <v>3956.944376067675</v>
      </c>
      <c r="AF1053" s="24">
        <v>4020.6390276326138</v>
      </c>
      <c r="AG1053" s="24">
        <v>4086.5458334304903</v>
      </c>
      <c r="AH1053" s="24">
        <v>4154.7505533954136</v>
      </c>
      <c r="AI1053" s="24">
        <v>4225.3423760518608</v>
      </c>
      <c r="AJ1053" s="24">
        <v>4298.4140566686183</v>
      </c>
      <c r="AK1053" s="24">
        <v>4374.0620609905318</v>
      </c>
      <c r="AL1053" s="24">
        <v>4452.3867147733745</v>
      </c>
      <c r="AM1053" s="24">
        <v>4533.4923593562289</v>
      </c>
      <c r="AN1053" s="24">
        <v>4617.4875135152888</v>
      </c>
      <c r="AO1053" s="24">
        <v>4704.485041852784</v>
      </c>
      <c r="AP1053" s="24">
        <v>4794.6023299850231</v>
      </c>
      <c r="AQ1053" s="24">
        <v>4794.6023299850231</v>
      </c>
      <c r="AR1053" s="24">
        <v>4794.6023299850231</v>
      </c>
      <c r="AS1053" s="24">
        <v>4794.6023299850231</v>
      </c>
      <c r="AT1053" s="2"/>
      <c r="AU1053" s="2"/>
    </row>
    <row r="1054" spans="1:47" hidden="1" outlineLevel="1">
      <c r="A1054" s="2"/>
      <c r="B1054" s="55" t="s">
        <v>614</v>
      </c>
      <c r="C1054" s="18"/>
      <c r="D1054" s="18"/>
      <c r="E1054" s="18"/>
      <c r="F1054" s="18"/>
      <c r="G1054" s="18"/>
      <c r="H1054" s="18"/>
      <c r="I1054" s="18"/>
      <c r="J1054" s="18"/>
      <c r="K1054" s="709">
        <v>0.4327648044496355</v>
      </c>
      <c r="L1054" s="5">
        <v>0.17312114049601468</v>
      </c>
      <c r="M1054" s="5">
        <v>0.15499102854367353</v>
      </c>
      <c r="N1054" s="5">
        <v>0.23087927748333037</v>
      </c>
      <c r="O1054" s="5">
        <v>0.18957794538749617</v>
      </c>
      <c r="P1054" s="5">
        <v>0.36458542421616902</v>
      </c>
      <c r="Q1054" s="5">
        <v>0.18716501103269501</v>
      </c>
      <c r="R1054" s="5">
        <v>0.14547888392750896</v>
      </c>
      <c r="S1054" s="5">
        <v>0.19324886681650599</v>
      </c>
      <c r="T1054" s="5">
        <v>7.7706804990298028E-2</v>
      </c>
      <c r="U1054" s="5">
        <v>9.0656899154198944E-2</v>
      </c>
      <c r="V1054" s="5">
        <v>6.6307014377627205E-2</v>
      </c>
      <c r="W1054" s="5">
        <v>0.10049931294344905</v>
      </c>
      <c r="X1054" s="5">
        <v>0.31641664945620307</v>
      </c>
      <c r="Y1054" s="5">
        <v>5.0052199133114428E-2</v>
      </c>
      <c r="Z1054" s="5">
        <v>2.8389184677933832E-2</v>
      </c>
      <c r="AA1054" s="5">
        <v>4.2939120511390927E-2</v>
      </c>
      <c r="AB1054" s="5">
        <v>4.0263899123311298E-2</v>
      </c>
      <c r="AC1054" s="5">
        <v>3.5291436821232036E-2</v>
      </c>
      <c r="AD1054" s="5">
        <v>3.4840386308375715E-2</v>
      </c>
      <c r="AE1054" s="5">
        <v>1.5804612315219568E-2</v>
      </c>
      <c r="AF1054" s="5">
        <v>1.609692871857793E-2</v>
      </c>
      <c r="AG1054" s="5">
        <v>1.6392122084305294E-2</v>
      </c>
      <c r="AH1054" s="5">
        <v>1.6690066071684884E-2</v>
      </c>
      <c r="AI1054" s="5">
        <v>1.6990628378100059E-2</v>
      </c>
      <c r="AJ1054" s="5">
        <v>1.7293670929700022E-2</v>
      </c>
      <c r="AK1054" s="5">
        <v>1.7599050097221847E-2</v>
      </c>
      <c r="AL1054" s="5">
        <v>1.7906616936547382E-2</v>
      </c>
      <c r="AM1054" s="5">
        <v>1.8216217453380645E-2</v>
      </c>
      <c r="AN1054" s="5">
        <v>1.8527692891267433E-2</v>
      </c>
      <c r="AO1054" s="5">
        <v>1.884088004198281E-2</v>
      </c>
      <c r="AP1054" s="5">
        <v>1.9155611577148957E-2</v>
      </c>
      <c r="AQ1054" s="5">
        <v>1.9155611577148957E-2</v>
      </c>
      <c r="AR1054" s="5">
        <v>1.9155611577148957E-2</v>
      </c>
      <c r="AS1054" s="5">
        <v>1.9155611577148957E-2</v>
      </c>
      <c r="AT1054" s="2"/>
      <c r="AU1054" s="2"/>
    </row>
    <row r="1055" spans="1:47" hidden="1" outlineLevel="1">
      <c r="A1055" s="2"/>
      <c r="B1055" s="55"/>
      <c r="C1055" s="18"/>
      <c r="D1055" s="18"/>
      <c r="E1055" s="18"/>
      <c r="F1055" s="18"/>
      <c r="G1055" s="18"/>
      <c r="H1055" s="18"/>
      <c r="I1055" s="18"/>
      <c r="J1055" s="18"/>
      <c r="K1055" s="6"/>
      <c r="L1055" s="6"/>
      <c r="M1055" s="6"/>
      <c r="N1055" s="2"/>
      <c r="O1055" s="2"/>
      <c r="P1055" s="2"/>
      <c r="Q1055" s="6"/>
      <c r="R1055" s="4"/>
      <c r="S1055" s="3"/>
      <c r="T1055" s="6"/>
      <c r="U1055" s="6"/>
      <c r="V1055" s="6"/>
      <c r="W1055" s="6"/>
      <c r="X1055" s="6"/>
      <c r="Y1055" s="6"/>
      <c r="Z1055" s="6"/>
      <c r="AA1055" s="6"/>
      <c r="AB1055" s="6"/>
      <c r="AC1055" s="6"/>
      <c r="AD1055" s="6"/>
      <c r="AE1055" s="6"/>
      <c r="AF1055" s="6"/>
      <c r="AG1055" s="6"/>
      <c r="AH1055" s="6"/>
      <c r="AI1055" s="6"/>
      <c r="AJ1055" s="6"/>
      <c r="AK1055" s="6"/>
      <c r="AL1055" s="6"/>
      <c r="AM1055" s="6"/>
      <c r="AN1055" s="6"/>
      <c r="AO1055" s="6"/>
      <c r="AP1055" s="6"/>
      <c r="AQ1055" s="6"/>
      <c r="AR1055" s="6"/>
      <c r="AS1055" s="6"/>
      <c r="AT1055" s="2"/>
      <c r="AU1055" s="2"/>
    </row>
    <row r="1056" spans="1:47" hidden="1" outlineLevel="1">
      <c r="A1056" s="2"/>
      <c r="B1056" s="66" t="s">
        <v>587</v>
      </c>
      <c r="C1056" s="782"/>
      <c r="D1056" s="782"/>
      <c r="E1056" s="782"/>
      <c r="F1056" s="782"/>
      <c r="G1056" s="782"/>
      <c r="H1056" s="782"/>
      <c r="I1056" s="782"/>
      <c r="J1056" s="782"/>
      <c r="K1056" s="783"/>
      <c r="L1056" s="783"/>
      <c r="M1056" s="783"/>
      <c r="N1056" s="66"/>
      <c r="O1056" s="66"/>
      <c r="P1056" s="66"/>
      <c r="Q1056" s="783"/>
      <c r="R1056" s="783"/>
      <c r="S1056" s="66"/>
      <c r="T1056" s="783"/>
      <c r="U1056" s="783"/>
      <c r="V1056" s="783"/>
      <c r="W1056" s="783"/>
      <c r="X1056" s="783"/>
      <c r="Y1056" s="783"/>
      <c r="Z1056" s="783"/>
      <c r="AA1056" s="783"/>
      <c r="AB1056" s="783"/>
      <c r="AC1056" s="783"/>
      <c r="AD1056" s="783"/>
      <c r="AE1056" s="783"/>
      <c r="AF1056" s="783"/>
      <c r="AG1056" s="783"/>
      <c r="AH1056" s="783"/>
      <c r="AI1056" s="783"/>
      <c r="AJ1056" s="783"/>
      <c r="AK1056" s="783"/>
      <c r="AL1056" s="783"/>
      <c r="AM1056" s="783"/>
      <c r="AN1056" s="783"/>
      <c r="AO1056" s="783"/>
      <c r="AP1056" s="783"/>
      <c r="AQ1056" s="783"/>
      <c r="AR1056" s="783"/>
      <c r="AS1056" s="783"/>
      <c r="AT1056" s="2"/>
      <c r="AU1056" s="2"/>
    </row>
    <row r="1057" spans="1:47" hidden="1" outlineLevel="1">
      <c r="A1057" s="2"/>
      <c r="B1057" s="66" t="s">
        <v>588</v>
      </c>
      <c r="C1057" s="784" t="s">
        <v>732</v>
      </c>
      <c r="D1057" s="784"/>
      <c r="E1057" s="784"/>
      <c r="F1057" s="784"/>
      <c r="G1057" s="784"/>
      <c r="H1057" s="784"/>
      <c r="I1057" s="784"/>
      <c r="J1057" s="784"/>
      <c r="K1057" s="785">
        <v>389</v>
      </c>
      <c r="L1057" s="785">
        <v>456</v>
      </c>
      <c r="M1057" s="785">
        <v>527</v>
      </c>
      <c r="N1057" s="66"/>
      <c r="O1057" s="66"/>
      <c r="P1057" s="66"/>
      <c r="Q1057" s="783"/>
      <c r="R1057" s="783"/>
      <c r="S1057" s="66"/>
      <c r="T1057" s="783"/>
      <c r="U1057" s="783"/>
      <c r="V1057" s="783"/>
      <c r="W1057" s="783"/>
      <c r="X1057" s="783"/>
      <c r="Y1057" s="783"/>
      <c r="Z1057" s="783"/>
      <c r="AA1057" s="783"/>
      <c r="AB1057" s="783"/>
      <c r="AC1057" s="783"/>
      <c r="AD1057" s="783"/>
      <c r="AE1057" s="783"/>
      <c r="AF1057" s="783"/>
      <c r="AG1057" s="783"/>
      <c r="AH1057" s="783"/>
      <c r="AI1057" s="783"/>
      <c r="AJ1057" s="783"/>
      <c r="AK1057" s="783"/>
      <c r="AL1057" s="783"/>
      <c r="AM1057" s="783"/>
      <c r="AN1057" s="783"/>
      <c r="AO1057" s="783"/>
      <c r="AP1057" s="783"/>
      <c r="AQ1057" s="783"/>
      <c r="AR1057" s="783"/>
      <c r="AS1057" s="783"/>
      <c r="AT1057" s="2"/>
      <c r="AU1057" s="2"/>
    </row>
    <row r="1058" spans="1:47" hidden="1" outlineLevel="1">
      <c r="A1058" s="2"/>
      <c r="B1058" s="66" t="s">
        <v>718</v>
      </c>
      <c r="C1058" s="784" t="s">
        <v>732</v>
      </c>
      <c r="D1058" s="784"/>
      <c r="E1058" s="784"/>
      <c r="F1058" s="784"/>
      <c r="G1058" s="784"/>
      <c r="H1058" s="784"/>
      <c r="I1058" s="784"/>
      <c r="J1058" s="784"/>
      <c r="K1058" s="786">
        <v>389.07107409205258</v>
      </c>
      <c r="L1058" s="787">
        <v>456.42750217287818</v>
      </c>
      <c r="M1058" s="787">
        <v>527.16967019027231</v>
      </c>
      <c r="N1058" s="787">
        <v>648.88222275492797</v>
      </c>
      <c r="O1058" s="787">
        <v>771.89598134327878</v>
      </c>
      <c r="P1058" s="787">
        <v>1053.3180051520742</v>
      </c>
      <c r="Q1058" s="787">
        <v>1250.4622812072985</v>
      </c>
      <c r="R1058" s="787">
        <v>1432.378138270783</v>
      </c>
      <c r="S1058" s="787">
        <v>1709.1835903443484</v>
      </c>
      <c r="T1058" s="787">
        <v>1841.998786291854</v>
      </c>
      <c r="U1058" s="787">
        <v>2008.9886845028714</v>
      </c>
      <c r="V1058" s="787">
        <v>2142.1987260906935</v>
      </c>
      <c r="W1058" s="787">
        <v>2357.4882262511401</v>
      </c>
      <c r="X1058" s="787">
        <v>3103.436751933973</v>
      </c>
      <c r="Y1058" s="787">
        <v>3258.7705862387984</v>
      </c>
      <c r="Z1058" s="787">
        <v>3351.2844262345507</v>
      </c>
      <c r="AA1058" s="787">
        <v>3495.1856320805837</v>
      </c>
      <c r="AB1058" s="787">
        <v>3635.9154337879236</v>
      </c>
      <c r="AC1058" s="787">
        <v>3764.2321136067922</v>
      </c>
      <c r="AD1058" s="787">
        <v>3895.3794145992465</v>
      </c>
      <c r="AE1058" s="787">
        <v>3956.944376067675</v>
      </c>
      <c r="AF1058" s="787">
        <v>4020.6390276326138</v>
      </c>
      <c r="AG1058" s="787">
        <v>4086.5458334304903</v>
      </c>
      <c r="AH1058" s="787">
        <v>4154.7505533954136</v>
      </c>
      <c r="AI1058" s="787">
        <v>4225.3423760518608</v>
      </c>
      <c r="AJ1058" s="787">
        <v>4298.4140566686183</v>
      </c>
      <c r="AK1058" s="787">
        <v>4374.0620609905318</v>
      </c>
      <c r="AL1058" s="787">
        <v>4452.3867147733745</v>
      </c>
      <c r="AM1058" s="787">
        <v>4533.4923593562289</v>
      </c>
      <c r="AN1058" s="787">
        <v>4617.4875135152888</v>
      </c>
      <c r="AO1058" s="787">
        <v>4704.485041852784</v>
      </c>
      <c r="AP1058" s="787">
        <v>4794.6023299850231</v>
      </c>
      <c r="AQ1058" s="787">
        <v>4794.6023299850231</v>
      </c>
      <c r="AR1058" s="787">
        <v>4794.6023299850231</v>
      </c>
      <c r="AS1058" s="787">
        <v>4794.6023299850231</v>
      </c>
      <c r="AT1058" s="2"/>
      <c r="AU1058" s="2"/>
    </row>
    <row r="1059" spans="1:47" hidden="1" outlineLevel="1">
      <c r="A1059" s="2"/>
      <c r="B1059" s="66" t="s">
        <v>362</v>
      </c>
      <c r="C1059" s="784" t="s">
        <v>732</v>
      </c>
      <c r="D1059" s="784"/>
      <c r="E1059" s="784"/>
      <c r="F1059" s="784"/>
      <c r="G1059" s="784"/>
      <c r="H1059" s="784"/>
      <c r="I1059" s="784"/>
      <c r="J1059" s="784"/>
      <c r="K1059" s="786">
        <v>7.1074092052583637E-2</v>
      </c>
      <c r="L1059" s="787">
        <v>0.42750217287817804</v>
      </c>
      <c r="M1059" s="787">
        <v>0.16967019027231345</v>
      </c>
      <c r="N1059" s="66"/>
      <c r="O1059" s="66"/>
      <c r="P1059" s="66"/>
      <c r="Q1059" s="783"/>
      <c r="R1059" s="783"/>
      <c r="S1059" s="66"/>
      <c r="T1059" s="783"/>
      <c r="U1059" s="783"/>
      <c r="V1059" s="783"/>
      <c r="W1059" s="783"/>
      <c r="X1059" s="783"/>
      <c r="Y1059" s="783"/>
      <c r="Z1059" s="783"/>
      <c r="AA1059" s="783"/>
      <c r="AB1059" s="783"/>
      <c r="AC1059" s="783"/>
      <c r="AD1059" s="783"/>
      <c r="AE1059" s="783"/>
      <c r="AF1059" s="783"/>
      <c r="AG1059" s="783"/>
      <c r="AH1059" s="783"/>
      <c r="AI1059" s="783"/>
      <c r="AJ1059" s="783"/>
      <c r="AK1059" s="783"/>
      <c r="AL1059" s="783"/>
      <c r="AM1059" s="783"/>
      <c r="AN1059" s="783"/>
      <c r="AO1059" s="783"/>
      <c r="AP1059" s="783"/>
      <c r="AQ1059" s="783"/>
      <c r="AR1059" s="783"/>
      <c r="AS1059" s="783"/>
      <c r="AT1059" s="2"/>
      <c r="AU1059" s="2"/>
    </row>
    <row r="1060" spans="1:47" hidden="1" outlineLevel="1">
      <c r="A1060" s="2"/>
      <c r="B1060" s="2"/>
      <c r="C1060" s="18"/>
      <c r="D1060" s="18"/>
      <c r="E1060" s="18"/>
      <c r="F1060" s="18"/>
      <c r="G1060" s="18"/>
      <c r="H1060" s="18"/>
      <c r="I1060" s="18"/>
      <c r="J1060" s="18"/>
      <c r="K1060" s="6"/>
      <c r="L1060" s="6"/>
      <c r="M1060" s="6"/>
      <c r="N1060" s="2"/>
      <c r="O1060" s="2"/>
      <c r="P1060" s="2"/>
      <c r="Q1060" s="6"/>
      <c r="R1060" s="6"/>
      <c r="S1060" s="2"/>
      <c r="T1060" s="6"/>
      <c r="U1060" s="6"/>
      <c r="V1060" s="6"/>
      <c r="W1060" s="6"/>
      <c r="X1060" s="6"/>
      <c r="Y1060" s="6"/>
      <c r="Z1060" s="6"/>
      <c r="AA1060" s="6"/>
      <c r="AB1060" s="6"/>
      <c r="AC1060" s="6"/>
      <c r="AD1060" s="6"/>
      <c r="AE1060" s="6"/>
      <c r="AF1060" s="6"/>
      <c r="AG1060" s="6"/>
      <c r="AH1060" s="6"/>
      <c r="AI1060" s="6"/>
      <c r="AJ1060" s="6"/>
      <c r="AK1060" s="6"/>
      <c r="AL1060" s="6"/>
      <c r="AM1060" s="6"/>
      <c r="AN1060" s="6"/>
      <c r="AO1060" s="6"/>
      <c r="AP1060" s="6"/>
      <c r="AQ1060" s="6"/>
      <c r="AR1060" s="6"/>
      <c r="AS1060" s="6"/>
      <c r="AT1060" s="2"/>
      <c r="AU1060" s="2"/>
    </row>
    <row r="1061" spans="1:47" hidden="1" outlineLevel="1">
      <c r="A1061" s="2"/>
      <c r="B1061" s="25"/>
      <c r="C1061" s="40" t="s">
        <v>229</v>
      </c>
      <c r="D1061" s="40"/>
      <c r="E1061" s="40"/>
      <c r="F1061" s="40"/>
      <c r="G1061" s="40"/>
      <c r="H1061" s="40"/>
      <c r="I1061" s="40"/>
      <c r="J1061" s="40"/>
      <c r="K1061" s="41">
        <v>0</v>
      </c>
      <c r="L1061" s="41">
        <v>1</v>
      </c>
      <c r="M1061" s="41">
        <v>2</v>
      </c>
      <c r="N1061" s="41">
        <v>3</v>
      </c>
      <c r="O1061" s="41">
        <v>4</v>
      </c>
      <c r="P1061" s="41">
        <v>5</v>
      </c>
      <c r="Q1061" s="41">
        <v>6</v>
      </c>
      <c r="R1061" s="41">
        <v>7</v>
      </c>
      <c r="S1061" s="41">
        <v>8</v>
      </c>
      <c r="T1061" s="41">
        <v>9</v>
      </c>
      <c r="U1061" s="41">
        <v>10</v>
      </c>
      <c r="V1061" s="41">
        <v>11</v>
      </c>
      <c r="W1061" s="41">
        <v>12</v>
      </c>
      <c r="X1061" s="41">
        <v>13</v>
      </c>
      <c r="Y1061" s="41">
        <v>14</v>
      </c>
      <c r="Z1061" s="41">
        <v>15</v>
      </c>
      <c r="AA1061" s="41">
        <v>16</v>
      </c>
      <c r="AB1061" s="41">
        <v>17</v>
      </c>
      <c r="AC1061" s="41">
        <v>18</v>
      </c>
      <c r="AD1061" s="41">
        <v>19</v>
      </c>
      <c r="AE1061" s="41">
        <v>20</v>
      </c>
      <c r="AF1061" s="41">
        <v>21</v>
      </c>
      <c r="AG1061" s="41">
        <v>22</v>
      </c>
      <c r="AH1061" s="41">
        <v>23</v>
      </c>
      <c r="AI1061" s="41">
        <v>24</v>
      </c>
      <c r="AJ1061" s="41">
        <v>25</v>
      </c>
      <c r="AK1061" s="41">
        <v>26</v>
      </c>
      <c r="AL1061" s="41">
        <v>27</v>
      </c>
      <c r="AM1061" s="41">
        <v>28</v>
      </c>
      <c r="AN1061" s="41">
        <v>29</v>
      </c>
      <c r="AO1061" s="41">
        <v>30</v>
      </c>
      <c r="AP1061" s="41">
        <v>31</v>
      </c>
      <c r="AQ1061" s="41">
        <v>31</v>
      </c>
      <c r="AR1061" s="41">
        <v>31</v>
      </c>
      <c r="AS1061" s="41">
        <v>31</v>
      </c>
      <c r="AT1061" s="2"/>
      <c r="AU1061" s="2"/>
    </row>
    <row r="1062" spans="1:47" hidden="1" outlineLevel="1">
      <c r="A1062" s="2"/>
      <c r="B1062" s="6" t="s">
        <v>719</v>
      </c>
      <c r="C1062" s="18"/>
      <c r="D1062" s="18"/>
      <c r="E1062" s="18"/>
      <c r="F1062" s="18"/>
      <c r="G1062" s="18"/>
      <c r="H1062" s="18"/>
      <c r="I1062" s="18"/>
      <c r="J1062" s="18"/>
      <c r="K1062" s="6"/>
      <c r="L1062" s="6"/>
      <c r="M1062" s="6"/>
      <c r="N1062" s="2"/>
      <c r="O1062" s="2"/>
      <c r="P1062" s="2"/>
      <c r="Q1062" s="6"/>
      <c r="R1062" s="6"/>
      <c r="S1062" s="2"/>
      <c r="T1062" s="24"/>
      <c r="U1062" s="24"/>
      <c r="V1062" s="6"/>
      <c r="W1062" s="6"/>
      <c r="X1062" s="6"/>
      <c r="Y1062" s="6"/>
      <c r="Z1062" s="6"/>
      <c r="AA1062" s="6"/>
      <c r="AB1062" s="6"/>
      <c r="AC1062" s="6"/>
      <c r="AD1062" s="6"/>
      <c r="AE1062" s="6"/>
      <c r="AF1062" s="6"/>
      <c r="AG1062" s="6"/>
      <c r="AH1062" s="6"/>
      <c r="AI1062" s="6"/>
      <c r="AJ1062" s="6"/>
      <c r="AK1062" s="6"/>
      <c r="AL1062" s="6"/>
      <c r="AM1062" s="6"/>
      <c r="AN1062" s="6"/>
      <c r="AO1062" s="6"/>
      <c r="AP1062" s="6"/>
      <c r="AQ1062" s="6"/>
      <c r="AR1062" s="6"/>
      <c r="AS1062" s="6"/>
      <c r="AT1062" s="2"/>
      <c r="AU1062" s="2"/>
    </row>
    <row r="1063" spans="1:47" hidden="1" outlineLevel="1">
      <c r="A1063" s="2"/>
      <c r="B1063" s="6"/>
      <c r="C1063" s="18"/>
      <c r="D1063" s="18"/>
      <c r="E1063" s="18"/>
      <c r="F1063" s="18"/>
      <c r="G1063" s="18"/>
      <c r="H1063" s="18"/>
      <c r="I1063" s="18"/>
      <c r="J1063" s="18"/>
      <c r="K1063" s="6"/>
      <c r="L1063" s="6"/>
      <c r="M1063" s="6"/>
      <c r="N1063" s="2"/>
      <c r="O1063" s="2"/>
      <c r="P1063" s="2"/>
      <c r="Q1063" s="6"/>
      <c r="R1063" s="6"/>
      <c r="S1063" s="2"/>
      <c r="T1063" s="6"/>
      <c r="U1063" s="6"/>
      <c r="V1063" s="6"/>
      <c r="W1063" s="6"/>
      <c r="X1063" s="6"/>
      <c r="Y1063" s="6"/>
      <c r="Z1063" s="6"/>
      <c r="AA1063" s="6"/>
      <c r="AB1063" s="6"/>
      <c r="AC1063" s="6"/>
      <c r="AD1063" s="6"/>
      <c r="AE1063" s="6"/>
      <c r="AF1063" s="6"/>
      <c r="AG1063" s="6"/>
      <c r="AH1063" s="6"/>
      <c r="AI1063" s="6"/>
      <c r="AJ1063" s="6"/>
      <c r="AK1063" s="6"/>
      <c r="AL1063" s="6"/>
      <c r="AM1063" s="6"/>
      <c r="AN1063" s="6"/>
      <c r="AO1063" s="6"/>
      <c r="AP1063" s="6"/>
      <c r="AQ1063" s="6"/>
      <c r="AR1063" s="6"/>
      <c r="AS1063" s="6"/>
      <c r="AT1063" s="2"/>
      <c r="AU1063" s="2"/>
    </row>
    <row r="1064" spans="1:47" hidden="1" outlineLevel="1">
      <c r="A1064" s="2"/>
      <c r="B1064" s="2" t="s">
        <v>720</v>
      </c>
      <c r="C1064" s="18"/>
      <c r="D1064" s="18"/>
      <c r="E1064" s="18"/>
      <c r="F1064" s="18"/>
      <c r="G1064" s="18"/>
      <c r="H1064" s="18"/>
      <c r="I1064" s="18"/>
      <c r="J1064" s="18"/>
      <c r="K1064" s="6"/>
      <c r="L1064" s="6"/>
      <c r="M1064" s="6"/>
      <c r="N1064" s="2"/>
      <c r="O1064" s="2"/>
      <c r="P1064" s="2"/>
      <c r="Q1064" s="6"/>
      <c r="R1064" s="6"/>
      <c r="S1064" s="2"/>
      <c r="T1064" s="6"/>
      <c r="U1064" s="6"/>
      <c r="V1064" s="6"/>
      <c r="W1064" s="6"/>
      <c r="X1064" s="6"/>
      <c r="Y1064" s="6"/>
      <c r="Z1064" s="6"/>
      <c r="AA1064" s="6"/>
      <c r="AB1064" s="6"/>
      <c r="AC1064" s="6"/>
      <c r="AD1064" s="6"/>
      <c r="AE1064" s="6"/>
      <c r="AF1064" s="6"/>
      <c r="AG1064" s="6"/>
      <c r="AH1064" s="6"/>
      <c r="AI1064" s="6"/>
      <c r="AJ1064" s="6"/>
      <c r="AK1064" s="6"/>
      <c r="AL1064" s="6"/>
      <c r="AM1064" s="6"/>
      <c r="AN1064" s="6"/>
      <c r="AO1064" s="6"/>
      <c r="AP1064" s="6"/>
      <c r="AQ1064" s="6"/>
      <c r="AR1064" s="6"/>
      <c r="AS1064" s="6"/>
      <c r="AT1064" s="2"/>
      <c r="AU1064" s="2"/>
    </row>
    <row r="1065" spans="1:47" hidden="1" outlineLevel="1">
      <c r="A1065" s="2"/>
      <c r="B1065" s="2" t="s">
        <v>721</v>
      </c>
      <c r="C1065" s="18"/>
      <c r="D1065" s="18"/>
      <c r="E1065" s="18"/>
      <c r="F1065" s="18"/>
      <c r="G1065" s="18"/>
      <c r="H1065" s="18"/>
      <c r="I1065" s="18"/>
      <c r="J1065" s="18"/>
      <c r="K1065" s="6"/>
      <c r="L1065" s="6"/>
      <c r="M1065" s="6"/>
      <c r="N1065" s="2"/>
      <c r="O1065" s="2"/>
      <c r="P1065" s="2"/>
      <c r="Q1065" s="6"/>
      <c r="R1065" s="6"/>
      <c r="S1065" s="2"/>
      <c r="T1065" s="6"/>
      <c r="U1065" s="6"/>
      <c r="V1065" s="6"/>
      <c r="W1065" s="6"/>
      <c r="X1065" s="6"/>
      <c r="Y1065" s="6"/>
      <c r="Z1065" s="6"/>
      <c r="AA1065" s="6"/>
      <c r="AB1065" s="6"/>
      <c r="AC1065" s="6"/>
      <c r="AD1065" s="6"/>
      <c r="AE1065" s="6"/>
      <c r="AF1065" s="6"/>
      <c r="AG1065" s="6"/>
      <c r="AH1065" s="6"/>
      <c r="AI1065" s="6"/>
      <c r="AJ1065" s="6"/>
      <c r="AK1065" s="6"/>
      <c r="AL1065" s="6"/>
      <c r="AM1065" s="6"/>
      <c r="AN1065" s="6"/>
      <c r="AO1065" s="6"/>
      <c r="AP1065" s="6"/>
      <c r="AQ1065" s="6"/>
      <c r="AR1065" s="6"/>
      <c r="AS1065" s="6"/>
      <c r="AT1065" s="2"/>
      <c r="AU1065" s="2"/>
    </row>
    <row r="1066" spans="1:47" hidden="1" outlineLevel="1">
      <c r="A1066" s="2"/>
      <c r="B1066" s="2" t="s">
        <v>632</v>
      </c>
      <c r="C1066" s="38" t="s">
        <v>846</v>
      </c>
      <c r="D1066" s="38"/>
      <c r="E1066" s="38"/>
      <c r="F1066" s="38"/>
      <c r="G1066" s="38"/>
      <c r="H1066" s="38"/>
      <c r="I1066" s="38"/>
      <c r="J1066" s="38"/>
      <c r="K1066" s="530">
        <v>450</v>
      </c>
      <c r="L1066" s="530">
        <v>550</v>
      </c>
      <c r="M1066" s="530">
        <v>650</v>
      </c>
      <c r="N1066" s="530">
        <v>750</v>
      </c>
      <c r="O1066" s="530">
        <v>850</v>
      </c>
      <c r="P1066" s="530">
        <v>950</v>
      </c>
      <c r="Q1066" s="2">
        <v>950</v>
      </c>
      <c r="R1066" s="2">
        <v>950</v>
      </c>
      <c r="S1066" s="2">
        <v>950</v>
      </c>
      <c r="T1066" s="2">
        <v>950</v>
      </c>
      <c r="U1066" s="2">
        <v>950</v>
      </c>
      <c r="V1066" s="2">
        <v>950</v>
      </c>
      <c r="W1066" s="2">
        <v>950</v>
      </c>
      <c r="X1066" s="2">
        <v>950</v>
      </c>
      <c r="Y1066" s="2">
        <v>950</v>
      </c>
      <c r="Z1066" s="2">
        <v>950</v>
      </c>
      <c r="AA1066" s="2">
        <v>950</v>
      </c>
      <c r="AB1066" s="2">
        <v>950</v>
      </c>
      <c r="AC1066" s="2">
        <v>950</v>
      </c>
      <c r="AD1066" s="2">
        <v>950</v>
      </c>
      <c r="AE1066" s="2">
        <v>950</v>
      </c>
      <c r="AF1066" s="2">
        <v>950</v>
      </c>
      <c r="AG1066" s="2">
        <v>950</v>
      </c>
      <c r="AH1066" s="2">
        <v>950</v>
      </c>
      <c r="AI1066" s="2">
        <v>950</v>
      </c>
      <c r="AJ1066" s="2">
        <v>950</v>
      </c>
      <c r="AK1066" s="2">
        <v>950</v>
      </c>
      <c r="AL1066" s="2">
        <v>950</v>
      </c>
      <c r="AM1066" s="2">
        <v>950</v>
      </c>
      <c r="AN1066" s="2">
        <v>950</v>
      </c>
      <c r="AO1066" s="2">
        <v>950</v>
      </c>
      <c r="AP1066" s="2">
        <v>950</v>
      </c>
      <c r="AQ1066" s="2">
        <v>950</v>
      </c>
      <c r="AR1066" s="2">
        <v>950</v>
      </c>
      <c r="AS1066" s="2">
        <v>950</v>
      </c>
      <c r="AT1066" s="2"/>
      <c r="AU1066" s="2"/>
    </row>
    <row r="1067" spans="1:47" hidden="1" outlineLevel="1">
      <c r="A1067" s="2"/>
      <c r="B1067" s="2" t="s">
        <v>384</v>
      </c>
      <c r="C1067" s="38" t="s">
        <v>846</v>
      </c>
      <c r="D1067" s="38"/>
      <c r="E1067" s="38"/>
      <c r="F1067" s="38"/>
      <c r="G1067" s="38"/>
      <c r="H1067" s="38"/>
      <c r="I1067" s="38"/>
      <c r="J1067" s="38"/>
      <c r="K1067" s="570">
        <v>565.01404640624992</v>
      </c>
      <c r="L1067" s="19">
        <v>689.49463940156227</v>
      </c>
      <c r="M1067" s="19">
        <v>770.99333255226531</v>
      </c>
      <c r="N1067" s="19">
        <v>816.28362458009963</v>
      </c>
      <c r="O1067" s="19">
        <v>869.22659508098695</v>
      </c>
      <c r="P1067" s="19">
        <v>963.63029832118036</v>
      </c>
      <c r="Q1067" s="19">
        <v>1076.6938262485091</v>
      </c>
      <c r="R1067" s="19">
        <v>1210.8225653772174</v>
      </c>
      <c r="S1067" s="19">
        <v>1329.3209791180291</v>
      </c>
      <c r="T1067" s="19">
        <v>1412.8178089926023</v>
      </c>
      <c r="U1067" s="19">
        <v>1499.9714236541938</v>
      </c>
      <c r="V1067" s="19">
        <v>1560.8283856746266</v>
      </c>
      <c r="W1067" s="19">
        <v>1597.9455135293656</v>
      </c>
      <c r="X1067" s="19">
        <v>2396.5606742883951</v>
      </c>
      <c r="Y1067" s="19">
        <v>2392.1509897091637</v>
      </c>
      <c r="Z1067" s="19">
        <v>2405.6210130507297</v>
      </c>
      <c r="AA1067" s="19">
        <v>2453.2441862581736</v>
      </c>
      <c r="AB1067" s="19">
        <v>2495.7586893066859</v>
      </c>
      <c r="AC1067" s="19">
        <v>2526.3029101982011</v>
      </c>
      <c r="AD1067" s="19">
        <v>2556.0806457989174</v>
      </c>
      <c r="AE1067" s="19">
        <v>2580.2932812197655</v>
      </c>
      <c r="AF1067" s="19">
        <v>2604.9166826019132</v>
      </c>
      <c r="AG1067" s="19">
        <v>2629.9583303971149</v>
      </c>
      <c r="AH1067" s="19">
        <v>2655.4258473174864</v>
      </c>
      <c r="AI1067" s="19">
        <v>2681.3270011072236</v>
      </c>
      <c r="AJ1067" s="19">
        <v>2707.6697073690234</v>
      </c>
      <c r="AK1067" s="19">
        <v>2734.4620324462894</v>
      </c>
      <c r="AL1067" s="19">
        <v>2761.712196362234</v>
      </c>
      <c r="AM1067" s="19">
        <v>2789.4285758170008</v>
      </c>
      <c r="AN1067" s="19">
        <v>2817.6197072439722</v>
      </c>
      <c r="AO1067" s="19">
        <v>2846.2942899264235</v>
      </c>
      <c r="AP1067" s="19">
        <v>2875.4611891757336</v>
      </c>
      <c r="AQ1067" s="19">
        <v>2875.4611891757336</v>
      </c>
      <c r="AR1067" s="19">
        <v>2875.4611891757336</v>
      </c>
      <c r="AS1067" s="19">
        <v>2875.4611891757336</v>
      </c>
      <c r="AT1067" s="2"/>
      <c r="AU1067" s="2"/>
    </row>
    <row r="1068" spans="1:47" hidden="1" outlineLevel="1">
      <c r="A1068" s="2"/>
      <c r="B1068" s="55" t="s">
        <v>385</v>
      </c>
      <c r="C1068" s="38" t="s">
        <v>386</v>
      </c>
      <c r="D1068" s="38"/>
      <c r="E1068" s="38"/>
      <c r="F1068" s="38"/>
      <c r="G1068" s="38"/>
      <c r="H1068" s="38"/>
      <c r="I1068" s="38"/>
      <c r="J1068" s="38"/>
      <c r="K1068" s="766">
        <v>7.81</v>
      </c>
      <c r="L1068" s="767">
        <v>7.81</v>
      </c>
      <c r="M1068" s="767">
        <v>7.81</v>
      </c>
      <c r="N1068" s="767">
        <v>7.81</v>
      </c>
      <c r="O1068" s="767">
        <v>7.81</v>
      </c>
      <c r="P1068" s="767">
        <v>7.81</v>
      </c>
      <c r="Q1068" s="767">
        <v>7.81</v>
      </c>
      <c r="R1068" s="767">
        <v>7.81</v>
      </c>
      <c r="S1068" s="767">
        <v>7.81</v>
      </c>
      <c r="T1068" s="767">
        <v>7.81</v>
      </c>
      <c r="U1068" s="767">
        <v>7.81</v>
      </c>
      <c r="V1068" s="767">
        <v>7.81</v>
      </c>
      <c r="W1068" s="767">
        <v>7.81</v>
      </c>
      <c r="X1068" s="767">
        <v>10.809999999999999</v>
      </c>
      <c r="Y1068" s="767">
        <v>10.809999999999999</v>
      </c>
      <c r="Z1068" s="767">
        <v>10.809999999999999</v>
      </c>
      <c r="AA1068" s="767">
        <v>10.809999999999999</v>
      </c>
      <c r="AB1068" s="767">
        <v>10.809999999999999</v>
      </c>
      <c r="AC1068" s="767">
        <v>10.809999999999999</v>
      </c>
      <c r="AD1068" s="767">
        <v>10.809999999999999</v>
      </c>
      <c r="AE1068" s="767">
        <v>10.809999999999999</v>
      </c>
      <c r="AF1068" s="767">
        <v>10.809999999999999</v>
      </c>
      <c r="AG1068" s="767">
        <v>10.809999999999999</v>
      </c>
      <c r="AH1068" s="767">
        <v>10.809999999999999</v>
      </c>
      <c r="AI1068" s="767">
        <v>10.809999999999999</v>
      </c>
      <c r="AJ1068" s="767">
        <v>10.809999999999999</v>
      </c>
      <c r="AK1068" s="767">
        <v>10.809999999999999</v>
      </c>
      <c r="AL1068" s="767">
        <v>10.809999999999999</v>
      </c>
      <c r="AM1068" s="767">
        <v>10.809999999999999</v>
      </c>
      <c r="AN1068" s="767">
        <v>10.809999999999999</v>
      </c>
      <c r="AO1068" s="767">
        <v>10.809999999999999</v>
      </c>
      <c r="AP1068" s="767">
        <v>10.809999999999999</v>
      </c>
      <c r="AQ1068" s="767">
        <v>10.809999999999999</v>
      </c>
      <c r="AR1068" s="767">
        <v>10.809999999999999</v>
      </c>
      <c r="AS1068" s="767">
        <v>10.809999999999999</v>
      </c>
      <c r="AT1068" s="2"/>
      <c r="AU1068" s="2"/>
    </row>
    <row r="1069" spans="1:47" hidden="1" outlineLevel="1">
      <c r="A1069" s="2"/>
      <c r="B1069" s="55" t="s">
        <v>387</v>
      </c>
      <c r="C1069" s="18" t="s">
        <v>388</v>
      </c>
      <c r="D1069" s="18"/>
      <c r="E1069" s="18"/>
      <c r="F1069" s="18"/>
      <c r="G1069" s="18"/>
      <c r="H1069" s="18"/>
      <c r="I1069" s="18"/>
      <c r="J1069" s="18"/>
      <c r="K1069" s="530">
        <v>0.64</v>
      </c>
      <c r="L1069" s="530">
        <v>0.64</v>
      </c>
      <c r="M1069" s="530">
        <v>0.56999999999999995</v>
      </c>
      <c r="N1069" s="530">
        <v>0.62</v>
      </c>
      <c r="O1069" s="530">
        <v>0.68</v>
      </c>
      <c r="P1069" s="563">
        <v>0.78</v>
      </c>
      <c r="Q1069" s="563">
        <v>0.75</v>
      </c>
      <c r="R1069" s="563">
        <v>0.8</v>
      </c>
      <c r="S1069" s="563">
        <v>0.8</v>
      </c>
      <c r="T1069" s="563">
        <v>0.88500000000000001</v>
      </c>
      <c r="U1069" s="92">
        <v>0.88500000000000001</v>
      </c>
      <c r="V1069" s="563">
        <v>0.95</v>
      </c>
      <c r="W1069" s="92">
        <v>0.95</v>
      </c>
      <c r="X1069" s="788">
        <v>0.9</v>
      </c>
      <c r="Y1069" s="789">
        <v>0.9</v>
      </c>
      <c r="Z1069" s="789">
        <v>0.9</v>
      </c>
      <c r="AA1069" s="789">
        <v>0.9</v>
      </c>
      <c r="AB1069" s="789">
        <v>0.9</v>
      </c>
      <c r="AC1069" s="789">
        <v>0.9</v>
      </c>
      <c r="AD1069" s="789">
        <v>0.9</v>
      </c>
      <c r="AE1069" s="789">
        <v>0.9</v>
      </c>
      <c r="AF1069" s="789">
        <v>0.9</v>
      </c>
      <c r="AG1069" s="789">
        <v>0.9</v>
      </c>
      <c r="AH1069" s="789">
        <v>0.9</v>
      </c>
      <c r="AI1069" s="789">
        <v>0.9</v>
      </c>
      <c r="AJ1069" s="789">
        <v>0.9</v>
      </c>
      <c r="AK1069" s="789">
        <v>0.9</v>
      </c>
      <c r="AL1069" s="789">
        <v>0.9</v>
      </c>
      <c r="AM1069" s="789">
        <v>0.9</v>
      </c>
      <c r="AN1069" s="789">
        <v>0.9</v>
      </c>
      <c r="AO1069" s="790">
        <v>0.9</v>
      </c>
      <c r="AP1069" s="790">
        <v>0.9</v>
      </c>
      <c r="AQ1069" s="790">
        <v>0.9</v>
      </c>
      <c r="AR1069" s="790">
        <v>0.9</v>
      </c>
      <c r="AS1069" s="790">
        <v>0.9</v>
      </c>
      <c r="AT1069" s="2"/>
      <c r="AU1069" s="2"/>
    </row>
    <row r="1070" spans="1:47" hidden="1" outlineLevel="1">
      <c r="A1070" s="2"/>
      <c r="B1070" s="55" t="s">
        <v>389</v>
      </c>
      <c r="C1070" s="18" t="s">
        <v>390</v>
      </c>
      <c r="D1070" s="18"/>
      <c r="E1070" s="18"/>
      <c r="F1070" s="18"/>
      <c r="G1070" s="18"/>
      <c r="H1070" s="18"/>
      <c r="I1070" s="18"/>
      <c r="J1070" s="18"/>
      <c r="K1070" s="766">
        <v>12.203125</v>
      </c>
      <c r="L1070" s="767">
        <v>12.203125</v>
      </c>
      <c r="M1070" s="767">
        <v>13.701754385964913</v>
      </c>
      <c r="N1070" s="767">
        <v>12.596774193548386</v>
      </c>
      <c r="O1070" s="767">
        <v>11.485294117647058</v>
      </c>
      <c r="P1070" s="767">
        <v>10.012820512820513</v>
      </c>
      <c r="Q1070" s="767">
        <v>10.413333333333332</v>
      </c>
      <c r="R1070" s="767">
        <v>9.7624999999999993</v>
      </c>
      <c r="S1070" s="767">
        <v>9.7624999999999993</v>
      </c>
      <c r="T1070" s="767">
        <v>8.8248587570621471</v>
      </c>
      <c r="U1070" s="767">
        <v>8.8248587570621471</v>
      </c>
      <c r="V1070" s="767">
        <v>8.2210526315789476</v>
      </c>
      <c r="W1070" s="767">
        <v>8.2210526315789476</v>
      </c>
      <c r="X1070" s="767">
        <v>12.011111111111109</v>
      </c>
      <c r="Y1070" s="767">
        <v>12.011111111111109</v>
      </c>
      <c r="Z1070" s="767">
        <v>12.011111111111109</v>
      </c>
      <c r="AA1070" s="767">
        <v>12.011111111111109</v>
      </c>
      <c r="AB1070" s="767">
        <v>12.011111111111109</v>
      </c>
      <c r="AC1070" s="767">
        <v>12.011111111111109</v>
      </c>
      <c r="AD1070" s="767">
        <v>12.011111111111109</v>
      </c>
      <c r="AE1070" s="767">
        <v>12.011111111111109</v>
      </c>
      <c r="AF1070" s="767">
        <v>12.011111111111109</v>
      </c>
      <c r="AG1070" s="767">
        <v>12.011111111111109</v>
      </c>
      <c r="AH1070" s="767">
        <v>12.011111111111109</v>
      </c>
      <c r="AI1070" s="767">
        <v>12.011111111111109</v>
      </c>
      <c r="AJ1070" s="767">
        <v>12.011111111111109</v>
      </c>
      <c r="AK1070" s="767">
        <v>12.011111111111109</v>
      </c>
      <c r="AL1070" s="767">
        <v>12.011111111111109</v>
      </c>
      <c r="AM1070" s="767">
        <v>12.011111111111109</v>
      </c>
      <c r="AN1070" s="767">
        <v>12.011111111111109</v>
      </c>
      <c r="AO1070" s="767">
        <v>12.011111111111109</v>
      </c>
      <c r="AP1070" s="767">
        <v>12.011111111111109</v>
      </c>
      <c r="AQ1070" s="767">
        <v>12.011111111111109</v>
      </c>
      <c r="AR1070" s="767">
        <v>12.011111111111109</v>
      </c>
      <c r="AS1070" s="767">
        <v>12.011111111111109</v>
      </c>
      <c r="AT1070" s="2"/>
      <c r="AU1070" s="2"/>
    </row>
    <row r="1071" spans="1:47" hidden="1" outlineLevel="1">
      <c r="A1071" s="2"/>
      <c r="B1071" s="2" t="s">
        <v>481</v>
      </c>
      <c r="C1071" s="38" t="s">
        <v>732</v>
      </c>
      <c r="D1071" s="38"/>
      <c r="E1071" s="38"/>
      <c r="F1071" s="38"/>
      <c r="G1071" s="38"/>
      <c r="H1071" s="38"/>
      <c r="I1071" s="38"/>
      <c r="J1071" s="38"/>
      <c r="K1071" s="566">
        <v>82.739244420615208</v>
      </c>
      <c r="L1071" s="3">
        <v>100.96787125736628</v>
      </c>
      <c r="M1071" s="3">
        <v>126.76753531017246</v>
      </c>
      <c r="N1071" s="3">
        <v>123.39048596072087</v>
      </c>
      <c r="O1071" s="3">
        <v>119.79987719263247</v>
      </c>
      <c r="P1071" s="3">
        <v>115.78388661366797</v>
      </c>
      <c r="Q1071" s="3">
        <v>134.54366052801367</v>
      </c>
      <c r="R1071" s="3">
        <v>141.84786353394102</v>
      </c>
      <c r="S1071" s="3">
        <v>155.7299527036771</v>
      </c>
      <c r="T1071" s="3">
        <v>149.61501136586068</v>
      </c>
      <c r="U1071" s="3">
        <v>158.84443144053228</v>
      </c>
      <c r="V1071" s="3">
        <v>153.97982768992213</v>
      </c>
      <c r="W1071" s="3">
        <v>157.64153002944437</v>
      </c>
      <c r="X1071" s="3">
        <v>345.42427852076736</v>
      </c>
      <c r="Y1071" s="3">
        <v>344.78869598341407</v>
      </c>
      <c r="Z1071" s="3">
        <v>346.73017534771179</v>
      </c>
      <c r="AA1071" s="3">
        <v>353.59426204601141</v>
      </c>
      <c r="AB1071" s="3">
        <v>359.72201908540359</v>
      </c>
      <c r="AC1071" s="3">
        <v>364.12445945656731</v>
      </c>
      <c r="AD1071" s="3">
        <v>368.41642374781725</v>
      </c>
      <c r="AE1071" s="3">
        <v>371.9062715998088</v>
      </c>
      <c r="AF1071" s="3">
        <v>375.45532451902238</v>
      </c>
      <c r="AG1071" s="3">
        <v>379.06466068790411</v>
      </c>
      <c r="AH1071" s="3">
        <v>382.73537879336033</v>
      </c>
      <c r="AI1071" s="3">
        <v>386.4685984262544</v>
      </c>
      <c r="AJ1071" s="3">
        <v>390.26546048878851</v>
      </c>
      <c r="AK1071" s="3">
        <v>394.12712760992514</v>
      </c>
      <c r="AL1071" s="3">
        <v>398.05478456900988</v>
      </c>
      <c r="AM1071" s="3">
        <v>402.04963872775704</v>
      </c>
      <c r="AN1071" s="3">
        <v>406.11292047076449</v>
      </c>
      <c r="AO1071" s="3">
        <v>410.2458836547284</v>
      </c>
      <c r="AP1071" s="3">
        <v>414.44980606652899</v>
      </c>
      <c r="AQ1071" s="3">
        <v>414.44980606652899</v>
      </c>
      <c r="AR1071" s="3">
        <v>414.44980606652899</v>
      </c>
      <c r="AS1071" s="3">
        <v>414.44980606652899</v>
      </c>
      <c r="AT1071" s="2"/>
      <c r="AU1071" s="2"/>
    </row>
    <row r="1072" spans="1:47" hidden="1" outlineLevel="1">
      <c r="A1072" s="2"/>
      <c r="B1072" s="2" t="s">
        <v>482</v>
      </c>
      <c r="C1072" s="38" t="s">
        <v>846</v>
      </c>
      <c r="D1072" s="38"/>
      <c r="E1072" s="38"/>
      <c r="F1072" s="38"/>
      <c r="G1072" s="38"/>
      <c r="H1072" s="38"/>
      <c r="I1072" s="38"/>
      <c r="J1072" s="38"/>
      <c r="K1072" s="2"/>
      <c r="L1072" s="2"/>
      <c r="M1072" s="2"/>
      <c r="N1072" s="530">
        <v>600</v>
      </c>
      <c r="O1072" s="530">
        <v>600</v>
      </c>
      <c r="P1072" s="530">
        <v>600</v>
      </c>
      <c r="Q1072" s="530">
        <v>600</v>
      </c>
      <c r="R1072" s="530">
        <v>600</v>
      </c>
      <c r="S1072" s="530">
        <v>600</v>
      </c>
      <c r="T1072" s="530">
        <v>600</v>
      </c>
      <c r="U1072" s="530">
        <v>600</v>
      </c>
      <c r="V1072" s="530">
        <v>601</v>
      </c>
      <c r="W1072" s="530">
        <v>602</v>
      </c>
      <c r="X1072" s="530">
        <v>603</v>
      </c>
      <c r="Y1072" s="530">
        <v>604</v>
      </c>
      <c r="Z1072" s="530">
        <v>605</v>
      </c>
      <c r="AA1072" s="530">
        <v>606</v>
      </c>
      <c r="AB1072" s="530">
        <v>607</v>
      </c>
      <c r="AC1072" s="530">
        <v>608</v>
      </c>
      <c r="AD1072" s="530">
        <v>609</v>
      </c>
      <c r="AE1072" s="530">
        <v>610</v>
      </c>
      <c r="AF1072" s="530">
        <v>611</v>
      </c>
      <c r="AG1072" s="530">
        <v>612</v>
      </c>
      <c r="AH1072" s="530">
        <v>613</v>
      </c>
      <c r="AI1072" s="530">
        <v>614</v>
      </c>
      <c r="AJ1072" s="530">
        <v>614</v>
      </c>
      <c r="AK1072" s="530">
        <v>614</v>
      </c>
      <c r="AL1072" s="530">
        <v>614</v>
      </c>
      <c r="AM1072" s="530">
        <v>614</v>
      </c>
      <c r="AN1072" s="530">
        <v>614</v>
      </c>
      <c r="AO1072" s="530">
        <v>614</v>
      </c>
      <c r="AP1072" s="530">
        <v>614</v>
      </c>
      <c r="AQ1072" s="530">
        <v>614</v>
      </c>
      <c r="AR1072" s="530">
        <v>614</v>
      </c>
      <c r="AS1072" s="530">
        <v>614</v>
      </c>
      <c r="AT1072" s="2"/>
      <c r="AU1072" s="2"/>
    </row>
    <row r="1073" spans="1:47" hidden="1" outlineLevel="1">
      <c r="A1073" s="2"/>
      <c r="B1073" s="2" t="s">
        <v>77</v>
      </c>
      <c r="C1073" s="38" t="s">
        <v>846</v>
      </c>
      <c r="D1073" s="38"/>
      <c r="E1073" s="38"/>
      <c r="F1073" s="38"/>
      <c r="G1073" s="38"/>
      <c r="H1073" s="38"/>
      <c r="I1073" s="38"/>
      <c r="J1073" s="38"/>
      <c r="K1073" s="19"/>
      <c r="L1073" s="19"/>
      <c r="M1073" s="19"/>
      <c r="N1073" s="19">
        <v>111.6555</v>
      </c>
      <c r="O1073" s="19">
        <v>209.42591999999999</v>
      </c>
      <c r="P1073" s="19">
        <v>176.48949594374994</v>
      </c>
      <c r="Q1073" s="19">
        <v>140.43818123156245</v>
      </c>
      <c r="R1073" s="19">
        <v>150.81343918464648</v>
      </c>
      <c r="S1073" s="19">
        <v>176.36730894248592</v>
      </c>
      <c r="T1073" s="19">
        <v>172.9319667605894</v>
      </c>
      <c r="U1073" s="19">
        <v>130.87771277349776</v>
      </c>
      <c r="V1073" s="19">
        <v>80.884271807406947</v>
      </c>
      <c r="W1073" s="19">
        <v>123.54086578745671</v>
      </c>
      <c r="X1073" s="19">
        <v>0</v>
      </c>
      <c r="Y1073" s="19">
        <v>0</v>
      </c>
      <c r="Z1073" s="19">
        <v>0</v>
      </c>
      <c r="AA1073" s="19">
        <v>0</v>
      </c>
      <c r="AB1073" s="19">
        <v>0</v>
      </c>
      <c r="AC1073" s="19">
        <v>0</v>
      </c>
      <c r="AD1073" s="19">
        <v>0</v>
      </c>
      <c r="AE1073" s="19">
        <v>0</v>
      </c>
      <c r="AF1073" s="19">
        <v>0</v>
      </c>
      <c r="AG1073" s="19">
        <v>0</v>
      </c>
      <c r="AH1073" s="19">
        <v>0</v>
      </c>
      <c r="AI1073" s="19">
        <v>0</v>
      </c>
      <c r="AJ1073" s="19">
        <v>0</v>
      </c>
      <c r="AK1073" s="19">
        <v>0</v>
      </c>
      <c r="AL1073" s="19">
        <v>0</v>
      </c>
      <c r="AM1073" s="19">
        <v>0</v>
      </c>
      <c r="AN1073" s="19">
        <v>0</v>
      </c>
      <c r="AO1073" s="19">
        <v>0</v>
      </c>
      <c r="AP1073" s="19">
        <v>0</v>
      </c>
      <c r="AQ1073" s="19">
        <v>0</v>
      </c>
      <c r="AR1073" s="19">
        <v>0</v>
      </c>
      <c r="AS1073" s="19">
        <v>0</v>
      </c>
      <c r="AT1073" s="2"/>
      <c r="AU1073" s="2"/>
    </row>
    <row r="1074" spans="1:47" hidden="1" outlineLevel="1">
      <c r="A1074" s="2"/>
      <c r="B1074" s="55" t="s">
        <v>385</v>
      </c>
      <c r="C1074" s="38" t="s">
        <v>386</v>
      </c>
      <c r="D1074" s="38"/>
      <c r="E1074" s="38"/>
      <c r="F1074" s="38"/>
      <c r="G1074" s="38"/>
      <c r="H1074" s="38"/>
      <c r="I1074" s="38"/>
      <c r="J1074" s="38"/>
      <c r="K1074" s="19"/>
      <c r="L1074" s="19"/>
      <c r="M1074" s="19"/>
      <c r="N1074" s="766">
        <v>7.15</v>
      </c>
      <c r="O1074" s="767">
        <v>7.15</v>
      </c>
      <c r="P1074" s="767">
        <v>7.15</v>
      </c>
      <c r="Q1074" s="767">
        <v>7.15</v>
      </c>
      <c r="R1074" s="767">
        <v>7.15</v>
      </c>
      <c r="S1074" s="767">
        <v>7.15</v>
      </c>
      <c r="T1074" s="767">
        <v>7.15</v>
      </c>
      <c r="U1074" s="767">
        <v>7.15</v>
      </c>
      <c r="V1074" s="767">
        <v>7.15</v>
      </c>
      <c r="W1074" s="767">
        <v>7.15</v>
      </c>
      <c r="X1074" s="767">
        <v>7.15</v>
      </c>
      <c r="Y1074" s="767">
        <v>7.15</v>
      </c>
      <c r="Z1074" s="767">
        <v>7.15</v>
      </c>
      <c r="AA1074" s="767">
        <v>7.15</v>
      </c>
      <c r="AB1074" s="767">
        <v>7.15</v>
      </c>
      <c r="AC1074" s="767">
        <v>7.15</v>
      </c>
      <c r="AD1074" s="767">
        <v>7.15</v>
      </c>
      <c r="AE1074" s="767">
        <v>7.15</v>
      </c>
      <c r="AF1074" s="767">
        <v>7.15</v>
      </c>
      <c r="AG1074" s="767">
        <v>7.15</v>
      </c>
      <c r="AH1074" s="767">
        <v>7.15</v>
      </c>
      <c r="AI1074" s="767">
        <v>7.15</v>
      </c>
      <c r="AJ1074" s="767">
        <v>7.15</v>
      </c>
      <c r="AK1074" s="767">
        <v>7.15</v>
      </c>
      <c r="AL1074" s="767">
        <v>7.15</v>
      </c>
      <c r="AM1074" s="767">
        <v>7.15</v>
      </c>
      <c r="AN1074" s="767">
        <v>7.15</v>
      </c>
      <c r="AO1074" s="767">
        <v>7.15</v>
      </c>
      <c r="AP1074" s="767">
        <v>7.15</v>
      </c>
      <c r="AQ1074" s="767">
        <v>7.15</v>
      </c>
      <c r="AR1074" s="767">
        <v>7.15</v>
      </c>
      <c r="AS1074" s="767">
        <v>7.15</v>
      </c>
      <c r="AT1074" s="2"/>
      <c r="AU1074" s="2"/>
    </row>
    <row r="1075" spans="1:47" hidden="1" outlineLevel="1">
      <c r="A1075" s="2"/>
      <c r="B1075" s="55" t="s">
        <v>387</v>
      </c>
      <c r="C1075" s="18" t="s">
        <v>388</v>
      </c>
      <c r="D1075" s="18"/>
      <c r="E1075" s="18"/>
      <c r="F1075" s="18"/>
      <c r="G1075" s="18"/>
      <c r="H1075" s="18"/>
      <c r="I1075" s="18"/>
      <c r="J1075" s="18"/>
      <c r="K1075" s="19"/>
      <c r="L1075" s="19"/>
      <c r="M1075" s="19"/>
      <c r="N1075" s="2">
        <v>0.62</v>
      </c>
      <c r="O1075" s="2">
        <v>0.68</v>
      </c>
      <c r="P1075" s="92">
        <v>0.78</v>
      </c>
      <c r="Q1075" s="92">
        <v>0.75</v>
      </c>
      <c r="R1075" s="92">
        <v>0.8</v>
      </c>
      <c r="S1075" s="92">
        <v>0.8</v>
      </c>
      <c r="T1075" s="92">
        <v>0.88500000000000001</v>
      </c>
      <c r="U1075" s="92">
        <v>0.88500000000000001</v>
      </c>
      <c r="V1075" s="92">
        <v>0.95</v>
      </c>
      <c r="W1075" s="92">
        <v>0.95</v>
      </c>
      <c r="X1075" s="92">
        <v>0.9</v>
      </c>
      <c r="Y1075" s="92">
        <v>0.9</v>
      </c>
      <c r="Z1075" s="92">
        <v>0.9</v>
      </c>
      <c r="AA1075" s="92">
        <v>0.9</v>
      </c>
      <c r="AB1075" s="92">
        <v>0.9</v>
      </c>
      <c r="AC1075" s="92">
        <v>0.9</v>
      </c>
      <c r="AD1075" s="92">
        <v>0.9</v>
      </c>
      <c r="AE1075" s="92">
        <v>0.9</v>
      </c>
      <c r="AF1075" s="92">
        <v>0.9</v>
      </c>
      <c r="AG1075" s="92">
        <v>0.9</v>
      </c>
      <c r="AH1075" s="92">
        <v>0.9</v>
      </c>
      <c r="AI1075" s="92">
        <v>0.9</v>
      </c>
      <c r="AJ1075" s="92">
        <v>0.9</v>
      </c>
      <c r="AK1075" s="92">
        <v>0.9</v>
      </c>
      <c r="AL1075" s="92">
        <v>0.9</v>
      </c>
      <c r="AM1075" s="92">
        <v>0.9</v>
      </c>
      <c r="AN1075" s="92">
        <v>0.9</v>
      </c>
      <c r="AO1075" s="92">
        <v>0.9</v>
      </c>
      <c r="AP1075" s="92">
        <v>0.9</v>
      </c>
      <c r="AQ1075" s="92">
        <v>0.9</v>
      </c>
      <c r="AR1075" s="92">
        <v>0.9</v>
      </c>
      <c r="AS1075" s="92">
        <v>0.9</v>
      </c>
      <c r="AT1075" s="2"/>
      <c r="AU1075" s="2"/>
    </row>
    <row r="1076" spans="1:47" hidden="1" outlineLevel="1">
      <c r="A1076" s="2"/>
      <c r="B1076" s="55" t="s">
        <v>389</v>
      </c>
      <c r="C1076" s="18" t="s">
        <v>390</v>
      </c>
      <c r="D1076" s="18"/>
      <c r="E1076" s="18"/>
      <c r="F1076" s="18"/>
      <c r="G1076" s="18"/>
      <c r="H1076" s="18"/>
      <c r="I1076" s="18"/>
      <c r="J1076" s="18"/>
      <c r="K1076" s="767"/>
      <c r="L1076" s="767"/>
      <c r="M1076" s="767"/>
      <c r="N1076" s="767">
        <v>11.53225806451613</v>
      </c>
      <c r="O1076" s="767">
        <v>11.53225806451613</v>
      </c>
      <c r="P1076" s="767">
        <v>11.53225806451613</v>
      </c>
      <c r="Q1076" s="767">
        <v>11.53225806451613</v>
      </c>
      <c r="R1076" s="767">
        <v>11.53225806451613</v>
      </c>
      <c r="S1076" s="767">
        <v>11.53225806451613</v>
      </c>
      <c r="T1076" s="767">
        <v>11.53225806451613</v>
      </c>
      <c r="U1076" s="767">
        <v>11.53225806451613</v>
      </c>
      <c r="V1076" s="767">
        <v>11.53225806451613</v>
      </c>
      <c r="W1076" s="767">
        <v>11.53225806451613</v>
      </c>
      <c r="X1076" s="767">
        <v>11.53225806451613</v>
      </c>
      <c r="Y1076" s="767">
        <v>11.53225806451613</v>
      </c>
      <c r="Z1076" s="767">
        <v>11.53225806451613</v>
      </c>
      <c r="AA1076" s="767">
        <v>11.53225806451613</v>
      </c>
      <c r="AB1076" s="767">
        <v>11.53225806451613</v>
      </c>
      <c r="AC1076" s="767">
        <v>11.53225806451613</v>
      </c>
      <c r="AD1076" s="767">
        <v>11.53225806451613</v>
      </c>
      <c r="AE1076" s="767">
        <v>11.53225806451613</v>
      </c>
      <c r="AF1076" s="767">
        <v>11.53225806451613</v>
      </c>
      <c r="AG1076" s="767">
        <v>11.53225806451613</v>
      </c>
      <c r="AH1076" s="767">
        <v>11.53225806451613</v>
      </c>
      <c r="AI1076" s="767">
        <v>11.53225806451613</v>
      </c>
      <c r="AJ1076" s="767">
        <v>11.53225806451613</v>
      </c>
      <c r="AK1076" s="767">
        <v>11.53225806451613</v>
      </c>
      <c r="AL1076" s="767">
        <v>11.53225806451613</v>
      </c>
      <c r="AM1076" s="767">
        <v>11.53225806451613</v>
      </c>
      <c r="AN1076" s="767">
        <v>11.53225806451613</v>
      </c>
      <c r="AO1076" s="767">
        <v>11.53225806451613</v>
      </c>
      <c r="AP1076" s="767">
        <v>11.53225806451613</v>
      </c>
      <c r="AQ1076" s="767">
        <v>11.53225806451613</v>
      </c>
      <c r="AR1076" s="767">
        <v>11.53225806451613</v>
      </c>
      <c r="AS1076" s="767">
        <v>11.53225806451613</v>
      </c>
      <c r="AT1076" s="2"/>
      <c r="AU1076" s="2"/>
    </row>
    <row r="1077" spans="1:47" hidden="1" outlineLevel="1">
      <c r="A1077" s="2"/>
      <c r="B1077" s="2" t="s">
        <v>78</v>
      </c>
      <c r="C1077" s="38" t="s">
        <v>732</v>
      </c>
      <c r="D1077" s="38"/>
      <c r="E1077" s="38"/>
      <c r="F1077" s="38"/>
      <c r="G1077" s="38"/>
      <c r="H1077" s="38"/>
      <c r="I1077" s="38"/>
      <c r="J1077" s="38"/>
      <c r="K1077" s="3"/>
      <c r="L1077" s="3"/>
      <c r="M1077" s="3"/>
      <c r="N1077" s="3">
        <v>41.516129032258071</v>
      </c>
      <c r="O1077" s="3">
        <v>83.032258064516142</v>
      </c>
      <c r="P1077" s="3">
        <v>83.032258064516142</v>
      </c>
      <c r="Q1077" s="3">
        <v>83.032258064516142</v>
      </c>
      <c r="R1077" s="3">
        <v>83.032258064516142</v>
      </c>
      <c r="S1077" s="3">
        <v>83.032258064516142</v>
      </c>
      <c r="T1077" s="3">
        <v>83.032258064516142</v>
      </c>
      <c r="U1077" s="3">
        <v>83.032258064516142</v>
      </c>
      <c r="V1077" s="3">
        <v>83.170645161290338</v>
      </c>
      <c r="W1077" s="3">
        <v>83.309032258064519</v>
      </c>
      <c r="X1077" s="3">
        <v>83.447419354838715</v>
      </c>
      <c r="Y1077" s="3">
        <v>83.58580645161291</v>
      </c>
      <c r="Z1077" s="3">
        <v>83.724193548387106</v>
      </c>
      <c r="AA1077" s="3">
        <v>83.862580645161302</v>
      </c>
      <c r="AB1077" s="3">
        <v>84.000967741935483</v>
      </c>
      <c r="AC1077" s="3">
        <v>84.139354838709679</v>
      </c>
      <c r="AD1077" s="3">
        <v>84.277741935483874</v>
      </c>
      <c r="AE1077" s="3">
        <v>84.416129032258056</v>
      </c>
      <c r="AF1077" s="3">
        <v>84.554516129032251</v>
      </c>
      <c r="AG1077" s="3">
        <v>84.692903225806461</v>
      </c>
      <c r="AH1077" s="3">
        <v>84.831290322580656</v>
      </c>
      <c r="AI1077" s="3">
        <v>84.969677419354852</v>
      </c>
      <c r="AJ1077" s="3">
        <v>84.969677419354852</v>
      </c>
      <c r="AK1077" s="3">
        <v>84.969677419354852</v>
      </c>
      <c r="AL1077" s="3">
        <v>84.969677419354852</v>
      </c>
      <c r="AM1077" s="3">
        <v>84.969677419354852</v>
      </c>
      <c r="AN1077" s="3">
        <v>84.969677419354852</v>
      </c>
      <c r="AO1077" s="3">
        <v>84.969677419354852</v>
      </c>
      <c r="AP1077" s="3">
        <v>84.969677419354852</v>
      </c>
      <c r="AQ1077" s="3">
        <v>84.969677419354852</v>
      </c>
      <c r="AR1077" s="3">
        <v>84.969677419354852</v>
      </c>
      <c r="AS1077" s="3">
        <v>84.969677419354852</v>
      </c>
      <c r="AT1077" s="2"/>
      <c r="AU1077" s="2"/>
    </row>
    <row r="1078" spans="1:47" hidden="1" outlineLevel="1">
      <c r="A1078" s="2"/>
      <c r="B1078" s="6" t="s">
        <v>79</v>
      </c>
      <c r="C1078" s="37" t="s">
        <v>732</v>
      </c>
      <c r="D1078" s="37"/>
      <c r="E1078" s="37"/>
      <c r="F1078" s="37"/>
      <c r="G1078" s="37"/>
      <c r="H1078" s="37"/>
      <c r="I1078" s="37"/>
      <c r="J1078" s="37"/>
      <c r="K1078" s="768">
        <v>82.739244420615208</v>
      </c>
      <c r="L1078" s="4">
        <v>100.96787125736628</v>
      </c>
      <c r="M1078" s="4">
        <v>126.76753531017246</v>
      </c>
      <c r="N1078" s="4">
        <v>164.90661499297894</v>
      </c>
      <c r="O1078" s="4">
        <v>202.83213525714859</v>
      </c>
      <c r="P1078" s="4">
        <v>198.81614467818412</v>
      </c>
      <c r="Q1078" s="4">
        <v>217.57591859252983</v>
      </c>
      <c r="R1078" s="4">
        <v>224.88012159845715</v>
      </c>
      <c r="S1078" s="4">
        <v>238.76221076819326</v>
      </c>
      <c r="T1078" s="4">
        <v>232.64726943037681</v>
      </c>
      <c r="U1078" s="4">
        <v>241.87668950504843</v>
      </c>
      <c r="V1078" s="4">
        <v>237.15047285121247</v>
      </c>
      <c r="W1078" s="4">
        <v>240.95056228750889</v>
      </c>
      <c r="X1078" s="4">
        <v>428.87169787560606</v>
      </c>
      <c r="Y1078" s="4">
        <v>428.37450243502701</v>
      </c>
      <c r="Z1078" s="4">
        <v>430.45436889609891</v>
      </c>
      <c r="AA1078" s="4">
        <v>437.45684269117271</v>
      </c>
      <c r="AB1078" s="4">
        <v>443.72298682733907</v>
      </c>
      <c r="AC1078" s="4">
        <v>448.26381429527697</v>
      </c>
      <c r="AD1078" s="4">
        <v>452.69416568330109</v>
      </c>
      <c r="AE1078" s="4">
        <v>456.32240063206689</v>
      </c>
      <c r="AF1078" s="4">
        <v>460.00984064805465</v>
      </c>
      <c r="AG1078" s="4">
        <v>463.75756391371056</v>
      </c>
      <c r="AH1078" s="4">
        <v>467.56666911594095</v>
      </c>
      <c r="AI1078" s="4">
        <v>471.43827584560927</v>
      </c>
      <c r="AJ1078" s="4">
        <v>475.23513790814337</v>
      </c>
      <c r="AK1078" s="4">
        <v>479.09680502928001</v>
      </c>
      <c r="AL1078" s="4">
        <v>483.02446198836475</v>
      </c>
      <c r="AM1078" s="4">
        <v>487.01931614711191</v>
      </c>
      <c r="AN1078" s="4">
        <v>491.08259789011936</v>
      </c>
      <c r="AO1078" s="4">
        <v>495.21556107408327</v>
      </c>
      <c r="AP1078" s="4">
        <v>499.41948348588386</v>
      </c>
      <c r="AQ1078" s="4">
        <v>499.41948348588386</v>
      </c>
      <c r="AR1078" s="4">
        <v>499.41948348588386</v>
      </c>
      <c r="AS1078" s="4">
        <v>499.41948348588386</v>
      </c>
      <c r="AT1078" s="2"/>
      <c r="AU1078" s="2"/>
    </row>
    <row r="1079" spans="1:47" hidden="1" outlineLevel="1">
      <c r="A1079" s="2"/>
      <c r="B1079" s="2" t="s">
        <v>80</v>
      </c>
      <c r="C1079" s="18"/>
      <c r="D1079" s="18"/>
      <c r="E1079" s="18"/>
      <c r="F1079" s="18"/>
      <c r="G1079" s="18"/>
      <c r="H1079" s="18"/>
      <c r="I1079" s="18"/>
      <c r="J1079" s="18"/>
      <c r="K1079" s="6"/>
      <c r="L1079" s="6"/>
      <c r="M1079" s="6"/>
      <c r="N1079" s="6"/>
      <c r="O1079" s="6"/>
      <c r="P1079" s="6"/>
      <c r="Q1079" s="2"/>
      <c r="R1079" s="6"/>
      <c r="S1079" s="2"/>
      <c r="T1079" s="6"/>
      <c r="U1079" s="6"/>
      <c r="V1079" s="6"/>
      <c r="W1079" s="6"/>
      <c r="X1079" s="6"/>
      <c r="Y1079" s="6"/>
      <c r="Z1079" s="6"/>
      <c r="AA1079" s="6"/>
      <c r="AB1079" s="6"/>
      <c r="AC1079" s="6"/>
      <c r="AD1079" s="6"/>
      <c r="AE1079" s="6"/>
      <c r="AF1079" s="6"/>
      <c r="AG1079" s="6"/>
      <c r="AH1079" s="6"/>
      <c r="AI1079" s="6"/>
      <c r="AJ1079" s="6"/>
      <c r="AK1079" s="6"/>
      <c r="AL1079" s="6"/>
      <c r="AM1079" s="6"/>
      <c r="AN1079" s="6"/>
      <c r="AO1079" s="6"/>
      <c r="AP1079" s="6"/>
      <c r="AQ1079" s="6"/>
      <c r="AR1079" s="6"/>
      <c r="AS1079" s="6"/>
      <c r="AT1079" s="2"/>
      <c r="AU1079" s="2"/>
    </row>
    <row r="1080" spans="1:47" hidden="1" outlineLevel="1">
      <c r="A1080" s="2"/>
      <c r="B1080" s="2" t="s">
        <v>81</v>
      </c>
      <c r="C1080" s="18"/>
      <c r="D1080" s="2"/>
      <c r="E1080" s="2"/>
      <c r="F1080" s="2"/>
      <c r="G1080" s="2"/>
      <c r="H1080" s="2"/>
      <c r="I1080" s="2"/>
      <c r="J1080" s="2"/>
      <c r="K1080" s="2"/>
      <c r="L1080" s="2"/>
      <c r="M1080" s="2"/>
      <c r="N1080" s="2"/>
      <c r="O1080" s="2"/>
      <c r="P1080" s="2"/>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row>
    <row r="1081" spans="1:47" hidden="1" outlineLevel="1">
      <c r="A1081" s="2"/>
      <c r="B1081" s="2" t="s">
        <v>384</v>
      </c>
      <c r="C1081" s="38" t="s">
        <v>846</v>
      </c>
      <c r="D1081" s="38"/>
      <c r="E1081" s="38"/>
      <c r="F1081" s="38"/>
      <c r="G1081" s="38"/>
      <c r="H1081" s="38"/>
      <c r="I1081" s="38"/>
      <c r="J1081" s="38"/>
      <c r="K1081" s="570">
        <v>565.01404640624992</v>
      </c>
      <c r="L1081" s="19">
        <v>689.49463940156227</v>
      </c>
      <c r="M1081" s="19">
        <v>770.99333255226531</v>
      </c>
      <c r="N1081" s="19">
        <v>816.28362458009963</v>
      </c>
      <c r="O1081" s="19">
        <v>869.22659508098695</v>
      </c>
      <c r="P1081" s="19">
        <v>963.63029832118036</v>
      </c>
      <c r="Q1081" s="19">
        <v>1076.6938262485091</v>
      </c>
      <c r="R1081" s="19">
        <v>1210.8225653772174</v>
      </c>
      <c r="S1081" s="19">
        <v>1329.3209791180291</v>
      </c>
      <c r="T1081" s="19">
        <v>1412.8178089926023</v>
      </c>
      <c r="U1081" s="19">
        <v>1499.9714236541938</v>
      </c>
      <c r="V1081" s="19">
        <v>1560.8283856746266</v>
      </c>
      <c r="W1081" s="19">
        <v>1597.9455135293656</v>
      </c>
      <c r="X1081" s="19">
        <v>2396.5606742883951</v>
      </c>
      <c r="Y1081" s="19">
        <v>2392.1509897091637</v>
      </c>
      <c r="Z1081" s="19">
        <v>2405.6210130507297</v>
      </c>
      <c r="AA1081" s="19">
        <v>2453.2441862581736</v>
      </c>
      <c r="AB1081" s="19">
        <v>2495.7586893066859</v>
      </c>
      <c r="AC1081" s="19">
        <v>2526.3029101982011</v>
      </c>
      <c r="AD1081" s="19">
        <v>2556.0806457989174</v>
      </c>
      <c r="AE1081" s="19">
        <v>2580.2932812197655</v>
      </c>
      <c r="AF1081" s="19">
        <v>2604.9166826019132</v>
      </c>
      <c r="AG1081" s="19">
        <v>2629.9583303971149</v>
      </c>
      <c r="AH1081" s="19">
        <v>2655.4258473174864</v>
      </c>
      <c r="AI1081" s="19">
        <v>2681.3270011072236</v>
      </c>
      <c r="AJ1081" s="19">
        <v>2707.6697073690234</v>
      </c>
      <c r="AK1081" s="19">
        <v>2734.4620324462894</v>
      </c>
      <c r="AL1081" s="19">
        <v>2761.712196362234</v>
      </c>
      <c r="AM1081" s="19">
        <v>2789.4285758170008</v>
      </c>
      <c r="AN1081" s="19">
        <v>2817.6197072439722</v>
      </c>
      <c r="AO1081" s="19">
        <v>2846.2942899264235</v>
      </c>
      <c r="AP1081" s="19">
        <v>2875.4611891757336</v>
      </c>
      <c r="AQ1081" s="19">
        <v>2875.4611891757336</v>
      </c>
      <c r="AR1081" s="19">
        <v>2875.4611891757336</v>
      </c>
      <c r="AS1081" s="19">
        <v>2875.4611891757336</v>
      </c>
      <c r="AT1081" s="2"/>
      <c r="AU1081" s="2"/>
    </row>
    <row r="1082" spans="1:47" hidden="1" outlineLevel="1">
      <c r="A1082" s="2"/>
      <c r="B1082" s="2" t="s">
        <v>82</v>
      </c>
      <c r="C1082" s="38" t="s">
        <v>846</v>
      </c>
      <c r="D1082" s="38"/>
      <c r="E1082" s="38"/>
      <c r="F1082" s="38"/>
      <c r="G1082" s="38"/>
      <c r="H1082" s="38"/>
      <c r="I1082" s="38"/>
      <c r="J1082" s="38"/>
      <c r="K1082" s="570">
        <v>0</v>
      </c>
      <c r="L1082" s="19">
        <v>0</v>
      </c>
      <c r="M1082" s="19">
        <v>0</v>
      </c>
      <c r="N1082" s="19">
        <v>111.6555</v>
      </c>
      <c r="O1082" s="19">
        <v>209.42591999999999</v>
      </c>
      <c r="P1082" s="19">
        <v>176.48949594374994</v>
      </c>
      <c r="Q1082" s="19">
        <v>140.43818123156245</v>
      </c>
      <c r="R1082" s="19">
        <v>150.81343918464648</v>
      </c>
      <c r="S1082" s="19">
        <v>176.36730894248592</v>
      </c>
      <c r="T1082" s="19">
        <v>172.9319667605894</v>
      </c>
      <c r="U1082" s="19">
        <v>130.87771277349776</v>
      </c>
      <c r="V1082" s="19">
        <v>80.884271807406947</v>
      </c>
      <c r="W1082" s="19">
        <v>123.54086578745671</v>
      </c>
      <c r="X1082" s="19">
        <v>0</v>
      </c>
      <c r="Y1082" s="19">
        <v>0</v>
      </c>
      <c r="Z1082" s="19">
        <v>0</v>
      </c>
      <c r="AA1082" s="19">
        <v>0</v>
      </c>
      <c r="AB1082" s="19">
        <v>0</v>
      </c>
      <c r="AC1082" s="19">
        <v>0</v>
      </c>
      <c r="AD1082" s="19">
        <v>0</v>
      </c>
      <c r="AE1082" s="19">
        <v>0</v>
      </c>
      <c r="AF1082" s="19">
        <v>0</v>
      </c>
      <c r="AG1082" s="19">
        <v>0</v>
      </c>
      <c r="AH1082" s="19">
        <v>0</v>
      </c>
      <c r="AI1082" s="19">
        <v>0</v>
      </c>
      <c r="AJ1082" s="19">
        <v>0</v>
      </c>
      <c r="AK1082" s="19">
        <v>0</v>
      </c>
      <c r="AL1082" s="19">
        <v>0</v>
      </c>
      <c r="AM1082" s="19">
        <v>0</v>
      </c>
      <c r="AN1082" s="19">
        <v>0</v>
      </c>
      <c r="AO1082" s="19">
        <v>0</v>
      </c>
      <c r="AP1082" s="19">
        <v>0</v>
      </c>
      <c r="AQ1082" s="19">
        <v>0</v>
      </c>
      <c r="AR1082" s="19">
        <v>0</v>
      </c>
      <c r="AS1082" s="19">
        <v>0</v>
      </c>
      <c r="AT1082" s="2"/>
      <c r="AU1082" s="2"/>
    </row>
    <row r="1083" spans="1:47" hidden="1" outlineLevel="1">
      <c r="A1083" s="2"/>
      <c r="B1083" s="2" t="s">
        <v>83</v>
      </c>
      <c r="C1083" s="38" t="s">
        <v>846</v>
      </c>
      <c r="D1083" s="38"/>
      <c r="E1083" s="38"/>
      <c r="F1083" s="38"/>
      <c r="G1083" s="38"/>
      <c r="H1083" s="38"/>
      <c r="I1083" s="38"/>
      <c r="J1083" s="38"/>
      <c r="K1083" s="570">
        <v>565.01404640624992</v>
      </c>
      <c r="L1083" s="19">
        <v>689.49463940156227</v>
      </c>
      <c r="M1083" s="19">
        <v>770.99333255226531</v>
      </c>
      <c r="N1083" s="19">
        <v>927.93912458009959</v>
      </c>
      <c r="O1083" s="19">
        <v>1078.6525150809869</v>
      </c>
      <c r="P1083" s="19">
        <v>1140.1197942649303</v>
      </c>
      <c r="Q1083" s="19">
        <v>1217.1320074800715</v>
      </c>
      <c r="R1083" s="19">
        <v>1361.636004561864</v>
      </c>
      <c r="S1083" s="19">
        <v>1505.6882880605149</v>
      </c>
      <c r="T1083" s="19">
        <v>1585.7497757531917</v>
      </c>
      <c r="U1083" s="19">
        <v>1630.8491364276915</v>
      </c>
      <c r="V1083" s="19">
        <v>1641.7126574820336</v>
      </c>
      <c r="W1083" s="19">
        <v>1721.4863793168224</v>
      </c>
      <c r="X1083" s="19">
        <v>2396.5606742883951</v>
      </c>
      <c r="Y1083" s="19">
        <v>2392.1509897091637</v>
      </c>
      <c r="Z1083" s="19">
        <v>2405.6210130507297</v>
      </c>
      <c r="AA1083" s="19">
        <v>2453.2441862581736</v>
      </c>
      <c r="AB1083" s="19">
        <v>2495.7586893066859</v>
      </c>
      <c r="AC1083" s="19">
        <v>2526.3029101982011</v>
      </c>
      <c r="AD1083" s="19">
        <v>2556.0806457989174</v>
      </c>
      <c r="AE1083" s="19">
        <v>2580.2932812197655</v>
      </c>
      <c r="AF1083" s="19">
        <v>2604.9166826019132</v>
      </c>
      <c r="AG1083" s="19">
        <v>2629.9583303971149</v>
      </c>
      <c r="AH1083" s="19">
        <v>2655.4258473174864</v>
      </c>
      <c r="AI1083" s="19">
        <v>2681.3270011072236</v>
      </c>
      <c r="AJ1083" s="19">
        <v>2707.6697073690234</v>
      </c>
      <c r="AK1083" s="19">
        <v>2734.4620324462894</v>
      </c>
      <c r="AL1083" s="19">
        <v>2761.712196362234</v>
      </c>
      <c r="AM1083" s="19">
        <v>2789.4285758170008</v>
      </c>
      <c r="AN1083" s="19">
        <v>2817.6197072439722</v>
      </c>
      <c r="AO1083" s="19">
        <v>2846.2942899264235</v>
      </c>
      <c r="AP1083" s="19">
        <v>2875.4611891757336</v>
      </c>
      <c r="AQ1083" s="19">
        <v>2875.4611891757336</v>
      </c>
      <c r="AR1083" s="19">
        <v>2875.4611891757336</v>
      </c>
      <c r="AS1083" s="19">
        <v>2875.4611891757336</v>
      </c>
      <c r="AT1083" s="2"/>
      <c r="AU1083" s="2"/>
    </row>
    <row r="1084" spans="1:47" hidden="1" outlineLevel="1">
      <c r="A1084" s="2"/>
      <c r="B1084" s="2" t="s">
        <v>84</v>
      </c>
      <c r="C1084" s="18" t="s">
        <v>390</v>
      </c>
      <c r="D1084" s="18"/>
      <c r="E1084" s="18"/>
      <c r="F1084" s="18"/>
      <c r="G1084" s="18"/>
      <c r="H1084" s="18"/>
      <c r="I1084" s="18"/>
      <c r="J1084" s="18"/>
      <c r="K1084" s="766">
        <v>7.25</v>
      </c>
      <c r="L1084" s="767">
        <v>7.25</v>
      </c>
      <c r="M1084" s="767">
        <v>7</v>
      </c>
      <c r="N1084" s="767">
        <v>7</v>
      </c>
      <c r="O1084" s="767">
        <v>7</v>
      </c>
      <c r="P1084" s="767">
        <v>7</v>
      </c>
      <c r="Q1084" s="767">
        <v>7</v>
      </c>
      <c r="R1084" s="767">
        <v>9.5868550408867268</v>
      </c>
      <c r="S1084" s="767">
        <v>10.110137851256217</v>
      </c>
      <c r="T1084" s="767">
        <v>11.373905082663244</v>
      </c>
      <c r="U1084" s="767">
        <v>11.260166031836611</v>
      </c>
      <c r="V1084" s="767">
        <v>11.260166031836611</v>
      </c>
      <c r="W1084" s="767">
        <v>11.260166031836611</v>
      </c>
      <c r="X1084" s="767">
        <v>11.372767692154978</v>
      </c>
      <c r="Y1084" s="767">
        <v>10.666495369076529</v>
      </c>
      <c r="Z1084" s="767">
        <v>11.141900508004232</v>
      </c>
      <c r="AA1084" s="767">
        <v>11.141900508004232</v>
      </c>
      <c r="AB1084" s="767">
        <v>11.141900508004232</v>
      </c>
      <c r="AC1084" s="767">
        <v>11.141900508004232</v>
      </c>
      <c r="AD1084" s="767">
        <v>11.141900508004232</v>
      </c>
      <c r="AE1084" s="767">
        <v>11.141900508004232</v>
      </c>
      <c r="AF1084" s="767">
        <v>11.141900508004232</v>
      </c>
      <c r="AG1084" s="767">
        <v>11.141900508004232</v>
      </c>
      <c r="AH1084" s="767">
        <v>11.141900508004232</v>
      </c>
      <c r="AI1084" s="767">
        <v>11.141900508004232</v>
      </c>
      <c r="AJ1084" s="767">
        <v>11.141900508004232</v>
      </c>
      <c r="AK1084" s="767">
        <v>11.141900508004232</v>
      </c>
      <c r="AL1084" s="767">
        <v>11.141900508004232</v>
      </c>
      <c r="AM1084" s="767">
        <v>11.141900508004232</v>
      </c>
      <c r="AN1084" s="767">
        <v>11.141900508004232</v>
      </c>
      <c r="AO1084" s="767">
        <v>11.141900508004232</v>
      </c>
      <c r="AP1084" s="767">
        <v>11.141900508004232</v>
      </c>
      <c r="AQ1084" s="767">
        <v>11.141900508004232</v>
      </c>
      <c r="AR1084" s="767">
        <v>11.141900508004232</v>
      </c>
      <c r="AS1084" s="767">
        <v>11.141900508004232</v>
      </c>
      <c r="AT1084" s="2"/>
      <c r="AU1084" s="2"/>
    </row>
    <row r="1085" spans="1:47" hidden="1" outlineLevel="1">
      <c r="A1085" s="2"/>
      <c r="B1085" s="2" t="s">
        <v>85</v>
      </c>
      <c r="C1085" s="38" t="s">
        <v>732</v>
      </c>
      <c r="D1085" s="38"/>
      <c r="E1085" s="38"/>
      <c r="F1085" s="38"/>
      <c r="G1085" s="38"/>
      <c r="H1085" s="38"/>
      <c r="I1085" s="38"/>
      <c r="J1085" s="38"/>
      <c r="K1085" s="566">
        <v>49.156222037343746</v>
      </c>
      <c r="L1085" s="3">
        <v>59.986033627935917</v>
      </c>
      <c r="M1085" s="3">
        <v>64.763439934390291</v>
      </c>
      <c r="N1085" s="3">
        <v>77.946886464728365</v>
      </c>
      <c r="O1085" s="3">
        <v>90.606811266802893</v>
      </c>
      <c r="P1085" s="3">
        <v>95.770062718254138</v>
      </c>
      <c r="Q1085" s="3">
        <v>102.239088628326</v>
      </c>
      <c r="R1085" s="3">
        <v>156.6456839302412</v>
      </c>
      <c r="S1085" s="3">
        <v>182.67259383976543</v>
      </c>
      <c r="T1085" s="3">
        <v>216.43400921125593</v>
      </c>
      <c r="U1085" s="3">
        <v>220.36358458863799</v>
      </c>
      <c r="V1085" s="3">
        <v>221.8314851977849</v>
      </c>
      <c r="W1085" s="3">
        <v>232.61066943183215</v>
      </c>
      <c r="X1085" s="3">
        <v>327.06633370603453</v>
      </c>
      <c r="Y1085" s="3">
        <v>306.19040944637555</v>
      </c>
      <c r="Z1085" s="3">
        <v>321.63827984850701</v>
      </c>
      <c r="AA1085" s="3">
        <v>328.00563174154053</v>
      </c>
      <c r="AB1085" s="3">
        <v>333.68994009890571</v>
      </c>
      <c r="AC1085" s="3">
        <v>337.77378814211886</v>
      </c>
      <c r="AD1085" s="3">
        <v>341.75515495112091</v>
      </c>
      <c r="AE1085" s="3">
        <v>344.99245224986896</v>
      </c>
      <c r="AF1085" s="3">
        <v>348.28467011029147</v>
      </c>
      <c r="AG1085" s="3">
        <v>351.63280868977893</v>
      </c>
      <c r="AH1085" s="3">
        <v>355.0378871663313</v>
      </c>
      <c r="AI1085" s="3">
        <v>358.50094410914448</v>
      </c>
      <c r="AJ1085" s="3">
        <v>362.02303785651105</v>
      </c>
      <c r="AK1085" s="3">
        <v>365.60524690117916</v>
      </c>
      <c r="AL1085" s="3">
        <v>369.24867028331829</v>
      </c>
      <c r="AM1085" s="3">
        <v>372.95442799124356</v>
      </c>
      <c r="AN1085" s="3">
        <v>376.72366137005218</v>
      </c>
      <c r="AO1085" s="3">
        <v>380.55753353832921</v>
      </c>
      <c r="AP1085" s="3">
        <v>384.45722981308273</v>
      </c>
      <c r="AQ1085" s="3">
        <v>384.45722981308273</v>
      </c>
      <c r="AR1085" s="3">
        <v>384.45722981308273</v>
      </c>
      <c r="AS1085" s="3">
        <v>384.45722981308273</v>
      </c>
      <c r="AT1085" s="2"/>
      <c r="AU1085" s="2"/>
    </row>
    <row r="1086" spans="1:47" hidden="1" outlineLevel="1">
      <c r="A1086" s="2"/>
      <c r="B1086" s="2" t="s">
        <v>86</v>
      </c>
      <c r="C1086" s="38" t="s">
        <v>732</v>
      </c>
      <c r="D1086" s="38"/>
      <c r="E1086" s="38"/>
      <c r="F1086" s="38"/>
      <c r="G1086" s="38"/>
      <c r="H1086" s="38"/>
      <c r="I1086" s="38"/>
      <c r="J1086" s="38"/>
      <c r="K1086" s="6"/>
      <c r="L1086" s="6"/>
      <c r="M1086" s="566">
        <v>25</v>
      </c>
      <c r="N1086" s="566">
        <v>45</v>
      </c>
      <c r="O1086" s="3">
        <v>45</v>
      </c>
      <c r="P1086" s="3">
        <v>45</v>
      </c>
      <c r="Q1086" s="3">
        <v>45</v>
      </c>
      <c r="R1086" s="530">
        <v>30.3</v>
      </c>
      <c r="S1086" s="566">
        <v>0</v>
      </c>
      <c r="T1086" s="3">
        <v>0</v>
      </c>
      <c r="U1086" s="3">
        <v>0</v>
      </c>
      <c r="V1086" s="3">
        <v>0</v>
      </c>
      <c r="W1086" s="566">
        <v>33</v>
      </c>
      <c r="X1086" s="3">
        <v>35.31</v>
      </c>
      <c r="Y1086" s="3">
        <v>37.781700000000008</v>
      </c>
      <c r="Z1086" s="3">
        <v>40.42641900000001</v>
      </c>
      <c r="AA1086" s="3">
        <v>43.256268330000012</v>
      </c>
      <c r="AB1086" s="3">
        <v>46.284207113100017</v>
      </c>
      <c r="AC1086" s="3">
        <v>49.524101611017024</v>
      </c>
      <c r="AD1086" s="3">
        <v>52.990788723788221</v>
      </c>
      <c r="AE1086" s="3">
        <v>56.700143934453401</v>
      </c>
      <c r="AF1086" s="3">
        <v>60.669154009865139</v>
      </c>
      <c r="AG1086" s="3">
        <v>64.9159947905557</v>
      </c>
      <c r="AH1086" s="3">
        <v>69.460114425894602</v>
      </c>
      <c r="AI1086" s="3">
        <v>74.322322435707235</v>
      </c>
      <c r="AJ1086" s="3">
        <v>79.524885006206745</v>
      </c>
      <c r="AK1086" s="3">
        <v>85.091626956641221</v>
      </c>
      <c r="AL1086" s="3">
        <v>91.048040843606117</v>
      </c>
      <c r="AM1086" s="3">
        <v>97.421403702658552</v>
      </c>
      <c r="AN1086" s="3">
        <v>104.24090196184466</v>
      </c>
      <c r="AO1086" s="3">
        <v>111.53776509917378</v>
      </c>
      <c r="AP1086" s="3">
        <v>119.34540865611595</v>
      </c>
      <c r="AQ1086" s="3">
        <v>119.34540865611595</v>
      </c>
      <c r="AR1086" s="3">
        <v>119.34540865611595</v>
      </c>
      <c r="AS1086" s="3">
        <v>119.34540865611595</v>
      </c>
      <c r="AT1086" s="2"/>
      <c r="AU1086" s="2"/>
    </row>
    <row r="1087" spans="1:47" hidden="1" outlineLevel="1">
      <c r="A1087" s="2"/>
      <c r="B1087" s="2" t="s">
        <v>354</v>
      </c>
      <c r="C1087" s="38" t="s">
        <v>732</v>
      </c>
      <c r="D1087" s="38"/>
      <c r="E1087" s="38"/>
      <c r="F1087" s="38"/>
      <c r="G1087" s="38"/>
      <c r="H1087" s="38"/>
      <c r="I1087" s="38"/>
      <c r="J1087" s="38"/>
      <c r="K1087" s="6"/>
      <c r="L1087" s="6"/>
      <c r="M1087" s="3">
        <v>3.75</v>
      </c>
      <c r="N1087" s="3">
        <v>9</v>
      </c>
      <c r="O1087" s="3">
        <v>9</v>
      </c>
      <c r="P1087" s="3">
        <v>10.35</v>
      </c>
      <c r="Q1087" s="3">
        <v>10.8675</v>
      </c>
      <c r="R1087" s="3">
        <v>6.0600000000000005</v>
      </c>
      <c r="S1087" s="3">
        <v>0</v>
      </c>
      <c r="T1087" s="3">
        <v>0</v>
      </c>
      <c r="U1087" s="3">
        <v>0</v>
      </c>
      <c r="V1087" s="3">
        <v>0</v>
      </c>
      <c r="W1087" s="566">
        <v>0</v>
      </c>
      <c r="X1087" s="566">
        <v>0</v>
      </c>
      <c r="Y1087" s="566">
        <v>0</v>
      </c>
      <c r="Z1087" s="566">
        <v>0</v>
      </c>
      <c r="AA1087" s="566">
        <v>0</v>
      </c>
      <c r="AB1087" s="566">
        <v>0</v>
      </c>
      <c r="AC1087" s="566">
        <v>0</v>
      </c>
      <c r="AD1087" s="566">
        <v>0</v>
      </c>
      <c r="AE1087" s="566">
        <v>0</v>
      </c>
      <c r="AF1087" s="566">
        <v>1</v>
      </c>
      <c r="AG1087" s="566">
        <v>2</v>
      </c>
      <c r="AH1087" s="566">
        <v>3</v>
      </c>
      <c r="AI1087" s="566">
        <v>4</v>
      </c>
      <c r="AJ1087" s="566">
        <v>4</v>
      </c>
      <c r="AK1087" s="566">
        <v>4</v>
      </c>
      <c r="AL1087" s="566">
        <v>4</v>
      </c>
      <c r="AM1087" s="566">
        <v>4</v>
      </c>
      <c r="AN1087" s="566">
        <v>4</v>
      </c>
      <c r="AO1087" s="566">
        <v>4</v>
      </c>
      <c r="AP1087" s="566">
        <v>4</v>
      </c>
      <c r="AQ1087" s="566">
        <v>4</v>
      </c>
      <c r="AR1087" s="566">
        <v>4</v>
      </c>
      <c r="AS1087" s="566">
        <v>4</v>
      </c>
      <c r="AT1087" s="2"/>
      <c r="AU1087" s="2"/>
    </row>
    <row r="1088" spans="1:47" hidden="1" outlineLevel="1">
      <c r="A1088" s="2"/>
      <c r="B1088" s="2" t="s">
        <v>355</v>
      </c>
      <c r="C1088" s="38" t="s">
        <v>732</v>
      </c>
      <c r="D1088" s="38"/>
      <c r="E1088" s="38"/>
      <c r="F1088" s="38"/>
      <c r="G1088" s="38"/>
      <c r="H1088" s="38"/>
      <c r="I1088" s="38"/>
      <c r="J1088" s="38"/>
      <c r="K1088" s="6"/>
      <c r="L1088" s="6"/>
      <c r="M1088" s="3">
        <v>28.75</v>
      </c>
      <c r="N1088" s="3">
        <v>54</v>
      </c>
      <c r="O1088" s="3">
        <v>54</v>
      </c>
      <c r="P1088" s="3">
        <v>55.35</v>
      </c>
      <c r="Q1088" s="3">
        <v>55.8675</v>
      </c>
      <c r="R1088" s="3">
        <v>36.36</v>
      </c>
      <c r="S1088" s="3">
        <v>0</v>
      </c>
      <c r="T1088" s="3">
        <v>0</v>
      </c>
      <c r="U1088" s="3">
        <v>0</v>
      </c>
      <c r="V1088" s="3">
        <v>0</v>
      </c>
      <c r="W1088" s="3">
        <v>33</v>
      </c>
      <c r="X1088" s="3">
        <v>35.31</v>
      </c>
      <c r="Y1088" s="3">
        <v>37.781700000000008</v>
      </c>
      <c r="Z1088" s="3">
        <v>40.42641900000001</v>
      </c>
      <c r="AA1088" s="3">
        <v>43.256268330000012</v>
      </c>
      <c r="AB1088" s="3">
        <v>46.284207113100017</v>
      </c>
      <c r="AC1088" s="3">
        <v>49.524101611017024</v>
      </c>
      <c r="AD1088" s="3">
        <v>52.990788723788221</v>
      </c>
      <c r="AE1088" s="3">
        <v>56.700143934453401</v>
      </c>
      <c r="AF1088" s="3">
        <v>61.669154009865139</v>
      </c>
      <c r="AG1088" s="3">
        <v>66.9159947905557</v>
      </c>
      <c r="AH1088" s="3">
        <v>72.460114425894602</v>
      </c>
      <c r="AI1088" s="3">
        <v>78.322322435707235</v>
      </c>
      <c r="AJ1088" s="3">
        <v>83.524885006206745</v>
      </c>
      <c r="AK1088" s="3">
        <v>89.091626956641221</v>
      </c>
      <c r="AL1088" s="3">
        <v>95.048040843606117</v>
      </c>
      <c r="AM1088" s="3">
        <v>101.42140370265855</v>
      </c>
      <c r="AN1088" s="3">
        <v>108.24090196184466</v>
      </c>
      <c r="AO1088" s="3">
        <v>115.53776509917378</v>
      </c>
      <c r="AP1088" s="3">
        <v>123.34540865611595</v>
      </c>
      <c r="AQ1088" s="3">
        <v>123.34540865611595</v>
      </c>
      <c r="AR1088" s="3">
        <v>123.34540865611595</v>
      </c>
      <c r="AS1088" s="3">
        <v>123.34540865611595</v>
      </c>
      <c r="AT1088" s="2"/>
      <c r="AU1088" s="2"/>
    </row>
    <row r="1089" spans="1:47" hidden="1" outlineLevel="1">
      <c r="A1089" s="2"/>
      <c r="B1089" s="6" t="s">
        <v>356</v>
      </c>
      <c r="C1089" s="37" t="s">
        <v>732</v>
      </c>
      <c r="D1089" s="37"/>
      <c r="E1089" s="37"/>
      <c r="F1089" s="37"/>
      <c r="G1089" s="37"/>
      <c r="H1089" s="37"/>
      <c r="I1089" s="37"/>
      <c r="J1089" s="37"/>
      <c r="K1089" s="768">
        <v>49.156222037343746</v>
      </c>
      <c r="L1089" s="4">
        <v>59.986033627935917</v>
      </c>
      <c r="M1089" s="4">
        <v>93.513439934390291</v>
      </c>
      <c r="N1089" s="4">
        <v>131.94688646472838</v>
      </c>
      <c r="O1089" s="4">
        <v>144.60681126680288</v>
      </c>
      <c r="P1089" s="4">
        <v>151.12006271825413</v>
      </c>
      <c r="Q1089" s="4">
        <v>158.10658862832599</v>
      </c>
      <c r="R1089" s="4">
        <v>193.00568393024122</v>
      </c>
      <c r="S1089" s="3">
        <v>182.67259383976543</v>
      </c>
      <c r="T1089" s="4">
        <v>216.43400921125593</v>
      </c>
      <c r="U1089" s="4">
        <v>220.36358458863799</v>
      </c>
      <c r="V1089" s="4">
        <v>221.8314851977849</v>
      </c>
      <c r="W1089" s="4">
        <v>265.61066943183215</v>
      </c>
      <c r="X1089" s="4">
        <v>362.37633370603453</v>
      </c>
      <c r="Y1089" s="4">
        <v>343.97210944637555</v>
      </c>
      <c r="Z1089" s="4">
        <v>362.06469884850702</v>
      </c>
      <c r="AA1089" s="4">
        <v>371.26190007154054</v>
      </c>
      <c r="AB1089" s="4">
        <v>379.97414721200573</v>
      </c>
      <c r="AC1089" s="4">
        <v>387.29788975313591</v>
      </c>
      <c r="AD1089" s="4">
        <v>394.74594367490914</v>
      </c>
      <c r="AE1089" s="4">
        <v>401.69259618432238</v>
      </c>
      <c r="AF1089" s="4">
        <v>409.95382412015658</v>
      </c>
      <c r="AG1089" s="4">
        <v>418.54880348033464</v>
      </c>
      <c r="AH1089" s="4">
        <v>427.49800159222593</v>
      </c>
      <c r="AI1089" s="4">
        <v>436.82326654485172</v>
      </c>
      <c r="AJ1089" s="4">
        <v>445.54792286271777</v>
      </c>
      <c r="AK1089" s="4">
        <v>454.69687385782038</v>
      </c>
      <c r="AL1089" s="4">
        <v>464.29671112692438</v>
      </c>
      <c r="AM1089" s="4">
        <v>474.37583169390211</v>
      </c>
      <c r="AN1089" s="4">
        <v>484.96456333189684</v>
      </c>
      <c r="AO1089" s="4">
        <v>496.09529863750299</v>
      </c>
      <c r="AP1089" s="4">
        <v>507.80263846919866</v>
      </c>
      <c r="AQ1089" s="4">
        <v>507.80263846919866</v>
      </c>
      <c r="AR1089" s="4">
        <v>507.80263846919866</v>
      </c>
      <c r="AS1089" s="4">
        <v>507.80263846919866</v>
      </c>
      <c r="AT1089" s="2"/>
      <c r="AU1089" s="2"/>
    </row>
    <row r="1090" spans="1:47" hidden="1" outlineLevel="1">
      <c r="A1090" s="2"/>
      <c r="B1090" s="2" t="s">
        <v>357</v>
      </c>
      <c r="C1090" s="37"/>
      <c r="D1090" s="37"/>
      <c r="E1090" s="37"/>
      <c r="F1090" s="37"/>
      <c r="G1090" s="37"/>
      <c r="H1090" s="37"/>
      <c r="I1090" s="37"/>
      <c r="J1090" s="37"/>
      <c r="K1090" s="4"/>
      <c r="L1090" s="4"/>
      <c r="M1090" s="4"/>
      <c r="N1090" s="4"/>
      <c r="O1090" s="4"/>
      <c r="P1090" s="4"/>
      <c r="Q1090" s="3"/>
      <c r="R1090" s="4"/>
      <c r="S1090" s="3"/>
      <c r="T1090" s="4"/>
      <c r="U1090" s="4"/>
      <c r="V1090" s="4"/>
      <c r="W1090" s="4"/>
      <c r="X1090" s="4"/>
      <c r="Y1090" s="4"/>
      <c r="Z1090" s="4"/>
      <c r="AA1090" s="4"/>
      <c r="AB1090" s="4"/>
      <c r="AC1090" s="4"/>
      <c r="AD1090" s="4"/>
      <c r="AE1090" s="4"/>
      <c r="AF1090" s="4"/>
      <c r="AG1090" s="4"/>
      <c r="AH1090" s="4"/>
      <c r="AI1090" s="4"/>
      <c r="AJ1090" s="4"/>
      <c r="AK1090" s="4"/>
      <c r="AL1090" s="4"/>
      <c r="AM1090" s="4"/>
      <c r="AN1090" s="4"/>
      <c r="AO1090" s="4"/>
      <c r="AP1090" s="4"/>
      <c r="AQ1090" s="4"/>
      <c r="AR1090" s="4"/>
      <c r="AS1090" s="4"/>
      <c r="AT1090" s="2"/>
      <c r="AU1090" s="2"/>
    </row>
    <row r="1091" spans="1:47" hidden="1" outlineLevel="1">
      <c r="A1091" s="2"/>
      <c r="B1091" s="2" t="s">
        <v>358</v>
      </c>
      <c r="C1091" s="37"/>
      <c r="D1091" s="37"/>
      <c r="E1091" s="37"/>
      <c r="F1091" s="37"/>
      <c r="G1091" s="37"/>
      <c r="H1091" s="37"/>
      <c r="I1091" s="37"/>
      <c r="J1091" s="37"/>
      <c r="K1091" s="4"/>
      <c r="L1091" s="4"/>
      <c r="M1091" s="4"/>
      <c r="N1091" s="4"/>
      <c r="O1091" s="4"/>
      <c r="P1091" s="4"/>
      <c r="Q1091" s="3"/>
      <c r="R1091" s="4"/>
      <c r="S1091" s="3"/>
      <c r="T1091" s="4"/>
      <c r="U1091" s="4"/>
      <c r="V1091" s="4"/>
      <c r="W1091" s="4"/>
      <c r="X1091" s="4"/>
      <c r="Y1091" s="4"/>
      <c r="Z1091" s="4"/>
      <c r="AA1091" s="4"/>
      <c r="AB1091" s="4"/>
      <c r="AC1091" s="4"/>
      <c r="AD1091" s="4"/>
      <c r="AE1091" s="4"/>
      <c r="AF1091" s="4"/>
      <c r="AG1091" s="4"/>
      <c r="AH1091" s="4"/>
      <c r="AI1091" s="4"/>
      <c r="AJ1091" s="4"/>
      <c r="AK1091" s="4"/>
      <c r="AL1091" s="4"/>
      <c r="AM1091" s="4"/>
      <c r="AN1091" s="4"/>
      <c r="AO1091" s="4"/>
      <c r="AP1091" s="4"/>
      <c r="AQ1091" s="4"/>
      <c r="AR1091" s="4"/>
      <c r="AS1091" s="4"/>
      <c r="AT1091" s="2"/>
      <c r="AU1091" s="2"/>
    </row>
    <row r="1092" spans="1:47" hidden="1" outlineLevel="1">
      <c r="A1092" s="2"/>
      <c r="B1092" s="55" t="s">
        <v>359</v>
      </c>
      <c r="C1092" s="18" t="s">
        <v>360</v>
      </c>
      <c r="D1092" s="18"/>
      <c r="E1092" s="18"/>
      <c r="F1092" s="18"/>
      <c r="G1092" s="18"/>
      <c r="H1092" s="18"/>
      <c r="I1092" s="18"/>
      <c r="J1092" s="18"/>
      <c r="K1092" s="791">
        <v>2.15</v>
      </c>
      <c r="L1092" s="792">
        <v>2.15</v>
      </c>
      <c r="M1092" s="792">
        <v>2.15</v>
      </c>
      <c r="N1092" s="792">
        <v>2.15</v>
      </c>
      <c r="O1092" s="792">
        <v>2.15</v>
      </c>
      <c r="P1092" s="792">
        <v>2.15</v>
      </c>
      <c r="Q1092" s="792">
        <v>2.15</v>
      </c>
      <c r="R1092" s="792">
        <v>2.15</v>
      </c>
      <c r="S1092" s="792">
        <v>2.15</v>
      </c>
      <c r="T1092" s="792">
        <v>2.15</v>
      </c>
      <c r="U1092" s="792">
        <v>2.15</v>
      </c>
      <c r="V1092" s="792">
        <v>2.15</v>
      </c>
      <c r="W1092" s="792">
        <v>2.15</v>
      </c>
      <c r="X1092" s="792">
        <v>2.15</v>
      </c>
      <c r="Y1092" s="792">
        <v>2.15</v>
      </c>
      <c r="Z1092" s="792">
        <v>2.15</v>
      </c>
      <c r="AA1092" s="792">
        <v>2.15</v>
      </c>
      <c r="AB1092" s="792">
        <v>2.15</v>
      </c>
      <c r="AC1092" s="792">
        <v>2.15</v>
      </c>
      <c r="AD1092" s="792">
        <v>2.15</v>
      </c>
      <c r="AE1092" s="792">
        <v>2.15</v>
      </c>
      <c r="AF1092" s="792">
        <v>2.15</v>
      </c>
      <c r="AG1092" s="792">
        <v>2.15</v>
      </c>
      <c r="AH1092" s="792">
        <v>2.15</v>
      </c>
      <c r="AI1092" s="792">
        <v>2.15</v>
      </c>
      <c r="AJ1092" s="792">
        <v>2.15</v>
      </c>
      <c r="AK1092" s="792">
        <v>2.15</v>
      </c>
      <c r="AL1092" s="792">
        <v>2.15</v>
      </c>
      <c r="AM1092" s="792">
        <v>2.15</v>
      </c>
      <c r="AN1092" s="792">
        <v>2.15</v>
      </c>
      <c r="AO1092" s="792">
        <v>2.15</v>
      </c>
      <c r="AP1092" s="792">
        <v>2.15</v>
      </c>
      <c r="AQ1092" s="792">
        <v>2.15</v>
      </c>
      <c r="AR1092" s="792">
        <v>2.15</v>
      </c>
      <c r="AS1092" s="792">
        <v>2.15</v>
      </c>
      <c r="AT1092" s="2"/>
      <c r="AU1092" s="2"/>
    </row>
    <row r="1093" spans="1:47" hidden="1" outlineLevel="1">
      <c r="A1093" s="2"/>
      <c r="B1093" s="55" t="s">
        <v>387</v>
      </c>
      <c r="C1093" s="18" t="s">
        <v>388</v>
      </c>
      <c r="D1093" s="18"/>
      <c r="E1093" s="18"/>
      <c r="F1093" s="18"/>
      <c r="G1093" s="18"/>
      <c r="H1093" s="18"/>
      <c r="I1093" s="18"/>
      <c r="J1093" s="18"/>
      <c r="K1093" s="530">
        <v>0.64</v>
      </c>
      <c r="L1093" s="2">
        <v>0.64</v>
      </c>
      <c r="M1093" s="2">
        <v>0.56999999999999995</v>
      </c>
      <c r="N1093" s="2">
        <v>0.62</v>
      </c>
      <c r="O1093" s="2">
        <v>0.68</v>
      </c>
      <c r="P1093" s="530">
        <v>0.78</v>
      </c>
      <c r="Q1093" s="92">
        <v>0.75</v>
      </c>
      <c r="R1093" s="92">
        <v>0.8</v>
      </c>
      <c r="S1093" s="92">
        <v>0.8</v>
      </c>
      <c r="T1093" s="92">
        <v>0.88500000000000001</v>
      </c>
      <c r="U1093" s="92">
        <v>0.88500000000000001</v>
      </c>
      <c r="V1093" s="92">
        <v>0.95</v>
      </c>
      <c r="W1093" s="92">
        <v>0.95</v>
      </c>
      <c r="X1093" s="92">
        <v>0.9</v>
      </c>
      <c r="Y1093" s="92">
        <v>0.9</v>
      </c>
      <c r="Z1093" s="92">
        <v>0.9</v>
      </c>
      <c r="AA1093" s="92">
        <v>0.9</v>
      </c>
      <c r="AB1093" s="92">
        <v>0.9</v>
      </c>
      <c r="AC1093" s="92">
        <v>0.9</v>
      </c>
      <c r="AD1093" s="92">
        <v>0.9</v>
      </c>
      <c r="AE1093" s="92">
        <v>0.9</v>
      </c>
      <c r="AF1093" s="92">
        <v>0.9</v>
      </c>
      <c r="AG1093" s="92">
        <v>0.9</v>
      </c>
      <c r="AH1093" s="92">
        <v>0.9</v>
      </c>
      <c r="AI1093" s="92">
        <v>0.9</v>
      </c>
      <c r="AJ1093" s="92">
        <v>0.9</v>
      </c>
      <c r="AK1093" s="92">
        <v>0.9</v>
      </c>
      <c r="AL1093" s="92">
        <v>0.9</v>
      </c>
      <c r="AM1093" s="92">
        <v>0.9</v>
      </c>
      <c r="AN1093" s="92">
        <v>0.9</v>
      </c>
      <c r="AO1093" s="92">
        <v>0.9</v>
      </c>
      <c r="AP1093" s="92">
        <v>0.9</v>
      </c>
      <c r="AQ1093" s="92">
        <v>0.9</v>
      </c>
      <c r="AR1093" s="92">
        <v>0.9</v>
      </c>
      <c r="AS1093" s="92">
        <v>0.9</v>
      </c>
      <c r="AT1093" s="2"/>
      <c r="AU1093" s="2"/>
    </row>
    <row r="1094" spans="1:47" hidden="1" outlineLevel="1">
      <c r="A1094" s="2"/>
      <c r="B1094" s="55" t="s">
        <v>359</v>
      </c>
      <c r="C1094" s="18" t="s">
        <v>390</v>
      </c>
      <c r="D1094" s="18"/>
      <c r="E1094" s="18"/>
      <c r="F1094" s="18"/>
      <c r="G1094" s="18"/>
      <c r="H1094" s="18"/>
      <c r="I1094" s="18"/>
      <c r="J1094" s="18"/>
      <c r="K1094" s="793">
        <v>3.359375</v>
      </c>
      <c r="L1094" s="794">
        <v>3.359375</v>
      </c>
      <c r="M1094" s="794">
        <v>3.7719298245614037</v>
      </c>
      <c r="N1094" s="794">
        <v>3.467741935483871</v>
      </c>
      <c r="O1094" s="794">
        <v>3.1617647058823524</v>
      </c>
      <c r="P1094" s="794">
        <v>2.7564102564102564</v>
      </c>
      <c r="Q1094" s="794">
        <v>2.8666666666666667</v>
      </c>
      <c r="R1094" s="794">
        <v>2.6874999999999996</v>
      </c>
      <c r="S1094" s="794">
        <v>2.6874999999999996</v>
      </c>
      <c r="T1094" s="794">
        <v>2.4293785310734464</v>
      </c>
      <c r="U1094" s="794">
        <v>2.4293785310734464</v>
      </c>
      <c r="V1094" s="794">
        <v>2.263157894736842</v>
      </c>
      <c r="W1094" s="794">
        <v>2.263157894736842</v>
      </c>
      <c r="X1094" s="794">
        <v>2.3888888888888888</v>
      </c>
      <c r="Y1094" s="794">
        <v>2.3888888888888888</v>
      </c>
      <c r="Z1094" s="794">
        <v>2.3888888888888888</v>
      </c>
      <c r="AA1094" s="794">
        <v>2.3888888888888888</v>
      </c>
      <c r="AB1094" s="794">
        <v>2.3888888888888888</v>
      </c>
      <c r="AC1094" s="794">
        <v>2.3888888888888888</v>
      </c>
      <c r="AD1094" s="794">
        <v>2.3888888888888888</v>
      </c>
      <c r="AE1094" s="794">
        <v>2.3888888888888888</v>
      </c>
      <c r="AF1094" s="794">
        <v>2.3888888888888888</v>
      </c>
      <c r="AG1094" s="794">
        <v>2.3888888888888888</v>
      </c>
      <c r="AH1094" s="794">
        <v>2.3888888888888888</v>
      </c>
      <c r="AI1094" s="794">
        <v>2.3888888888888888</v>
      </c>
      <c r="AJ1094" s="794">
        <v>2.3888888888888888</v>
      </c>
      <c r="AK1094" s="794">
        <v>2.3888888888888888</v>
      </c>
      <c r="AL1094" s="794">
        <v>2.3888888888888888</v>
      </c>
      <c r="AM1094" s="794">
        <v>2.3888888888888888</v>
      </c>
      <c r="AN1094" s="794">
        <v>2.3888888888888888</v>
      </c>
      <c r="AO1094" s="794">
        <v>2.3888888888888888</v>
      </c>
      <c r="AP1094" s="794">
        <v>2.3888888888888888</v>
      </c>
      <c r="AQ1094" s="794">
        <v>2.3888888888888888</v>
      </c>
      <c r="AR1094" s="794">
        <v>2.3888888888888888</v>
      </c>
      <c r="AS1094" s="794">
        <v>2.3888888888888888</v>
      </c>
      <c r="AT1094" s="2"/>
      <c r="AU1094" s="2"/>
    </row>
    <row r="1095" spans="1:47" hidden="1" outlineLevel="1">
      <c r="A1095" s="2"/>
      <c r="B1095" s="55" t="s">
        <v>361</v>
      </c>
      <c r="C1095" s="18" t="s">
        <v>390</v>
      </c>
      <c r="D1095" s="18"/>
      <c r="E1095" s="18"/>
      <c r="F1095" s="18"/>
      <c r="G1095" s="18"/>
      <c r="H1095" s="18"/>
      <c r="I1095" s="18"/>
      <c r="J1095" s="18"/>
      <c r="K1095" s="793">
        <v>0.28000000000000003</v>
      </c>
      <c r="L1095" s="794">
        <v>0.28000000000000003</v>
      </c>
      <c r="M1095" s="794">
        <v>0.28000000000000003</v>
      </c>
      <c r="N1095" s="794">
        <v>0.28000000000000003</v>
      </c>
      <c r="O1095" s="794">
        <v>0.28000000000000003</v>
      </c>
      <c r="P1095" s="794">
        <v>0.28000000000000003</v>
      </c>
      <c r="Q1095" s="794">
        <v>0.28000000000000003</v>
      </c>
      <c r="R1095" s="794">
        <v>0.28000000000000003</v>
      </c>
      <c r="S1095" s="794">
        <v>0.28000000000000003</v>
      </c>
      <c r="T1095" s="794">
        <v>0.28000000000000003</v>
      </c>
      <c r="U1095" s="794">
        <v>0.28000000000000003</v>
      </c>
      <c r="V1095" s="794">
        <v>0.28000000000000003</v>
      </c>
      <c r="W1095" s="794">
        <v>0.28000000000000003</v>
      </c>
      <c r="X1095" s="794">
        <v>0.28000000000000003</v>
      </c>
      <c r="Y1095" s="794">
        <v>0.28000000000000003</v>
      </c>
      <c r="Z1095" s="794">
        <v>0.28000000000000003</v>
      </c>
      <c r="AA1095" s="794">
        <v>0.28000000000000003</v>
      </c>
      <c r="AB1095" s="794">
        <v>0.28000000000000003</v>
      </c>
      <c r="AC1095" s="794">
        <v>0.28000000000000003</v>
      </c>
      <c r="AD1095" s="794">
        <v>0.28000000000000003</v>
      </c>
      <c r="AE1095" s="794">
        <v>0.28000000000000003</v>
      </c>
      <c r="AF1095" s="794">
        <v>0.28000000000000003</v>
      </c>
      <c r="AG1095" s="794">
        <v>0.28000000000000003</v>
      </c>
      <c r="AH1095" s="794">
        <v>0.28000000000000003</v>
      </c>
      <c r="AI1095" s="794">
        <v>0.28000000000000003</v>
      </c>
      <c r="AJ1095" s="794">
        <v>0.28000000000000003</v>
      </c>
      <c r="AK1095" s="794">
        <v>0.28000000000000003</v>
      </c>
      <c r="AL1095" s="794">
        <v>0.28000000000000003</v>
      </c>
      <c r="AM1095" s="794">
        <v>0.28000000000000003</v>
      </c>
      <c r="AN1095" s="794">
        <v>0.28000000000000003</v>
      </c>
      <c r="AO1095" s="794">
        <v>0.28000000000000003</v>
      </c>
      <c r="AP1095" s="794">
        <v>0.28000000000000003</v>
      </c>
      <c r="AQ1095" s="794">
        <v>0.28000000000000003</v>
      </c>
      <c r="AR1095" s="794">
        <v>0.28000000000000003</v>
      </c>
      <c r="AS1095" s="794">
        <v>0.28000000000000003</v>
      </c>
      <c r="AT1095" s="2"/>
      <c r="AU1095" s="2"/>
    </row>
    <row r="1096" spans="1:47" hidden="1" outlineLevel="1">
      <c r="A1096" s="2"/>
      <c r="B1096" s="2" t="s">
        <v>384</v>
      </c>
      <c r="C1096" s="38" t="s">
        <v>846</v>
      </c>
      <c r="D1096" s="38"/>
      <c r="E1096" s="38"/>
      <c r="F1096" s="38"/>
      <c r="G1096" s="38"/>
      <c r="H1096" s="38"/>
      <c r="I1096" s="38"/>
      <c r="J1096" s="38"/>
      <c r="K1096" s="570">
        <v>565.01404640624992</v>
      </c>
      <c r="L1096" s="19">
        <v>689.49463940156227</v>
      </c>
      <c r="M1096" s="19">
        <v>770.99333255226531</v>
      </c>
      <c r="N1096" s="19">
        <v>816.28362458009963</v>
      </c>
      <c r="O1096" s="19">
        <v>869.22659508098695</v>
      </c>
      <c r="P1096" s="19">
        <v>963.63029832118036</v>
      </c>
      <c r="Q1096" s="19">
        <v>1076.6938262485091</v>
      </c>
      <c r="R1096" s="19">
        <v>1210.8225653772174</v>
      </c>
      <c r="S1096" s="19">
        <v>1329.3209791180291</v>
      </c>
      <c r="T1096" s="19">
        <v>1412.8178089926023</v>
      </c>
      <c r="U1096" s="19">
        <v>1499.9714236541938</v>
      </c>
      <c r="V1096" s="19">
        <v>1560.8283856746266</v>
      </c>
      <c r="W1096" s="19">
        <v>1597.9455135293656</v>
      </c>
      <c r="X1096" s="19">
        <v>2396.5606742883951</v>
      </c>
      <c r="Y1096" s="19">
        <v>2392.1509897091637</v>
      </c>
      <c r="Z1096" s="19">
        <v>2405.6210130507297</v>
      </c>
      <c r="AA1096" s="19">
        <v>2453.2441862581736</v>
      </c>
      <c r="AB1096" s="19">
        <v>2495.7586893066859</v>
      </c>
      <c r="AC1096" s="19">
        <v>2526.3029101982011</v>
      </c>
      <c r="AD1096" s="19">
        <v>2556.0806457989174</v>
      </c>
      <c r="AE1096" s="19">
        <v>2580.2932812197655</v>
      </c>
      <c r="AF1096" s="19">
        <v>2604.9166826019132</v>
      </c>
      <c r="AG1096" s="19">
        <v>2629.9583303971149</v>
      </c>
      <c r="AH1096" s="19">
        <v>2655.4258473174864</v>
      </c>
      <c r="AI1096" s="19">
        <v>2681.3270011072236</v>
      </c>
      <c r="AJ1096" s="19">
        <v>2707.6697073690234</v>
      </c>
      <c r="AK1096" s="19">
        <v>2734.4620324462894</v>
      </c>
      <c r="AL1096" s="19">
        <v>2761.712196362234</v>
      </c>
      <c r="AM1096" s="19">
        <v>2789.4285758170008</v>
      </c>
      <c r="AN1096" s="19">
        <v>2817.6197072439722</v>
      </c>
      <c r="AO1096" s="19">
        <v>2846.2942899264235</v>
      </c>
      <c r="AP1096" s="19">
        <v>2875.4611891757336</v>
      </c>
      <c r="AQ1096" s="19">
        <v>2875.4611891757336</v>
      </c>
      <c r="AR1096" s="19">
        <v>2875.4611891757336</v>
      </c>
      <c r="AS1096" s="19">
        <v>2875.4611891757336</v>
      </c>
      <c r="AT1096" s="2"/>
      <c r="AU1096" s="2"/>
    </row>
    <row r="1097" spans="1:47" hidden="1" outlineLevel="1">
      <c r="A1097" s="2"/>
      <c r="B1097" s="2" t="s">
        <v>82</v>
      </c>
      <c r="C1097" s="38" t="s">
        <v>846</v>
      </c>
      <c r="D1097" s="38"/>
      <c r="E1097" s="38"/>
      <c r="F1097" s="38"/>
      <c r="G1097" s="38"/>
      <c r="H1097" s="38"/>
      <c r="I1097" s="38"/>
      <c r="J1097" s="38"/>
      <c r="K1097" s="19"/>
      <c r="L1097" s="19"/>
      <c r="M1097" s="19"/>
      <c r="N1097" s="19">
        <v>111.6555</v>
      </c>
      <c r="O1097" s="19">
        <v>209.42591999999999</v>
      </c>
      <c r="P1097" s="19">
        <v>176.48949594374994</v>
      </c>
      <c r="Q1097" s="19">
        <v>140.43818123156245</v>
      </c>
      <c r="R1097" s="19">
        <v>150.81343918464648</v>
      </c>
      <c r="S1097" s="19">
        <v>176.36730894248592</v>
      </c>
      <c r="T1097" s="19">
        <v>172.9319667605894</v>
      </c>
      <c r="U1097" s="19">
        <v>130.87771277349776</v>
      </c>
      <c r="V1097" s="19">
        <v>80.884271807406947</v>
      </c>
      <c r="W1097" s="19">
        <v>123.54086578745671</v>
      </c>
      <c r="X1097" s="19">
        <v>0</v>
      </c>
      <c r="Y1097" s="19">
        <v>0</v>
      </c>
      <c r="Z1097" s="19">
        <v>0</v>
      </c>
      <c r="AA1097" s="19">
        <v>0</v>
      </c>
      <c r="AB1097" s="19">
        <v>0</v>
      </c>
      <c r="AC1097" s="19">
        <v>0</v>
      </c>
      <c r="AD1097" s="19">
        <v>0</v>
      </c>
      <c r="AE1097" s="19">
        <v>0</v>
      </c>
      <c r="AF1097" s="19">
        <v>0</v>
      </c>
      <c r="AG1097" s="19">
        <v>0</v>
      </c>
      <c r="AH1097" s="19">
        <v>0</v>
      </c>
      <c r="AI1097" s="19">
        <v>0</v>
      </c>
      <c r="AJ1097" s="19">
        <v>0</v>
      </c>
      <c r="AK1097" s="19">
        <v>0</v>
      </c>
      <c r="AL1097" s="19">
        <v>0</v>
      </c>
      <c r="AM1097" s="19">
        <v>0</v>
      </c>
      <c r="AN1097" s="19">
        <v>0</v>
      </c>
      <c r="AO1097" s="19">
        <v>0</v>
      </c>
      <c r="AP1097" s="19">
        <v>0</v>
      </c>
      <c r="AQ1097" s="19">
        <v>0</v>
      </c>
      <c r="AR1097" s="19">
        <v>0</v>
      </c>
      <c r="AS1097" s="19">
        <v>0</v>
      </c>
      <c r="AT1097" s="2"/>
      <c r="AU1097" s="2"/>
    </row>
    <row r="1098" spans="1:47" hidden="1" outlineLevel="1">
      <c r="A1098" s="2"/>
      <c r="B1098" s="2" t="s">
        <v>83</v>
      </c>
      <c r="C1098" s="38" t="s">
        <v>846</v>
      </c>
      <c r="D1098" s="38"/>
      <c r="E1098" s="38"/>
      <c r="F1098" s="38"/>
      <c r="G1098" s="38"/>
      <c r="H1098" s="38"/>
      <c r="I1098" s="38"/>
      <c r="J1098" s="38"/>
      <c r="K1098" s="570">
        <v>565.01404640624992</v>
      </c>
      <c r="L1098" s="19">
        <v>689.49463940156227</v>
      </c>
      <c r="M1098" s="19">
        <v>770.99333255226531</v>
      </c>
      <c r="N1098" s="19">
        <v>927.93912458009959</v>
      </c>
      <c r="O1098" s="19">
        <v>1078.6525150809869</v>
      </c>
      <c r="P1098" s="19">
        <v>1140.1197942649303</v>
      </c>
      <c r="Q1098" s="19">
        <v>1217.1320074800715</v>
      </c>
      <c r="R1098" s="19">
        <v>1361.636004561864</v>
      </c>
      <c r="S1098" s="19">
        <v>1505.6882880605149</v>
      </c>
      <c r="T1098" s="19">
        <v>1585.7497757531917</v>
      </c>
      <c r="U1098" s="19">
        <v>1630.8491364276915</v>
      </c>
      <c r="V1098" s="19">
        <v>1641.7126574820336</v>
      </c>
      <c r="W1098" s="19">
        <v>1721.4863793168224</v>
      </c>
      <c r="X1098" s="19">
        <v>2396.5606742883951</v>
      </c>
      <c r="Y1098" s="19">
        <v>2392.1509897091637</v>
      </c>
      <c r="Z1098" s="19">
        <v>2405.6210130507297</v>
      </c>
      <c r="AA1098" s="19">
        <v>2453.2441862581736</v>
      </c>
      <c r="AB1098" s="19">
        <v>2495.7586893066859</v>
      </c>
      <c r="AC1098" s="19">
        <v>2526.3029101982011</v>
      </c>
      <c r="AD1098" s="19">
        <v>2556.0806457989174</v>
      </c>
      <c r="AE1098" s="19">
        <v>2580.2932812197655</v>
      </c>
      <c r="AF1098" s="19">
        <v>2604.9166826019132</v>
      </c>
      <c r="AG1098" s="19">
        <v>2629.9583303971149</v>
      </c>
      <c r="AH1098" s="19">
        <v>2655.4258473174864</v>
      </c>
      <c r="AI1098" s="19">
        <v>2681.3270011072236</v>
      </c>
      <c r="AJ1098" s="19">
        <v>2707.6697073690234</v>
      </c>
      <c r="AK1098" s="19">
        <v>2734.4620324462894</v>
      </c>
      <c r="AL1098" s="19">
        <v>2761.712196362234</v>
      </c>
      <c r="AM1098" s="19">
        <v>2789.4285758170008</v>
      </c>
      <c r="AN1098" s="19">
        <v>2817.6197072439722</v>
      </c>
      <c r="AO1098" s="19">
        <v>2846.2942899264235</v>
      </c>
      <c r="AP1098" s="19">
        <v>2875.4611891757336</v>
      </c>
      <c r="AQ1098" s="19">
        <v>2875.4611891757336</v>
      </c>
      <c r="AR1098" s="19">
        <v>2875.4611891757336</v>
      </c>
      <c r="AS1098" s="19">
        <v>2875.4611891757336</v>
      </c>
      <c r="AT1098" s="2"/>
      <c r="AU1098" s="2"/>
    </row>
    <row r="1099" spans="1:47" hidden="1" outlineLevel="1">
      <c r="A1099" s="2"/>
      <c r="B1099" s="2" t="s">
        <v>699</v>
      </c>
      <c r="C1099" s="38" t="s">
        <v>732</v>
      </c>
      <c r="D1099" s="38"/>
      <c r="E1099" s="38"/>
      <c r="F1099" s="38"/>
      <c r="G1099" s="38"/>
      <c r="H1099" s="38"/>
      <c r="I1099" s="38"/>
      <c r="J1099" s="38"/>
      <c r="K1099" s="566">
        <v>24.67557594167695</v>
      </c>
      <c r="L1099" s="3">
        <v>30.111954639264727</v>
      </c>
      <c r="M1099" s="3">
        <v>37.488130544478146</v>
      </c>
      <c r="N1099" s="3">
        <v>41.732116449180381</v>
      </c>
      <c r="O1099" s="3">
        <v>44.549617875803669</v>
      </c>
      <c r="P1099" s="3">
        <v>41.542457242108632</v>
      </c>
      <c r="Q1099" s="3">
        <v>45.958904602447497</v>
      </c>
      <c r="R1099" s="3">
        <v>48.487858122447967</v>
      </c>
      <c r="S1099" s="3">
        <v>53.617559937834919</v>
      </c>
      <c r="T1099" s="3">
        <v>51.55675677696275</v>
      </c>
      <c r="U1099" s="3">
        <v>53.023051651882284</v>
      </c>
      <c r="V1099" s="3">
        <v>50.101614069178019</v>
      </c>
      <c r="W1099" s="3">
        <v>52.536140114898217</v>
      </c>
      <c r="X1099" s="3">
        <v>76.753849861876333</v>
      </c>
      <c r="Y1099" s="3">
        <v>76.612622363752152</v>
      </c>
      <c r="Z1099" s="3">
        <v>77.044022311304701</v>
      </c>
      <c r="AA1099" s="3">
        <v>78.569233805228436</v>
      </c>
      <c r="AB1099" s="3">
        <v>79.930831622862129</v>
      </c>
      <c r="AC1099" s="3">
        <v>80.909061203947715</v>
      </c>
      <c r="AD1099" s="3">
        <v>81.86274281611999</v>
      </c>
      <c r="AE1099" s="3">
        <v>82.638192819865012</v>
      </c>
      <c r="AF1099" s="3">
        <v>83.426798288130598</v>
      </c>
      <c r="AG1099" s="3">
        <v>84.228798794851599</v>
      </c>
      <c r="AH1099" s="3">
        <v>85.044438470088025</v>
      </c>
      <c r="AI1099" s="3">
        <v>85.873966088794006</v>
      </c>
      <c r="AJ1099" s="3">
        <v>86.717635161338578</v>
      </c>
      <c r="AK1099" s="3">
        <v>87.575704025813167</v>
      </c>
      <c r="AL1099" s="3">
        <v>88.44843594216114</v>
      </c>
      <c r="AM1099" s="3">
        <v>89.336099188165818</v>
      </c>
      <c r="AN1099" s="3">
        <v>90.238967157333605</v>
      </c>
      <c r="AO1099" s="3">
        <v>91.15731845871025</v>
      </c>
      <c r="AP1099" s="3">
        <v>92.091437018668145</v>
      </c>
      <c r="AQ1099" s="3">
        <v>92.091437018668145</v>
      </c>
      <c r="AR1099" s="3">
        <v>92.091437018668145</v>
      </c>
      <c r="AS1099" s="3">
        <v>92.091437018668145</v>
      </c>
      <c r="AT1099" s="2"/>
      <c r="AU1099" s="2"/>
    </row>
    <row r="1100" spans="1:47" hidden="1" outlineLevel="1">
      <c r="A1100" s="2"/>
      <c r="B1100" s="2" t="s">
        <v>925</v>
      </c>
      <c r="C1100" s="37"/>
      <c r="D1100" s="37"/>
      <c r="E1100" s="37"/>
      <c r="F1100" s="37"/>
      <c r="G1100" s="37"/>
      <c r="H1100" s="37"/>
      <c r="I1100" s="37"/>
      <c r="J1100" s="37"/>
      <c r="K1100" s="4"/>
      <c r="L1100" s="4"/>
      <c r="M1100" s="4"/>
      <c r="N1100" s="4"/>
      <c r="O1100" s="4"/>
      <c r="P1100" s="4"/>
      <c r="Q1100" s="3"/>
      <c r="R1100" s="4"/>
      <c r="S1100" s="4"/>
      <c r="T1100" s="4"/>
      <c r="U1100" s="4"/>
      <c r="V1100" s="4"/>
      <c r="W1100" s="4"/>
      <c r="X1100" s="4"/>
      <c r="Y1100" s="4"/>
      <c r="Z1100" s="4"/>
      <c r="AA1100" s="4"/>
      <c r="AB1100" s="4"/>
      <c r="AC1100" s="4"/>
      <c r="AD1100" s="4"/>
      <c r="AE1100" s="4"/>
      <c r="AF1100" s="4"/>
      <c r="AG1100" s="4"/>
      <c r="AH1100" s="4"/>
      <c r="AI1100" s="4"/>
      <c r="AJ1100" s="4"/>
      <c r="AK1100" s="4"/>
      <c r="AL1100" s="4"/>
      <c r="AM1100" s="4"/>
      <c r="AN1100" s="4"/>
      <c r="AO1100" s="4"/>
      <c r="AP1100" s="4"/>
      <c r="AQ1100" s="4"/>
      <c r="AR1100" s="4"/>
      <c r="AS1100" s="4"/>
      <c r="AT1100" s="2"/>
      <c r="AU1100" s="2"/>
    </row>
    <row r="1101" spans="1:47" hidden="1" outlineLevel="1">
      <c r="A1101" s="2"/>
      <c r="B1101" s="2" t="s">
        <v>926</v>
      </c>
      <c r="C1101" s="38" t="s">
        <v>35</v>
      </c>
      <c r="D1101" s="38"/>
      <c r="E1101" s="38"/>
      <c r="F1101" s="38"/>
      <c r="G1101" s="38"/>
      <c r="H1101" s="38"/>
      <c r="I1101" s="38"/>
      <c r="J1101" s="38"/>
      <c r="K1101" s="793">
        <v>5.5844999999999994</v>
      </c>
      <c r="L1101" s="794">
        <v>6.0871049999999993</v>
      </c>
      <c r="M1101" s="794">
        <v>6.6349444499999999</v>
      </c>
      <c r="N1101" s="794">
        <v>7.0993905614999999</v>
      </c>
      <c r="O1101" s="794">
        <v>7.0993905614999999</v>
      </c>
      <c r="P1101" s="794">
        <v>14.8022293207275</v>
      </c>
      <c r="Q1101" s="794">
        <v>15.246296200349326</v>
      </c>
      <c r="R1101" s="794">
        <v>14.712675833337098</v>
      </c>
      <c r="S1101" s="794">
        <v>20.251998284588517</v>
      </c>
      <c r="T1101" s="794">
        <v>21.264598198817943</v>
      </c>
      <c r="U1101" s="794">
        <v>22.965766054723378</v>
      </c>
      <c r="V1101" s="794">
        <v>24.711164274882357</v>
      </c>
      <c r="W1101" s="794">
        <v>25.544424734231388</v>
      </c>
      <c r="X1101" s="794">
        <v>25.799868981573702</v>
      </c>
      <c r="Y1101" s="794">
        <v>27.089862430652389</v>
      </c>
      <c r="Z1101" s="794">
        <v>27.631659679265436</v>
      </c>
      <c r="AA1101" s="794">
        <v>28.736926066436055</v>
      </c>
      <c r="AB1101" s="794">
        <v>29.599033848429137</v>
      </c>
      <c r="AC1101" s="794">
        <v>30.487004863882014</v>
      </c>
      <c r="AD1101" s="794">
        <v>31.401615009798476</v>
      </c>
      <c r="AE1101" s="794">
        <v>32.343663460092429</v>
      </c>
      <c r="AF1101" s="794">
        <v>33.313973363895201</v>
      </c>
      <c r="AG1101" s="794">
        <v>34.313392564812055</v>
      </c>
      <c r="AH1101" s="794">
        <v>35.342794341756417</v>
      </c>
      <c r="AI1101" s="794">
        <v>36.40307817200911</v>
      </c>
      <c r="AJ1101" s="794">
        <v>37.495170517169385</v>
      </c>
      <c r="AK1101" s="794">
        <v>38.620025632684467</v>
      </c>
      <c r="AL1101" s="794">
        <v>39.778626401665001</v>
      </c>
      <c r="AM1101" s="794">
        <v>40.97198519371495</v>
      </c>
      <c r="AN1101" s="794">
        <v>42.201144749526399</v>
      </c>
      <c r="AO1101" s="794">
        <v>43.467179092012195</v>
      </c>
      <c r="AP1101" s="794">
        <v>44.771194464772563</v>
      </c>
      <c r="AQ1101" s="794">
        <v>44.771194464772563</v>
      </c>
      <c r="AR1101" s="794">
        <v>44.771194464772563</v>
      </c>
      <c r="AS1101" s="794">
        <v>44.771194464772563</v>
      </c>
      <c r="AT1101" s="2"/>
      <c r="AU1101" s="2"/>
    </row>
    <row r="1102" spans="1:47" hidden="1" outlineLevel="1">
      <c r="A1102" s="2"/>
      <c r="B1102" s="241" t="s">
        <v>1099</v>
      </c>
      <c r="C1102" s="38" t="s">
        <v>733</v>
      </c>
      <c r="D1102" s="38"/>
      <c r="E1102" s="38"/>
      <c r="F1102" s="38"/>
      <c r="G1102" s="38"/>
      <c r="H1102" s="38"/>
      <c r="I1102" s="38"/>
      <c r="J1102" s="38"/>
      <c r="K1102" s="780">
        <v>9.5000000000000001E-2</v>
      </c>
      <c r="L1102" s="780">
        <v>0.09</v>
      </c>
      <c r="M1102" s="780">
        <v>0.09</v>
      </c>
      <c r="N1102" s="780">
        <v>7.0000000000000007E-2</v>
      </c>
      <c r="O1102" s="780">
        <v>0</v>
      </c>
      <c r="P1102" s="779">
        <v>1.085</v>
      </c>
      <c r="Q1102" s="780">
        <v>0.03</v>
      </c>
      <c r="R1102" s="780">
        <v>-3.5000000000000003E-2</v>
      </c>
      <c r="S1102" s="780">
        <v>0.3765</v>
      </c>
      <c r="T1102" s="780">
        <v>0.05</v>
      </c>
      <c r="U1102" s="780">
        <v>0.08</v>
      </c>
      <c r="V1102" s="780">
        <v>7.5999999999999998E-2</v>
      </c>
      <c r="W1102" s="780">
        <v>3.372E-2</v>
      </c>
      <c r="X1102" s="795">
        <v>0.01</v>
      </c>
      <c r="Y1102" s="796">
        <v>0.05</v>
      </c>
      <c r="Z1102" s="796">
        <v>0.02</v>
      </c>
      <c r="AA1102" s="796">
        <v>0.04</v>
      </c>
      <c r="AB1102" s="796">
        <v>0.03</v>
      </c>
      <c r="AC1102" s="796">
        <v>0.03</v>
      </c>
      <c r="AD1102" s="796">
        <v>0.03</v>
      </c>
      <c r="AE1102" s="796">
        <v>0.03</v>
      </c>
      <c r="AF1102" s="796">
        <v>0.03</v>
      </c>
      <c r="AG1102" s="796">
        <v>0.03</v>
      </c>
      <c r="AH1102" s="796">
        <v>0.03</v>
      </c>
      <c r="AI1102" s="796">
        <v>0.03</v>
      </c>
      <c r="AJ1102" s="796">
        <v>0.03</v>
      </c>
      <c r="AK1102" s="796">
        <v>0.03</v>
      </c>
      <c r="AL1102" s="796">
        <v>0.03</v>
      </c>
      <c r="AM1102" s="796">
        <v>0.03</v>
      </c>
      <c r="AN1102" s="796">
        <v>0.03</v>
      </c>
      <c r="AO1102" s="797">
        <v>0.03</v>
      </c>
      <c r="AP1102" s="797">
        <v>0.03</v>
      </c>
      <c r="AQ1102" s="797">
        <v>0.03</v>
      </c>
      <c r="AR1102" s="797">
        <v>0.03</v>
      </c>
      <c r="AS1102" s="797">
        <v>0.03</v>
      </c>
      <c r="AT1102" s="2"/>
      <c r="AU1102" s="2"/>
    </row>
    <row r="1103" spans="1:47" hidden="1" outlineLevel="1">
      <c r="A1103" s="2"/>
      <c r="B1103" s="2" t="s">
        <v>384</v>
      </c>
      <c r="C1103" s="38" t="s">
        <v>846</v>
      </c>
      <c r="D1103" s="38"/>
      <c r="E1103" s="38"/>
      <c r="F1103" s="38"/>
      <c r="G1103" s="38"/>
      <c r="H1103" s="38"/>
      <c r="I1103" s="38"/>
      <c r="J1103" s="38"/>
      <c r="K1103" s="570">
        <v>565.01404640624992</v>
      </c>
      <c r="L1103" s="19">
        <v>689.49463940156227</v>
      </c>
      <c r="M1103" s="19">
        <v>770.99333255226531</v>
      </c>
      <c r="N1103" s="19">
        <v>816.28362458009963</v>
      </c>
      <c r="O1103" s="19">
        <v>869.22659508098695</v>
      </c>
      <c r="P1103" s="19">
        <v>963.63029832118036</v>
      </c>
      <c r="Q1103" s="19">
        <v>1076.6938262485091</v>
      </c>
      <c r="R1103" s="19">
        <v>1210.8225653772174</v>
      </c>
      <c r="S1103" s="19">
        <v>1329.3209791180291</v>
      </c>
      <c r="T1103" s="19">
        <v>1412.8178089926023</v>
      </c>
      <c r="U1103" s="19">
        <v>1499.9714236541938</v>
      </c>
      <c r="V1103" s="19">
        <v>1560.8283856746266</v>
      </c>
      <c r="W1103" s="19">
        <v>1597.9455135293656</v>
      </c>
      <c r="X1103" s="19">
        <v>2396.5606742883951</v>
      </c>
      <c r="Y1103" s="19">
        <v>2392.1509897091637</v>
      </c>
      <c r="Z1103" s="19">
        <v>2405.6210130507297</v>
      </c>
      <c r="AA1103" s="19">
        <v>2453.2441862581736</v>
      </c>
      <c r="AB1103" s="19">
        <v>2495.7586893066859</v>
      </c>
      <c r="AC1103" s="19">
        <v>2526.3029101982011</v>
      </c>
      <c r="AD1103" s="19">
        <v>2556.0806457989174</v>
      </c>
      <c r="AE1103" s="19">
        <v>2580.2932812197655</v>
      </c>
      <c r="AF1103" s="19">
        <v>2604.9166826019132</v>
      </c>
      <c r="AG1103" s="19">
        <v>2629.9583303971149</v>
      </c>
      <c r="AH1103" s="19">
        <v>2655.4258473174864</v>
      </c>
      <c r="AI1103" s="19">
        <v>2681.3270011072236</v>
      </c>
      <c r="AJ1103" s="19">
        <v>2707.6697073690234</v>
      </c>
      <c r="AK1103" s="19">
        <v>2734.4620324462894</v>
      </c>
      <c r="AL1103" s="19">
        <v>2761.712196362234</v>
      </c>
      <c r="AM1103" s="19">
        <v>2789.4285758170008</v>
      </c>
      <c r="AN1103" s="19">
        <v>2817.6197072439722</v>
      </c>
      <c r="AO1103" s="19">
        <v>2846.2942899264235</v>
      </c>
      <c r="AP1103" s="19">
        <v>2875.4611891757336</v>
      </c>
      <c r="AQ1103" s="19">
        <v>2875.4611891757336</v>
      </c>
      <c r="AR1103" s="19">
        <v>2875.4611891757336</v>
      </c>
      <c r="AS1103" s="19">
        <v>2875.4611891757336</v>
      </c>
      <c r="AT1103" s="2"/>
      <c r="AU1103" s="2"/>
    </row>
    <row r="1104" spans="1:47" hidden="1" outlineLevel="1">
      <c r="A1104" s="2"/>
      <c r="B1104" s="2" t="s">
        <v>82</v>
      </c>
      <c r="C1104" s="38" t="s">
        <v>846</v>
      </c>
      <c r="D1104" s="38"/>
      <c r="E1104" s="38"/>
      <c r="F1104" s="38"/>
      <c r="G1104" s="38"/>
      <c r="H1104" s="38"/>
      <c r="I1104" s="38"/>
      <c r="J1104" s="38"/>
      <c r="K1104" s="781"/>
      <c r="L1104" s="781"/>
      <c r="M1104" s="781"/>
      <c r="N1104" s="19">
        <v>111.6555</v>
      </c>
      <c r="O1104" s="19">
        <v>209.42591999999999</v>
      </c>
      <c r="P1104" s="19">
        <v>176.48949594374994</v>
      </c>
      <c r="Q1104" s="19">
        <v>140.43818123156245</v>
      </c>
      <c r="R1104" s="19">
        <v>150.81343918464648</v>
      </c>
      <c r="S1104" s="19">
        <v>176.36730894248592</v>
      </c>
      <c r="T1104" s="19">
        <v>172.9319667605894</v>
      </c>
      <c r="U1104" s="19">
        <v>130.87771277349776</v>
      </c>
      <c r="V1104" s="19">
        <v>80.884271807406947</v>
      </c>
      <c r="W1104" s="19">
        <v>123.54086578745671</v>
      </c>
      <c r="X1104" s="19">
        <v>0</v>
      </c>
      <c r="Y1104" s="19">
        <v>0</v>
      </c>
      <c r="Z1104" s="19">
        <v>0</v>
      </c>
      <c r="AA1104" s="19">
        <v>0</v>
      </c>
      <c r="AB1104" s="19">
        <v>0</v>
      </c>
      <c r="AC1104" s="19">
        <v>0</v>
      </c>
      <c r="AD1104" s="19">
        <v>0</v>
      </c>
      <c r="AE1104" s="19">
        <v>0</v>
      </c>
      <c r="AF1104" s="19">
        <v>0</v>
      </c>
      <c r="AG1104" s="19">
        <v>0</v>
      </c>
      <c r="AH1104" s="19">
        <v>0</v>
      </c>
      <c r="AI1104" s="19">
        <v>0</v>
      </c>
      <c r="AJ1104" s="19">
        <v>0</v>
      </c>
      <c r="AK1104" s="19">
        <v>0</v>
      </c>
      <c r="AL1104" s="19">
        <v>0</v>
      </c>
      <c r="AM1104" s="19">
        <v>0</v>
      </c>
      <c r="AN1104" s="19">
        <v>0</v>
      </c>
      <c r="AO1104" s="19">
        <v>0</v>
      </c>
      <c r="AP1104" s="19">
        <v>0</v>
      </c>
      <c r="AQ1104" s="19">
        <v>0</v>
      </c>
      <c r="AR1104" s="19">
        <v>0</v>
      </c>
      <c r="AS1104" s="19">
        <v>0</v>
      </c>
      <c r="AT1104" s="2"/>
      <c r="AU1104" s="2"/>
    </row>
    <row r="1105" spans="1:47" hidden="1" outlineLevel="1">
      <c r="A1105" s="2"/>
      <c r="B1105" s="2" t="s">
        <v>83</v>
      </c>
      <c r="C1105" s="38" t="s">
        <v>846</v>
      </c>
      <c r="D1105" s="38"/>
      <c r="E1105" s="38"/>
      <c r="F1105" s="38"/>
      <c r="G1105" s="38"/>
      <c r="H1105" s="38"/>
      <c r="I1105" s="38"/>
      <c r="J1105" s="38"/>
      <c r="K1105" s="570">
        <v>565.01404640624992</v>
      </c>
      <c r="L1105" s="19">
        <v>689.49463940156227</v>
      </c>
      <c r="M1105" s="19">
        <v>770.99333255226531</v>
      </c>
      <c r="N1105" s="19">
        <v>927.93912458009959</v>
      </c>
      <c r="O1105" s="19">
        <v>1078.6525150809869</v>
      </c>
      <c r="P1105" s="19">
        <v>1140.1197942649303</v>
      </c>
      <c r="Q1105" s="19">
        <v>1217.1320074800715</v>
      </c>
      <c r="R1105" s="19">
        <v>1361.636004561864</v>
      </c>
      <c r="S1105" s="19">
        <v>1505.6882880605149</v>
      </c>
      <c r="T1105" s="19">
        <v>1585.7497757531917</v>
      </c>
      <c r="U1105" s="19">
        <v>1630.8491364276915</v>
      </c>
      <c r="V1105" s="19">
        <v>1641.7126574820336</v>
      </c>
      <c r="W1105" s="19">
        <v>1721.4863793168224</v>
      </c>
      <c r="X1105" s="19">
        <v>2396.5606742883951</v>
      </c>
      <c r="Y1105" s="19">
        <v>2392.1509897091637</v>
      </c>
      <c r="Z1105" s="19">
        <v>2405.6210130507297</v>
      </c>
      <c r="AA1105" s="19">
        <v>2453.2441862581736</v>
      </c>
      <c r="AB1105" s="19">
        <v>2495.7586893066859</v>
      </c>
      <c r="AC1105" s="19">
        <v>2526.3029101982011</v>
      </c>
      <c r="AD1105" s="19">
        <v>2556.0806457989174</v>
      </c>
      <c r="AE1105" s="19">
        <v>2580.2932812197655</v>
      </c>
      <c r="AF1105" s="19">
        <v>2604.9166826019132</v>
      </c>
      <c r="AG1105" s="19">
        <v>2629.9583303971149</v>
      </c>
      <c r="AH1105" s="19">
        <v>2655.4258473174864</v>
      </c>
      <c r="AI1105" s="19">
        <v>2681.3270011072236</v>
      </c>
      <c r="AJ1105" s="19">
        <v>2707.6697073690234</v>
      </c>
      <c r="AK1105" s="19">
        <v>2734.4620324462894</v>
      </c>
      <c r="AL1105" s="19">
        <v>2761.712196362234</v>
      </c>
      <c r="AM1105" s="19">
        <v>2789.4285758170008</v>
      </c>
      <c r="AN1105" s="19">
        <v>2817.6197072439722</v>
      </c>
      <c r="AO1105" s="19">
        <v>2846.2942899264235</v>
      </c>
      <c r="AP1105" s="19">
        <v>2875.4611891757336</v>
      </c>
      <c r="AQ1105" s="19">
        <v>2875.4611891757336</v>
      </c>
      <c r="AR1105" s="19">
        <v>2875.4611891757336</v>
      </c>
      <c r="AS1105" s="19">
        <v>2875.4611891757336</v>
      </c>
      <c r="AT1105" s="2"/>
      <c r="AU1105" s="2"/>
    </row>
    <row r="1106" spans="1:47" hidden="1" outlineLevel="1">
      <c r="A1106" s="2"/>
      <c r="B1106" s="2" t="s">
        <v>927</v>
      </c>
      <c r="C1106" s="38" t="s">
        <v>732</v>
      </c>
      <c r="D1106" s="38"/>
      <c r="E1106" s="38"/>
      <c r="F1106" s="38"/>
      <c r="G1106" s="38"/>
      <c r="H1106" s="38"/>
      <c r="I1106" s="38"/>
      <c r="J1106" s="38"/>
      <c r="K1106" s="566">
        <v>37.863851305868423</v>
      </c>
      <c r="L1106" s="3">
        <v>50.364315203693351</v>
      </c>
      <c r="M1106" s="3">
        <v>61.385975193655874</v>
      </c>
      <c r="N1106" s="3">
        <v>79.053627152286381</v>
      </c>
      <c r="O1106" s="3">
        <v>91.893305816450336</v>
      </c>
      <c r="P1106" s="3">
        <v>202.51577577372186</v>
      </c>
      <c r="Q1106" s="3">
        <v>222.68106121160355</v>
      </c>
      <c r="R1106" s="3">
        <v>240.39970965742822</v>
      </c>
      <c r="S1106" s="3">
        <v>365.9183595231188</v>
      </c>
      <c r="T1106" s="3">
        <v>404.64398190308737</v>
      </c>
      <c r="U1106" s="3">
        <v>449.4443968529522</v>
      </c>
      <c r="V1106" s="3">
        <v>486.82357405430645</v>
      </c>
      <c r="W1106" s="3">
        <v>527.69255096955692</v>
      </c>
      <c r="X1106" s="3">
        <v>741.97141683639029</v>
      </c>
      <c r="Y1106" s="3">
        <v>777.63649469484244</v>
      </c>
      <c r="Z1106" s="3">
        <v>797.65561379889027</v>
      </c>
      <c r="AA1106" s="3">
        <v>845.98436164098268</v>
      </c>
      <c r="AB1106" s="3">
        <v>886.46455106759674</v>
      </c>
      <c r="AC1106" s="3">
        <v>924.23290933022213</v>
      </c>
      <c r="AD1106" s="3">
        <v>963.180724480496</v>
      </c>
      <c r="AE1106" s="3">
        <v>1001.4736501933166</v>
      </c>
      <c r="AF1106" s="3">
        <v>1041.3614997523966</v>
      </c>
      <c r="AG1106" s="3">
        <v>1082.9135114401668</v>
      </c>
      <c r="AH1106" s="3">
        <v>1126.2020353383145</v>
      </c>
      <c r="AI1106" s="3">
        <v>1171.3026771123004</v>
      </c>
      <c r="AJ1106" s="3">
        <v>1218.2944485837079</v>
      </c>
      <c r="AK1106" s="3">
        <v>1267.2599254161378</v>
      </c>
      <c r="AL1106" s="3">
        <v>1318.2854122561801</v>
      </c>
      <c r="AM1106" s="3">
        <v>1371.4611156875944</v>
      </c>
      <c r="AN1106" s="3">
        <v>1426.8813253742528</v>
      </c>
      <c r="AO1106" s="3">
        <v>1484.6446037856424</v>
      </c>
      <c r="AP1106" s="3">
        <v>1544.8539849179151</v>
      </c>
      <c r="AQ1106" s="3">
        <v>1544.8539849179151</v>
      </c>
      <c r="AR1106" s="3">
        <v>1544.8539849179151</v>
      </c>
      <c r="AS1106" s="3">
        <v>1544.8539849179151</v>
      </c>
      <c r="AT1106" s="2"/>
      <c r="AU1106" s="2"/>
    </row>
    <row r="1107" spans="1:47" hidden="1" outlineLevel="1">
      <c r="A1107" s="2"/>
      <c r="B1107" s="6" t="s">
        <v>928</v>
      </c>
      <c r="C1107" s="37" t="s">
        <v>732</v>
      </c>
      <c r="D1107" s="37"/>
      <c r="E1107" s="37"/>
      <c r="F1107" s="37"/>
      <c r="G1107" s="37"/>
      <c r="H1107" s="37"/>
      <c r="I1107" s="37"/>
      <c r="J1107" s="37"/>
      <c r="K1107" s="768">
        <v>62.539427247545376</v>
      </c>
      <c r="L1107" s="4">
        <v>80.476269842958075</v>
      </c>
      <c r="M1107" s="4">
        <v>98.87410573813402</v>
      </c>
      <c r="N1107" s="4">
        <v>120.78574360146676</v>
      </c>
      <c r="O1107" s="4">
        <v>136.442923692254</v>
      </c>
      <c r="P1107" s="4">
        <v>244.0582330158305</v>
      </c>
      <c r="Q1107" s="4">
        <v>268.63996581405104</v>
      </c>
      <c r="R1107" s="4">
        <v>288.88756777987618</v>
      </c>
      <c r="S1107" s="4">
        <v>419.53591946095372</v>
      </c>
      <c r="T1107" s="4">
        <v>456.20073868005011</v>
      </c>
      <c r="U1107" s="4">
        <v>502.46744850483446</v>
      </c>
      <c r="V1107" s="4">
        <v>536.92518812348442</v>
      </c>
      <c r="W1107" s="4">
        <v>580.22869108445514</v>
      </c>
      <c r="X1107" s="4">
        <v>818.72526669826664</v>
      </c>
      <c r="Y1107" s="4">
        <v>854.24911705859461</v>
      </c>
      <c r="Z1107" s="4">
        <v>874.699636110195</v>
      </c>
      <c r="AA1107" s="4">
        <v>924.55359544621115</v>
      </c>
      <c r="AB1107" s="4">
        <v>966.39538269045886</v>
      </c>
      <c r="AC1107" s="4">
        <v>1005.1419705341698</v>
      </c>
      <c r="AD1107" s="4">
        <v>1045.043467296616</v>
      </c>
      <c r="AE1107" s="4">
        <v>1084.1118430131817</v>
      </c>
      <c r="AF1107" s="4">
        <v>1124.7882980405273</v>
      </c>
      <c r="AG1107" s="4">
        <v>1167.1423102350184</v>
      </c>
      <c r="AH1107" s="4">
        <v>1211.2464738084025</v>
      </c>
      <c r="AI1107" s="4">
        <v>1257.1766432010945</v>
      </c>
      <c r="AJ1107" s="4">
        <v>1305.0120837450465</v>
      </c>
      <c r="AK1107" s="4">
        <v>1354.8356294419509</v>
      </c>
      <c r="AL1107" s="4">
        <v>1406.7338481983411</v>
      </c>
      <c r="AM1107" s="4">
        <v>1460.7972148757603</v>
      </c>
      <c r="AN1107" s="4">
        <v>1517.1202925315865</v>
      </c>
      <c r="AO1107" s="4">
        <v>1575.8019222443527</v>
      </c>
      <c r="AP1107" s="4">
        <v>1636.9454219365832</v>
      </c>
      <c r="AQ1107" s="4">
        <v>1636.9454219365832</v>
      </c>
      <c r="AR1107" s="4">
        <v>1636.9454219365832</v>
      </c>
      <c r="AS1107" s="4">
        <v>1636.9454219365832</v>
      </c>
      <c r="AT1107" s="2"/>
      <c r="AU1107" s="2"/>
    </row>
    <row r="1108" spans="1:47" hidden="1" outlineLevel="1">
      <c r="A1108" s="2"/>
      <c r="B1108" s="6" t="s">
        <v>929</v>
      </c>
      <c r="C1108" s="18"/>
      <c r="D1108" s="18"/>
      <c r="E1108" s="18"/>
      <c r="F1108" s="18"/>
      <c r="G1108" s="18"/>
      <c r="H1108" s="18"/>
      <c r="I1108" s="18"/>
      <c r="J1108" s="18"/>
      <c r="K1108" s="768">
        <v>194.43489370550432</v>
      </c>
      <c r="L1108" s="4">
        <v>241.43017472826028</v>
      </c>
      <c r="M1108" s="4">
        <v>319.15508098269675</v>
      </c>
      <c r="N1108" s="4">
        <v>417.63924505917413</v>
      </c>
      <c r="O1108" s="4">
        <v>483.88187021620547</v>
      </c>
      <c r="P1108" s="4">
        <v>593.99444041226877</v>
      </c>
      <c r="Q1108" s="4">
        <v>644.32247303490681</v>
      </c>
      <c r="R1108" s="4">
        <v>706.77337330857449</v>
      </c>
      <c r="S1108" s="4">
        <v>840.97072406891243</v>
      </c>
      <c r="T1108" s="4">
        <v>905.28201732168282</v>
      </c>
      <c r="U1108" s="4">
        <v>964.70772259852083</v>
      </c>
      <c r="V1108" s="4">
        <v>995.90714617248182</v>
      </c>
      <c r="W1108" s="4">
        <v>1086.7899228037961</v>
      </c>
      <c r="X1108" s="4">
        <v>1609.9732982799073</v>
      </c>
      <c r="Y1108" s="4">
        <v>1626.5957289399971</v>
      </c>
      <c r="Z1108" s="4">
        <v>1667.2187038548009</v>
      </c>
      <c r="AA1108" s="4">
        <v>1733.2723382089243</v>
      </c>
      <c r="AB1108" s="4">
        <v>1790.0925167298037</v>
      </c>
      <c r="AC1108" s="4">
        <v>1840.7036745825826</v>
      </c>
      <c r="AD1108" s="4">
        <v>1892.4835766548263</v>
      </c>
      <c r="AE1108" s="4">
        <v>1942.1268398295711</v>
      </c>
      <c r="AF1108" s="4">
        <v>1994.7519628087384</v>
      </c>
      <c r="AG1108" s="4">
        <v>2049.4486776290637</v>
      </c>
      <c r="AH1108" s="4">
        <v>2106.3111445165696</v>
      </c>
      <c r="AI1108" s="4">
        <v>2165.4381855915553</v>
      </c>
      <c r="AJ1108" s="4">
        <v>2225.7951445159079</v>
      </c>
      <c r="AK1108" s="4">
        <v>2288.6293083290511</v>
      </c>
      <c r="AL1108" s="4">
        <v>2354.0550213136303</v>
      </c>
      <c r="AM1108" s="4">
        <v>2422.1923627167744</v>
      </c>
      <c r="AN1108" s="4">
        <v>2493.1674537536028</v>
      </c>
      <c r="AO1108" s="4">
        <v>2567.1127819559388</v>
      </c>
      <c r="AP1108" s="4">
        <v>2644.1675438916654</v>
      </c>
      <c r="AQ1108" s="4">
        <v>2644.1675438916654</v>
      </c>
      <c r="AR1108" s="4">
        <v>2644.1675438916654</v>
      </c>
      <c r="AS1108" s="4">
        <v>2644.1675438916654</v>
      </c>
      <c r="AT1108" s="2"/>
      <c r="AU1108" s="2"/>
    </row>
    <row r="1109" spans="1:47" hidden="1" outlineLevel="1">
      <c r="A1109" s="2"/>
      <c r="B1109" s="241" t="s">
        <v>1099</v>
      </c>
      <c r="C1109" s="18"/>
      <c r="D1109" s="18"/>
      <c r="E1109" s="18"/>
      <c r="F1109" s="18"/>
      <c r="G1109" s="18"/>
      <c r="H1109" s="18"/>
      <c r="I1109" s="18"/>
      <c r="J1109" s="18"/>
      <c r="K1109" s="779">
        <v>0.40345568743482207</v>
      </c>
      <c r="L1109" s="752">
        <v>0.24170188862260567</v>
      </c>
      <c r="M1109" s="752">
        <v>0.32193534359124354</v>
      </c>
      <c r="N1109" s="752">
        <v>0.30857777282830345</v>
      </c>
      <c r="O1109" s="752">
        <v>0.15861206996398436</v>
      </c>
      <c r="P1109" s="752">
        <v>0.22756085105412893</v>
      </c>
      <c r="Q1109" s="752">
        <v>8.4728120666764717E-2</v>
      </c>
      <c r="R1109" s="752">
        <v>9.6924913979035354E-2</v>
      </c>
      <c r="S1109" s="752">
        <v>0.18987324060063004</v>
      </c>
      <c r="T1109" s="752">
        <v>7.6472689728852572E-2</v>
      </c>
      <c r="U1109" s="752">
        <v>6.5643306880933672E-2</v>
      </c>
      <c r="V1109" s="752">
        <v>3.234080420743668E-2</v>
      </c>
      <c r="W1109" s="752">
        <v>9.1256275226660799E-2</v>
      </c>
      <c r="X1109" s="752">
        <v>0.4814024904890144</v>
      </c>
      <c r="Y1109" s="752">
        <v>1.0324662326915091E-2</v>
      </c>
      <c r="Z1109" s="752">
        <v>2.4974229424096883E-2</v>
      </c>
      <c r="AA1109" s="752">
        <v>3.9619057896483456E-2</v>
      </c>
      <c r="AB1109" s="752">
        <v>3.2782025806512571E-2</v>
      </c>
      <c r="AC1109" s="752">
        <v>2.8272928566416722E-2</v>
      </c>
      <c r="AD1109" s="752">
        <v>2.8130493130017697E-2</v>
      </c>
      <c r="AE1109" s="752">
        <v>2.6231806599080087E-2</v>
      </c>
      <c r="AF1109" s="752">
        <v>2.7096645749350445E-2</v>
      </c>
      <c r="AG1109" s="752">
        <v>2.7420308810379046E-2</v>
      </c>
      <c r="AH1109" s="752">
        <v>2.7745250470623262E-2</v>
      </c>
      <c r="AI1109" s="752">
        <v>2.8071370760636816E-2</v>
      </c>
      <c r="AJ1109" s="752">
        <v>2.7872861634175017E-2</v>
      </c>
      <c r="AK1109" s="752">
        <v>2.8229985121478451E-2</v>
      </c>
      <c r="AL1109" s="752">
        <v>2.8587291417825567E-2</v>
      </c>
      <c r="AM1109" s="752">
        <v>2.8944668151860586E-2</v>
      </c>
      <c r="AN1109" s="752">
        <v>2.930200430374641E-2</v>
      </c>
      <c r="AO1109" s="752">
        <v>2.9659190396941426E-2</v>
      </c>
      <c r="AP1109" s="752">
        <v>3.0016118682957504E-2</v>
      </c>
      <c r="AQ1109" s="752">
        <v>3.0016118682957504E-2</v>
      </c>
      <c r="AR1109" s="752">
        <v>3.0016118682957504E-2</v>
      </c>
      <c r="AS1109" s="752">
        <v>3.0016118682957504E-2</v>
      </c>
      <c r="AT1109" s="2"/>
      <c r="AU1109" s="2"/>
    </row>
    <row r="1110" spans="1:47" hidden="1" outlineLevel="1">
      <c r="A1110" s="2"/>
      <c r="B1110" s="6"/>
      <c r="C1110" s="18"/>
      <c r="D1110" s="18"/>
      <c r="E1110" s="18"/>
      <c r="F1110" s="18"/>
      <c r="G1110" s="18"/>
      <c r="H1110" s="18"/>
      <c r="I1110" s="18"/>
      <c r="J1110" s="18"/>
      <c r="K1110" s="6"/>
      <c r="L1110" s="6"/>
      <c r="M1110" s="6"/>
      <c r="N1110" s="6"/>
      <c r="O1110" s="6"/>
      <c r="P1110" s="6"/>
      <c r="Q1110" s="6"/>
      <c r="R1110" s="6"/>
      <c r="S1110" s="6"/>
      <c r="T1110" s="2"/>
      <c r="U1110" s="6"/>
      <c r="V1110" s="6"/>
      <c r="W1110" s="6"/>
      <c r="X1110" s="798">
        <v>907.88399999999956</v>
      </c>
      <c r="Y1110" s="6"/>
      <c r="Z1110" s="6"/>
      <c r="AA1110" s="6"/>
      <c r="AB1110" s="6"/>
      <c r="AC1110" s="6"/>
      <c r="AD1110" s="6"/>
      <c r="AE1110" s="6"/>
      <c r="AF1110" s="6"/>
      <c r="AG1110" s="6"/>
      <c r="AH1110" s="6"/>
      <c r="AI1110" s="6"/>
      <c r="AJ1110" s="6"/>
      <c r="AK1110" s="6"/>
      <c r="AL1110" s="6"/>
      <c r="AM1110" s="6"/>
      <c r="AN1110" s="6"/>
      <c r="AO1110" s="6"/>
      <c r="AP1110" s="6"/>
      <c r="AQ1110" s="6"/>
      <c r="AR1110" s="6"/>
      <c r="AS1110" s="6"/>
      <c r="AT1110" s="2"/>
      <c r="AU1110" s="2"/>
    </row>
    <row r="1111" spans="1:47" hidden="1" outlineLevel="1">
      <c r="A1111" s="2"/>
      <c r="B1111" s="2" t="s">
        <v>930</v>
      </c>
      <c r="C1111" s="18"/>
      <c r="D1111" s="18"/>
      <c r="E1111" s="18"/>
      <c r="F1111" s="18"/>
      <c r="G1111" s="18"/>
      <c r="H1111" s="18"/>
      <c r="I1111" s="18"/>
      <c r="J1111" s="18"/>
      <c r="K1111" s="6"/>
      <c r="L1111" s="6"/>
      <c r="M1111" s="6"/>
      <c r="N1111" s="6"/>
      <c r="O1111" s="6"/>
      <c r="P1111" s="6"/>
      <c r="Q1111" s="6"/>
      <c r="R1111" s="6"/>
      <c r="S1111" s="6"/>
      <c r="T1111" s="6"/>
      <c r="U1111" s="6"/>
      <c r="V1111" s="6"/>
      <c r="W1111" s="6"/>
      <c r="X1111" s="6"/>
      <c r="Y1111" s="6"/>
      <c r="Z1111" s="6"/>
      <c r="AA1111" s="6"/>
      <c r="AB1111" s="6"/>
      <c r="AC1111" s="6"/>
      <c r="AD1111" s="6"/>
      <c r="AE1111" s="6"/>
      <c r="AF1111" s="6"/>
      <c r="AG1111" s="6"/>
      <c r="AH1111" s="6"/>
      <c r="AI1111" s="6"/>
      <c r="AJ1111" s="6"/>
      <c r="AK1111" s="6"/>
      <c r="AL1111" s="6"/>
      <c r="AM1111" s="6"/>
      <c r="AN1111" s="6"/>
      <c r="AO1111" s="6"/>
      <c r="AP1111" s="6"/>
      <c r="AQ1111" s="6"/>
      <c r="AR1111" s="6"/>
      <c r="AS1111" s="6"/>
      <c r="AT1111" s="2"/>
      <c r="AU1111" s="2"/>
    </row>
    <row r="1112" spans="1:47" hidden="1" outlineLevel="1">
      <c r="A1112" s="2"/>
      <c r="B1112" s="2" t="s">
        <v>931</v>
      </c>
      <c r="C1112" s="38" t="s">
        <v>732</v>
      </c>
      <c r="D1112" s="38"/>
      <c r="E1112" s="38"/>
      <c r="F1112" s="38"/>
      <c r="G1112" s="38"/>
      <c r="H1112" s="38"/>
      <c r="I1112" s="38"/>
      <c r="J1112" s="38"/>
      <c r="K1112" s="566">
        <v>10.3</v>
      </c>
      <c r="L1112" s="3">
        <v>10.609000000000002</v>
      </c>
      <c r="M1112" s="3">
        <v>10.927270000000002</v>
      </c>
      <c r="N1112" s="566">
        <v>28</v>
      </c>
      <c r="O1112" s="566">
        <v>50</v>
      </c>
      <c r="P1112" s="3">
        <v>75</v>
      </c>
      <c r="Q1112" s="3">
        <v>77.25</v>
      </c>
      <c r="R1112" s="3">
        <v>79.567499999999995</v>
      </c>
      <c r="S1112" s="3">
        <v>83.545874999999995</v>
      </c>
      <c r="T1112" s="3">
        <v>86.052251249999998</v>
      </c>
      <c r="U1112" s="3">
        <v>88.633818787500005</v>
      </c>
      <c r="V1112" s="3">
        <v>91.292833351125012</v>
      </c>
      <c r="W1112" s="3">
        <v>94.031618351658764</v>
      </c>
      <c r="X1112" s="3">
        <v>96.852566902208537</v>
      </c>
      <c r="Y1112" s="3">
        <v>99.758143909274793</v>
      </c>
      <c r="Z1112" s="3">
        <v>100.75572534836755</v>
      </c>
      <c r="AA1112" s="3">
        <v>101.76328260185123</v>
      </c>
      <c r="AB1112" s="3">
        <v>102.78091542786974</v>
      </c>
      <c r="AC1112" s="3">
        <v>103.80872458214844</v>
      </c>
      <c r="AD1112" s="3">
        <v>104.84681182796993</v>
      </c>
      <c r="AE1112" s="3">
        <v>105.89527994624963</v>
      </c>
      <c r="AF1112" s="3">
        <v>106.95423274571213</v>
      </c>
      <c r="AG1112" s="3">
        <v>108.02377507316926</v>
      </c>
      <c r="AH1112" s="3">
        <v>109.10401282390096</v>
      </c>
      <c r="AI1112" s="3">
        <v>110.19505295213997</v>
      </c>
      <c r="AJ1112" s="3">
        <v>111.29700348166138</v>
      </c>
      <c r="AK1112" s="3">
        <v>112.40997351647799</v>
      </c>
      <c r="AL1112" s="3">
        <v>113.53407325164277</v>
      </c>
      <c r="AM1112" s="3">
        <v>114.66941398415919</v>
      </c>
      <c r="AN1112" s="3">
        <v>115.81610812400079</v>
      </c>
      <c r="AO1112" s="3">
        <v>116.9742692052408</v>
      </c>
      <c r="AP1112" s="3">
        <v>118.14401189729321</v>
      </c>
      <c r="AQ1112" s="3">
        <v>118.14401189729321</v>
      </c>
      <c r="AR1112" s="3">
        <v>118.14401189729321</v>
      </c>
      <c r="AS1112" s="3">
        <v>118.14401189729321</v>
      </c>
      <c r="AT1112" s="2"/>
      <c r="AU1112" s="2"/>
    </row>
    <row r="1113" spans="1:47" hidden="1" outlineLevel="1">
      <c r="A1113" s="2"/>
      <c r="B1113" s="55" t="s">
        <v>614</v>
      </c>
      <c r="C1113" s="38" t="s">
        <v>733</v>
      </c>
      <c r="D1113" s="38"/>
      <c r="E1113" s="38"/>
      <c r="F1113" s="38"/>
      <c r="G1113" s="38"/>
      <c r="H1113" s="38"/>
      <c r="I1113" s="38"/>
      <c r="J1113" s="38"/>
      <c r="K1113" s="780">
        <v>0.03</v>
      </c>
      <c r="L1113" s="781">
        <v>0.03</v>
      </c>
      <c r="M1113" s="781">
        <v>0.03</v>
      </c>
      <c r="N1113" s="752">
        <v>1.5623966461888465</v>
      </c>
      <c r="O1113" s="752">
        <v>0.78571428571428581</v>
      </c>
      <c r="P1113" s="779">
        <v>0.5</v>
      </c>
      <c r="Q1113" s="779">
        <v>0.03</v>
      </c>
      <c r="R1113" s="752">
        <v>0.03</v>
      </c>
      <c r="S1113" s="779">
        <v>0.05</v>
      </c>
      <c r="T1113" s="779">
        <v>0.03</v>
      </c>
      <c r="U1113" s="752">
        <v>0.03</v>
      </c>
      <c r="V1113" s="752">
        <v>0.03</v>
      </c>
      <c r="W1113" s="752">
        <v>0.03</v>
      </c>
      <c r="X1113" s="752">
        <v>0.03</v>
      </c>
      <c r="Y1113" s="752">
        <v>0.03</v>
      </c>
      <c r="Z1113" s="779">
        <v>0.01</v>
      </c>
      <c r="AA1113" s="752">
        <v>0.01</v>
      </c>
      <c r="AB1113" s="752">
        <v>0.01</v>
      </c>
      <c r="AC1113" s="752">
        <v>0.01</v>
      </c>
      <c r="AD1113" s="752">
        <v>0.01</v>
      </c>
      <c r="AE1113" s="752">
        <v>0.01</v>
      </c>
      <c r="AF1113" s="752">
        <v>0.01</v>
      </c>
      <c r="AG1113" s="752">
        <v>0.01</v>
      </c>
      <c r="AH1113" s="752">
        <v>0.01</v>
      </c>
      <c r="AI1113" s="752">
        <v>0.01</v>
      </c>
      <c r="AJ1113" s="752">
        <v>0.01</v>
      </c>
      <c r="AK1113" s="752">
        <v>0.01</v>
      </c>
      <c r="AL1113" s="752">
        <v>0.01</v>
      </c>
      <c r="AM1113" s="752">
        <v>0.01</v>
      </c>
      <c r="AN1113" s="752">
        <v>0.01</v>
      </c>
      <c r="AO1113" s="752">
        <v>0.01</v>
      </c>
      <c r="AP1113" s="752">
        <v>0.01</v>
      </c>
      <c r="AQ1113" s="752">
        <v>0.01</v>
      </c>
      <c r="AR1113" s="752">
        <v>0.01</v>
      </c>
      <c r="AS1113" s="752">
        <v>0.01</v>
      </c>
      <c r="AT1113" s="2"/>
      <c r="AU1113" s="2"/>
    </row>
    <row r="1114" spans="1:47" hidden="1" outlineLevel="1">
      <c r="A1114" s="2"/>
      <c r="B1114" s="2" t="s">
        <v>932</v>
      </c>
      <c r="C1114" s="38" t="s">
        <v>35</v>
      </c>
      <c r="D1114" s="38"/>
      <c r="E1114" s="38"/>
      <c r="F1114" s="38"/>
      <c r="G1114" s="38"/>
      <c r="H1114" s="38"/>
      <c r="I1114" s="38"/>
      <c r="J1114" s="38"/>
      <c r="K1114" s="766">
        <v>6.12</v>
      </c>
      <c r="L1114" s="767">
        <v>6.2423999999999999</v>
      </c>
      <c r="M1114" s="767">
        <v>6.367248</v>
      </c>
      <c r="N1114" s="767">
        <v>6.4945929600000003</v>
      </c>
      <c r="O1114" s="767">
        <v>6.6244848192000001</v>
      </c>
      <c r="P1114" s="767">
        <v>6.756974515584</v>
      </c>
      <c r="Q1114" s="767">
        <v>6.8921140058956798</v>
      </c>
      <c r="R1114" s="767">
        <v>7.0299562860135936</v>
      </c>
      <c r="S1114" s="767">
        <v>7.381454100314274</v>
      </c>
      <c r="T1114" s="767">
        <v>8.2819915005526141</v>
      </c>
      <c r="U1114" s="767">
        <v>8.9445508205968238</v>
      </c>
      <c r="V1114" s="767">
        <v>9.6601148862445712</v>
      </c>
      <c r="W1114" s="767">
        <v>10.432924077144138</v>
      </c>
      <c r="X1114" s="767">
        <v>10.745911799458462</v>
      </c>
      <c r="Y1114" s="767">
        <v>11.068289153442215</v>
      </c>
      <c r="Z1114" s="767">
        <v>11.178972044976637</v>
      </c>
      <c r="AA1114" s="767">
        <v>11.290761765426405</v>
      </c>
      <c r="AB1114" s="767">
        <v>11.403669383080668</v>
      </c>
      <c r="AC1114" s="767">
        <v>11.517706076911475</v>
      </c>
      <c r="AD1114" s="767">
        <v>11.63288313768059</v>
      </c>
      <c r="AE1114" s="767">
        <v>11.749211969057397</v>
      </c>
      <c r="AF1114" s="767">
        <v>11.866704088747971</v>
      </c>
      <c r="AG1114" s="767">
        <v>11.985371129635451</v>
      </c>
      <c r="AH1114" s="767">
        <v>12.105224840931806</v>
      </c>
      <c r="AI1114" s="767">
        <v>12.226277089341124</v>
      </c>
      <c r="AJ1114" s="767">
        <v>12.348539860234535</v>
      </c>
      <c r="AK1114" s="767">
        <v>12.472025258836881</v>
      </c>
      <c r="AL1114" s="767">
        <v>12.596745511425251</v>
      </c>
      <c r="AM1114" s="767">
        <v>12.722712966539504</v>
      </c>
      <c r="AN1114" s="767">
        <v>12.849940096204898</v>
      </c>
      <c r="AO1114" s="767">
        <v>12.978439497166947</v>
      </c>
      <c r="AP1114" s="767">
        <v>13.108223892138618</v>
      </c>
      <c r="AQ1114" s="767">
        <v>13.108223892138618</v>
      </c>
      <c r="AR1114" s="767">
        <v>13.108223892138618</v>
      </c>
      <c r="AS1114" s="767">
        <v>13.108223892138618</v>
      </c>
      <c r="AT1114" s="2"/>
      <c r="AU1114" s="2"/>
    </row>
    <row r="1115" spans="1:47" hidden="1" outlineLevel="1">
      <c r="A1115" s="2"/>
      <c r="B1115" s="55" t="s">
        <v>614</v>
      </c>
      <c r="C1115" s="38" t="s">
        <v>733</v>
      </c>
      <c r="D1115" s="38"/>
      <c r="E1115" s="38"/>
      <c r="F1115" s="38"/>
      <c r="G1115" s="38"/>
      <c r="H1115" s="38"/>
      <c r="I1115" s="38"/>
      <c r="J1115" s="38"/>
      <c r="K1115" s="780">
        <v>0.02</v>
      </c>
      <c r="L1115" s="781">
        <v>0.02</v>
      </c>
      <c r="M1115" s="781">
        <v>0.02</v>
      </c>
      <c r="N1115" s="781">
        <v>0.02</v>
      </c>
      <c r="O1115" s="781">
        <v>0.02</v>
      </c>
      <c r="P1115" s="781">
        <v>0.02</v>
      </c>
      <c r="Q1115" s="781">
        <v>0.02</v>
      </c>
      <c r="R1115" s="781">
        <v>0.02</v>
      </c>
      <c r="S1115" s="780">
        <v>0.05</v>
      </c>
      <c r="T1115" s="780">
        <v>0.122</v>
      </c>
      <c r="U1115" s="780">
        <v>0.08</v>
      </c>
      <c r="V1115" s="781">
        <v>0.08</v>
      </c>
      <c r="W1115" s="781">
        <v>0.08</v>
      </c>
      <c r="X1115" s="780">
        <v>0.03</v>
      </c>
      <c r="Y1115" s="781">
        <v>0.03</v>
      </c>
      <c r="Z1115" s="780">
        <v>0.01</v>
      </c>
      <c r="AA1115" s="781">
        <v>0.01</v>
      </c>
      <c r="AB1115" s="781">
        <v>0.01</v>
      </c>
      <c r="AC1115" s="781">
        <v>0.01</v>
      </c>
      <c r="AD1115" s="781">
        <v>0.01</v>
      </c>
      <c r="AE1115" s="781">
        <v>0.01</v>
      </c>
      <c r="AF1115" s="781">
        <v>0.01</v>
      </c>
      <c r="AG1115" s="781">
        <v>0.01</v>
      </c>
      <c r="AH1115" s="781">
        <v>0.01</v>
      </c>
      <c r="AI1115" s="781">
        <v>0.01</v>
      </c>
      <c r="AJ1115" s="781">
        <v>0.01</v>
      </c>
      <c r="AK1115" s="781">
        <v>0.01</v>
      </c>
      <c r="AL1115" s="781">
        <v>0.01</v>
      </c>
      <c r="AM1115" s="781">
        <v>0.01</v>
      </c>
      <c r="AN1115" s="781">
        <v>0.01</v>
      </c>
      <c r="AO1115" s="781">
        <v>0.01</v>
      </c>
      <c r="AP1115" s="781">
        <v>0.01</v>
      </c>
      <c r="AQ1115" s="781">
        <v>0.01</v>
      </c>
      <c r="AR1115" s="781">
        <v>0.01</v>
      </c>
      <c r="AS1115" s="781">
        <v>0.01</v>
      </c>
      <c r="AT1115" s="2"/>
      <c r="AU1115" s="2"/>
    </row>
    <row r="1116" spans="1:47" hidden="1" outlineLevel="1">
      <c r="A1116" s="2"/>
      <c r="B1116" s="2" t="s">
        <v>933</v>
      </c>
      <c r="C1116" s="38" t="s">
        <v>846</v>
      </c>
      <c r="D1116" s="38"/>
      <c r="E1116" s="38"/>
      <c r="F1116" s="38"/>
      <c r="G1116" s="38"/>
      <c r="H1116" s="38"/>
      <c r="I1116" s="38"/>
      <c r="J1116" s="38"/>
      <c r="K1116" s="570">
        <v>430.55409140624988</v>
      </c>
      <c r="L1116" s="19">
        <v>472.51096865156234</v>
      </c>
      <c r="M1116" s="19">
        <v>487.77595308210914</v>
      </c>
      <c r="N1116" s="19">
        <v>483.34093125549578</v>
      </c>
      <c r="O1116" s="19">
        <v>518.49839389838667</v>
      </c>
      <c r="P1116" s="19">
        <v>605.68487938910675</v>
      </c>
      <c r="Q1116" s="19">
        <v>673.30334967024623</v>
      </c>
      <c r="R1116" s="19">
        <v>742.47317439945255</v>
      </c>
      <c r="S1116" s="19">
        <v>793.99762523044399</v>
      </c>
      <c r="T1116" s="19">
        <v>822.64292110128895</v>
      </c>
      <c r="U1116" s="19">
        <v>866.29433647931955</v>
      </c>
      <c r="V1116" s="19">
        <v>879.74737793993961</v>
      </c>
      <c r="W1116" s="19">
        <v>872.70939891642001</v>
      </c>
      <c r="X1116" s="19">
        <v>877.8965873115859</v>
      </c>
      <c r="Y1116" s="19">
        <v>882.15568956685991</v>
      </c>
      <c r="Z1116" s="19">
        <v>895.2772013312715</v>
      </c>
      <c r="AA1116" s="19">
        <v>931.08828938452234</v>
      </c>
      <c r="AB1116" s="19">
        <v>954.09164712225765</v>
      </c>
      <c r="AC1116" s="19">
        <v>968.42675545215434</v>
      </c>
      <c r="AD1116" s="19">
        <v>978.01513916950239</v>
      </c>
      <c r="AE1116" s="19">
        <v>978.01513916950239</v>
      </c>
      <c r="AF1116" s="19">
        <v>978.01513916950239</v>
      </c>
      <c r="AG1116" s="19">
        <v>978.01513916950239</v>
      </c>
      <c r="AH1116" s="19">
        <v>978.01513916950239</v>
      </c>
      <c r="AI1116" s="19">
        <v>978.01513916950239</v>
      </c>
      <c r="AJ1116" s="19">
        <v>978.01513916950239</v>
      </c>
      <c r="AK1116" s="19">
        <v>978.01513916950239</v>
      </c>
      <c r="AL1116" s="19">
        <v>978.01513916950239</v>
      </c>
      <c r="AM1116" s="19">
        <v>978.01513916950239</v>
      </c>
      <c r="AN1116" s="19">
        <v>978.01513916950239</v>
      </c>
      <c r="AO1116" s="19">
        <v>978.01513916950239</v>
      </c>
      <c r="AP1116" s="19">
        <v>978.01513916950239</v>
      </c>
      <c r="AQ1116" s="19">
        <v>978.01513916950239</v>
      </c>
      <c r="AR1116" s="19">
        <v>978.01513916950239</v>
      </c>
      <c r="AS1116" s="19">
        <v>978.01513916950239</v>
      </c>
      <c r="AT1116" s="2"/>
      <c r="AU1116" s="2"/>
    </row>
    <row r="1117" spans="1:47" hidden="1" outlineLevel="1">
      <c r="A1117" s="2"/>
      <c r="B1117" s="2" t="s">
        <v>934</v>
      </c>
      <c r="C1117" s="38" t="s">
        <v>732</v>
      </c>
      <c r="D1117" s="38"/>
      <c r="E1117" s="38"/>
      <c r="F1117" s="38"/>
      <c r="G1117" s="38"/>
      <c r="H1117" s="38"/>
      <c r="I1117" s="38"/>
      <c r="J1117" s="38"/>
      <c r="K1117" s="566">
        <v>31.619892472874991</v>
      </c>
      <c r="L1117" s="3">
        <v>35.395229648526154</v>
      </c>
      <c r="M1117" s="3">
        <v>37.269485540521842</v>
      </c>
      <c r="N1117" s="3">
        <v>37.669231312941449</v>
      </c>
      <c r="O1117" s="3">
        <v>41.217416869913336</v>
      </c>
      <c r="P1117" s="3">
        <v>49.111167534081162</v>
      </c>
      <c r="Q1117" s="3">
        <v>55.685801357745369</v>
      </c>
      <c r="R1117" s="3">
        <v>62.634647514790785</v>
      </c>
      <c r="S1117" s="3">
        <v>70.33028431676469</v>
      </c>
      <c r="T1117" s="3">
        <v>81.7574601666078</v>
      </c>
      <c r="U1117" s="3">
        <v>92.983364618813752</v>
      </c>
      <c r="V1117" s="3">
        <v>101.98152890126688</v>
      </c>
      <c r="W1117" s="3">
        <v>109.25893080366129</v>
      </c>
      <c r="X1117" s="3">
        <v>113.20559155555064</v>
      </c>
      <c r="Y1117" s="3">
        <v>117.16745100576256</v>
      </c>
      <c r="Z1117" s="3">
        <v>120.09934567424645</v>
      </c>
      <c r="AA1117" s="3">
        <v>126.15235269622849</v>
      </c>
      <c r="AB1117" s="3">
        <v>130.56174845929314</v>
      </c>
      <c r="AC1117" s="3">
        <v>133.8486567157793</v>
      </c>
      <c r="AD1117" s="3">
        <v>136.52562985009487</v>
      </c>
      <c r="AE1117" s="3">
        <v>137.89088614859583</v>
      </c>
      <c r="AF1117" s="3">
        <v>139.26979501008179</v>
      </c>
      <c r="AG1117" s="3">
        <v>140.66249296018262</v>
      </c>
      <c r="AH1117" s="3">
        <v>142.06911788978445</v>
      </c>
      <c r="AI1117" s="3">
        <v>143.48980906868232</v>
      </c>
      <c r="AJ1117" s="3">
        <v>144.92470715936912</v>
      </c>
      <c r="AK1117" s="3">
        <v>146.37395423096282</v>
      </c>
      <c r="AL1117" s="3">
        <v>147.83769377327243</v>
      </c>
      <c r="AM1117" s="3">
        <v>149.31607071100518</v>
      </c>
      <c r="AN1117" s="3">
        <v>150.80923141811525</v>
      </c>
      <c r="AO1117" s="3">
        <v>152.31732373229639</v>
      </c>
      <c r="AP1117" s="3">
        <v>153.84049696961935</v>
      </c>
      <c r="AQ1117" s="3">
        <v>153.84049696961935</v>
      </c>
      <c r="AR1117" s="3">
        <v>153.84049696961935</v>
      </c>
      <c r="AS1117" s="3">
        <v>153.84049696961935</v>
      </c>
      <c r="AT1117" s="2"/>
      <c r="AU1117" s="2"/>
    </row>
    <row r="1118" spans="1:47" hidden="1" outlineLevel="1">
      <c r="A1118" s="2"/>
      <c r="B1118" s="55" t="s">
        <v>614</v>
      </c>
      <c r="C1118" s="38" t="s">
        <v>733</v>
      </c>
      <c r="D1118" s="38"/>
      <c r="E1118" s="38"/>
      <c r="F1118" s="38"/>
      <c r="G1118" s="38"/>
      <c r="H1118" s="38"/>
      <c r="I1118" s="38"/>
      <c r="J1118" s="38"/>
      <c r="K1118" s="779">
        <v>0.20606492034108648</v>
      </c>
      <c r="L1118" s="752">
        <v>0.11939753365353223</v>
      </c>
      <c r="M1118" s="752">
        <v>5.295221730744526E-2</v>
      </c>
      <c r="N1118" s="752">
        <v>1.0725819437056083E-2</v>
      </c>
      <c r="O1118" s="752">
        <v>9.4193203134274928E-2</v>
      </c>
      <c r="P1118" s="752">
        <v>0.19151492896998779</v>
      </c>
      <c r="Q1118" s="752">
        <v>0.13387248061455015</v>
      </c>
      <c r="R1118" s="752">
        <v>0.12478667788945974</v>
      </c>
      <c r="S1118" s="752">
        <v>0.12286549230051347</v>
      </c>
      <c r="T1118" s="752">
        <v>0.16247873815461311</v>
      </c>
      <c r="U1118" s="752">
        <v>0.13730740203193048</v>
      </c>
      <c r="V1118" s="752">
        <v>9.6771764705882557E-2</v>
      </c>
      <c r="W1118" s="752">
        <v>7.1359999999999868E-2</v>
      </c>
      <c r="X1118" s="752">
        <v>3.6122088353413684E-2</v>
      </c>
      <c r="Y1118" s="752">
        <v>3.499702970297025E-2</v>
      </c>
      <c r="Z1118" s="752">
        <v>2.5023115577889499E-2</v>
      </c>
      <c r="AA1118" s="752">
        <v>5.0400000000000222E-2</v>
      </c>
      <c r="AB1118" s="752">
        <v>3.4952941176470631E-2</v>
      </c>
      <c r="AC1118" s="752">
        <v>2.5175124378109537E-2</v>
      </c>
      <c r="AD1118" s="752">
        <v>2.0000000000000018E-2</v>
      </c>
      <c r="AE1118" s="752">
        <v>1.0000000000000009E-2</v>
      </c>
      <c r="AF1118" s="752">
        <v>1.0000000000000009E-2</v>
      </c>
      <c r="AG1118" s="752">
        <v>1.0000000000000009E-2</v>
      </c>
      <c r="AH1118" s="752">
        <v>1.0000000000000009E-2</v>
      </c>
      <c r="AI1118" s="752">
        <v>1.0000000000000231E-2</v>
      </c>
      <c r="AJ1118" s="752">
        <v>9.9999999999997868E-3</v>
      </c>
      <c r="AK1118" s="752">
        <v>1.0000000000000009E-2</v>
      </c>
      <c r="AL1118" s="752">
        <v>9.9999999999997868E-3</v>
      </c>
      <c r="AM1118" s="752">
        <v>1.0000000000000231E-2</v>
      </c>
      <c r="AN1118" s="752">
        <v>1.0000000000000009E-2</v>
      </c>
      <c r="AO1118" s="752">
        <v>1.0000000000000009E-2</v>
      </c>
      <c r="AP1118" s="752">
        <v>1.0000000000000009E-2</v>
      </c>
      <c r="AQ1118" s="752">
        <v>1.0000000000000009E-2</v>
      </c>
      <c r="AR1118" s="752">
        <v>1.0000000000000009E-2</v>
      </c>
      <c r="AS1118" s="752">
        <v>1.0000000000000009E-2</v>
      </c>
      <c r="AT1118" s="2"/>
      <c r="AU1118" s="2"/>
    </row>
    <row r="1119" spans="1:47" hidden="1" outlineLevel="1">
      <c r="A1119" s="2"/>
      <c r="B1119" s="6" t="s">
        <v>935</v>
      </c>
      <c r="C1119" s="37" t="s">
        <v>732</v>
      </c>
      <c r="D1119" s="37"/>
      <c r="E1119" s="37"/>
      <c r="F1119" s="37"/>
      <c r="G1119" s="37"/>
      <c r="H1119" s="37"/>
      <c r="I1119" s="37"/>
      <c r="J1119" s="37"/>
      <c r="K1119" s="768">
        <v>41.919892472874992</v>
      </c>
      <c r="L1119" s="4">
        <v>46.004229648526156</v>
      </c>
      <c r="M1119" s="4">
        <v>48.196755540521842</v>
      </c>
      <c r="N1119" s="4">
        <v>65.669231312941449</v>
      </c>
      <c r="O1119" s="4">
        <v>91.217416869913336</v>
      </c>
      <c r="P1119" s="4">
        <v>124.11116753408116</v>
      </c>
      <c r="Q1119" s="4">
        <v>132.93580135774536</v>
      </c>
      <c r="R1119" s="4">
        <v>142.20214751479079</v>
      </c>
      <c r="S1119" s="4">
        <v>153.8761593167647</v>
      </c>
      <c r="T1119" s="4">
        <v>167.8097114166078</v>
      </c>
      <c r="U1119" s="4">
        <v>181.61718340631376</v>
      </c>
      <c r="V1119" s="4">
        <v>193.27436225239188</v>
      </c>
      <c r="W1119" s="4">
        <v>203.29054915532004</v>
      </c>
      <c r="X1119" s="4">
        <v>210.05815845775919</v>
      </c>
      <c r="Y1119" s="4">
        <v>216.92559491503735</v>
      </c>
      <c r="Z1119" s="4">
        <v>220.855071022614</v>
      </c>
      <c r="AA1119" s="4">
        <v>227.91563529807974</v>
      </c>
      <c r="AB1119" s="4">
        <v>233.34266388716287</v>
      </c>
      <c r="AC1119" s="4">
        <v>237.65738129792774</v>
      </c>
      <c r="AD1119" s="4">
        <v>241.3724416780648</v>
      </c>
      <c r="AE1119" s="4">
        <v>243.78616609484544</v>
      </c>
      <c r="AF1119" s="4">
        <v>246.22402775579394</v>
      </c>
      <c r="AG1119" s="4">
        <v>248.68626803335189</v>
      </c>
      <c r="AH1119" s="4">
        <v>251.1731307136854</v>
      </c>
      <c r="AI1119" s="4">
        <v>253.68486202082229</v>
      </c>
      <c r="AJ1119" s="4">
        <v>256.22171064103048</v>
      </c>
      <c r="AK1119" s="4">
        <v>258.78392774744083</v>
      </c>
      <c r="AL1119" s="4">
        <v>261.37176702491519</v>
      </c>
      <c r="AM1119" s="4">
        <v>263.98548469516436</v>
      </c>
      <c r="AN1119" s="4">
        <v>266.62533954211602</v>
      </c>
      <c r="AO1119" s="4">
        <v>269.29159293753719</v>
      </c>
      <c r="AP1119" s="4">
        <v>271.98450886691256</v>
      </c>
      <c r="AQ1119" s="4">
        <v>271.98450886691256</v>
      </c>
      <c r="AR1119" s="4">
        <v>271.98450886691256</v>
      </c>
      <c r="AS1119" s="4">
        <v>271.98450886691256</v>
      </c>
      <c r="AT1119" s="2"/>
      <c r="AU1119" s="2"/>
    </row>
    <row r="1120" spans="1:47" hidden="1" outlineLevel="1">
      <c r="A1120" s="2"/>
      <c r="B1120" s="55" t="s">
        <v>614</v>
      </c>
      <c r="C1120" s="38" t="s">
        <v>733</v>
      </c>
      <c r="D1120" s="38"/>
      <c r="E1120" s="38"/>
      <c r="F1120" s="38"/>
      <c r="G1120" s="38"/>
      <c r="H1120" s="38"/>
      <c r="I1120" s="38"/>
      <c r="J1120" s="38"/>
      <c r="K1120" s="779">
        <v>0.15745157536480048</v>
      </c>
      <c r="L1120" s="752">
        <v>9.743195735280108E-2</v>
      </c>
      <c r="M1120" s="752">
        <v>4.7659224135403466E-2</v>
      </c>
      <c r="N1120" s="752">
        <v>0.36252389972037569</v>
      </c>
      <c r="O1120" s="752">
        <v>0.38904346900642195</v>
      </c>
      <c r="P1120" s="752">
        <v>0.36060822365840672</v>
      </c>
      <c r="Q1120" s="752">
        <v>7.1102657391736601E-2</v>
      </c>
      <c r="R1120" s="752">
        <v>6.9705422184266563E-2</v>
      </c>
      <c r="S1120" s="752">
        <v>8.2094483142455044E-2</v>
      </c>
      <c r="T1120" s="752">
        <v>9.0550428095621527E-2</v>
      </c>
      <c r="U1120" s="752">
        <v>8.2280529971398675E-2</v>
      </c>
      <c r="V1120" s="752">
        <v>6.4185440096814483E-2</v>
      </c>
      <c r="W1120" s="752">
        <v>5.1823670693831092E-2</v>
      </c>
      <c r="X1120" s="752">
        <v>3.3290329189226142E-2</v>
      </c>
      <c r="Y1120" s="752">
        <v>3.2693024197196996E-2</v>
      </c>
      <c r="Z1120" s="752">
        <v>1.8114395902040448E-2</v>
      </c>
      <c r="AA1120" s="752">
        <v>3.1969219646049263E-2</v>
      </c>
      <c r="AB1120" s="752">
        <v>2.3811567740779971E-2</v>
      </c>
      <c r="AC1120" s="752">
        <v>1.8490906630136639E-2</v>
      </c>
      <c r="AD1120" s="752">
        <v>1.5632000823403214E-2</v>
      </c>
      <c r="AE1120" s="752">
        <v>1.0000000000000009E-2</v>
      </c>
      <c r="AF1120" s="752">
        <v>1.0000000000000231E-2</v>
      </c>
      <c r="AG1120" s="752">
        <v>1.0000000000000009E-2</v>
      </c>
      <c r="AH1120" s="752">
        <v>1.0000000000000009E-2</v>
      </c>
      <c r="AI1120" s="752">
        <v>1.0000000000000231E-2</v>
      </c>
      <c r="AJ1120" s="752">
        <v>9.9999999999997868E-3</v>
      </c>
      <c r="AK1120" s="752">
        <v>1.0000000000000231E-2</v>
      </c>
      <c r="AL1120" s="752">
        <v>9.9999999999997868E-3</v>
      </c>
      <c r="AM1120" s="752">
        <v>1.0000000000000009E-2</v>
      </c>
      <c r="AN1120" s="752">
        <v>1.0000000000000009E-2</v>
      </c>
      <c r="AO1120" s="752">
        <v>1.0000000000000009E-2</v>
      </c>
      <c r="AP1120" s="752">
        <v>1.0000000000000009E-2</v>
      </c>
      <c r="AQ1120" s="752">
        <v>1.0000000000000009E-2</v>
      </c>
      <c r="AR1120" s="752">
        <v>1.0000000000000009E-2</v>
      </c>
      <c r="AS1120" s="752">
        <v>1.0000000000000009E-2</v>
      </c>
      <c r="AT1120" s="2"/>
      <c r="AU1120" s="2"/>
    </row>
    <row r="1121" spans="1:47" hidden="1" outlineLevel="1">
      <c r="A1121" s="2"/>
      <c r="B1121" s="55"/>
      <c r="C1121" s="38"/>
      <c r="D1121" s="38"/>
      <c r="E1121" s="38"/>
      <c r="F1121" s="38"/>
      <c r="G1121" s="38"/>
      <c r="H1121" s="38"/>
      <c r="I1121" s="38"/>
      <c r="J1121" s="38"/>
      <c r="K1121" s="752"/>
      <c r="L1121" s="752"/>
      <c r="M1121" s="752"/>
      <c r="N1121" s="752"/>
      <c r="O1121" s="752"/>
      <c r="P1121" s="752"/>
      <c r="Q1121" s="752"/>
      <c r="R1121" s="752"/>
      <c r="S1121" s="752"/>
      <c r="T1121" s="6"/>
      <c r="U1121" s="752"/>
      <c r="V1121" s="752"/>
      <c r="W1121" s="752"/>
      <c r="X1121" s="752"/>
      <c r="Y1121" s="752"/>
      <c r="Z1121" s="752"/>
      <c r="AA1121" s="752"/>
      <c r="AB1121" s="752"/>
      <c r="AC1121" s="752"/>
      <c r="AD1121" s="752"/>
      <c r="AE1121" s="752"/>
      <c r="AF1121" s="752"/>
      <c r="AG1121" s="752"/>
      <c r="AH1121" s="752"/>
      <c r="AI1121" s="752"/>
      <c r="AJ1121" s="752"/>
      <c r="AK1121" s="752"/>
      <c r="AL1121" s="752"/>
      <c r="AM1121" s="752"/>
      <c r="AN1121" s="752"/>
      <c r="AO1121" s="752"/>
      <c r="AP1121" s="752"/>
      <c r="AQ1121" s="752"/>
      <c r="AR1121" s="752"/>
      <c r="AS1121" s="752"/>
      <c r="AT1121" s="2"/>
      <c r="AU1121" s="2"/>
    </row>
    <row r="1122" spans="1:47" hidden="1" outlineLevel="1">
      <c r="A1122" s="2"/>
      <c r="B1122" s="25"/>
      <c r="C1122" s="40"/>
      <c r="D1122" s="40"/>
      <c r="E1122" s="40"/>
      <c r="F1122" s="40"/>
      <c r="G1122" s="40"/>
      <c r="H1122" s="40"/>
      <c r="I1122" s="40"/>
      <c r="J1122" s="40"/>
      <c r="K1122" s="41"/>
      <c r="L1122" s="41"/>
      <c r="M1122" s="41"/>
      <c r="N1122" s="41"/>
      <c r="O1122" s="41"/>
      <c r="P1122" s="41"/>
      <c r="Q1122" s="41"/>
      <c r="R1122" s="41"/>
      <c r="S1122" s="41"/>
      <c r="T1122" s="41"/>
      <c r="U1122" s="41"/>
      <c r="V1122" s="41"/>
      <c r="W1122" s="41"/>
      <c r="X1122" s="41"/>
      <c r="Y1122" s="41"/>
      <c r="Z1122" s="41"/>
      <c r="AA1122" s="41"/>
      <c r="AB1122" s="41"/>
      <c r="AC1122" s="41"/>
      <c r="AD1122" s="41"/>
      <c r="AE1122" s="41"/>
      <c r="AF1122" s="41"/>
      <c r="AG1122" s="41"/>
      <c r="AH1122" s="41"/>
      <c r="AI1122" s="41"/>
      <c r="AJ1122" s="41"/>
      <c r="AK1122" s="41"/>
      <c r="AL1122" s="41"/>
      <c r="AM1122" s="41"/>
      <c r="AN1122" s="41"/>
      <c r="AO1122" s="41"/>
      <c r="AP1122" s="41"/>
      <c r="AQ1122" s="41"/>
      <c r="AR1122" s="41"/>
      <c r="AS1122" s="41"/>
      <c r="AT1122" s="2"/>
      <c r="AU1122" s="2"/>
    </row>
    <row r="1123" spans="1:47" hidden="1" outlineLevel="1">
      <c r="A1123" s="2"/>
      <c r="B1123" s="2" t="s">
        <v>936</v>
      </c>
      <c r="C1123" s="18"/>
      <c r="D1123" s="18"/>
      <c r="E1123" s="18"/>
      <c r="F1123" s="18"/>
      <c r="G1123" s="18"/>
      <c r="H1123" s="18"/>
      <c r="I1123" s="18"/>
      <c r="J1123" s="18"/>
      <c r="K1123" s="6"/>
      <c r="L1123" s="6"/>
      <c r="M1123" s="6"/>
      <c r="N1123" s="6"/>
      <c r="O1123" s="6"/>
      <c r="P1123" s="6"/>
      <c r="Q1123" s="6"/>
      <c r="R1123" s="6"/>
      <c r="S1123" s="6"/>
      <c r="T1123" s="6"/>
      <c r="U1123" s="6"/>
      <c r="V1123" s="6"/>
      <c r="W1123" s="6"/>
      <c r="X1123" s="6"/>
      <c r="Y1123" s="6"/>
      <c r="Z1123" s="6"/>
      <c r="AA1123" s="6"/>
      <c r="AB1123" s="6"/>
      <c r="AC1123" s="6"/>
      <c r="AD1123" s="6"/>
      <c r="AE1123" s="6"/>
      <c r="AF1123" s="6"/>
      <c r="AG1123" s="6"/>
      <c r="AH1123" s="6"/>
      <c r="AI1123" s="6"/>
      <c r="AJ1123" s="6"/>
      <c r="AK1123" s="6"/>
      <c r="AL1123" s="6"/>
      <c r="AM1123" s="6"/>
      <c r="AN1123" s="6"/>
      <c r="AO1123" s="6"/>
      <c r="AP1123" s="6"/>
      <c r="AQ1123" s="6"/>
      <c r="AR1123" s="6"/>
      <c r="AS1123" s="6"/>
      <c r="AT1123" s="2"/>
      <c r="AU1123" s="2"/>
    </row>
    <row r="1124" spans="1:47" hidden="1" outlineLevel="1">
      <c r="A1124" s="2"/>
      <c r="B1124" s="2" t="s">
        <v>937</v>
      </c>
      <c r="C1124" s="38" t="s">
        <v>846</v>
      </c>
      <c r="D1124" s="38"/>
      <c r="E1124" s="38"/>
      <c r="F1124" s="38"/>
      <c r="G1124" s="38"/>
      <c r="H1124" s="38"/>
      <c r="I1124" s="38"/>
      <c r="J1124" s="38"/>
      <c r="K1124" s="570">
        <v>194.66853297656243</v>
      </c>
      <c r="L1124" s="19">
        <v>194.34435586291394</v>
      </c>
      <c r="M1124" s="19">
        <v>116.26812592267484</v>
      </c>
      <c r="N1124" s="19">
        <v>107.92988266512366</v>
      </c>
      <c r="O1124" s="19">
        <v>171.71657702368671</v>
      </c>
      <c r="P1124" s="19">
        <v>186.83883676782892</v>
      </c>
      <c r="Q1124" s="19">
        <v>133.51330465665066</v>
      </c>
      <c r="R1124" s="19">
        <v>189.16955353341163</v>
      </c>
      <c r="S1124" s="19">
        <v>106.92237347242887</v>
      </c>
      <c r="T1124" s="19">
        <v>159.19553383672744</v>
      </c>
      <c r="U1124" s="19">
        <v>118.90314422265172</v>
      </c>
      <c r="V1124" s="19">
        <v>72.429000995055276</v>
      </c>
      <c r="W1124" s="19">
        <v>63.087426427693025</v>
      </c>
      <c r="X1124" s="19">
        <v>69.536363351412746</v>
      </c>
      <c r="Y1124" s="19">
        <v>35.4635453092205</v>
      </c>
      <c r="Z1124" s="19">
        <v>70.217819712256585</v>
      </c>
      <c r="AA1124" s="19">
        <v>63.898215938153506</v>
      </c>
      <c r="AB1124" s="19">
        <v>47.46724612548546</v>
      </c>
      <c r="AC1124" s="19">
        <v>47.941918586740314</v>
      </c>
      <c r="AD1124" s="19">
        <v>19.56030278339005</v>
      </c>
      <c r="AE1124" s="19">
        <v>19.56030278339005</v>
      </c>
      <c r="AF1124" s="19">
        <v>19.56030278339005</v>
      </c>
      <c r="AG1124" s="19">
        <v>19.56030278339005</v>
      </c>
      <c r="AH1124" s="19">
        <v>19.56030278339005</v>
      </c>
      <c r="AI1124" s="19">
        <v>19.56030278339005</v>
      </c>
      <c r="AJ1124" s="19">
        <v>19.56030278339005</v>
      </c>
      <c r="AK1124" s="19">
        <v>19.56030278339005</v>
      </c>
      <c r="AL1124" s="19">
        <v>19.56030278339005</v>
      </c>
      <c r="AM1124" s="19">
        <v>19.56030278339005</v>
      </c>
      <c r="AN1124" s="19">
        <v>19.56030278339005</v>
      </c>
      <c r="AO1124" s="19">
        <v>19.56030278339005</v>
      </c>
      <c r="AP1124" s="19">
        <v>19.56030278339005</v>
      </c>
      <c r="AQ1124" s="19">
        <v>19.56030278339005</v>
      </c>
      <c r="AR1124" s="19">
        <v>19.56030278339005</v>
      </c>
      <c r="AS1124" s="19">
        <v>19.56030278339005</v>
      </c>
      <c r="AT1124" s="2"/>
      <c r="AU1124" s="2"/>
    </row>
    <row r="1125" spans="1:47" hidden="1" outlineLevel="1">
      <c r="A1125" s="2"/>
      <c r="B1125" s="2" t="s">
        <v>938</v>
      </c>
      <c r="C1125" s="38" t="s">
        <v>35</v>
      </c>
      <c r="D1125" s="38"/>
      <c r="E1125" s="38"/>
      <c r="F1125" s="38"/>
      <c r="G1125" s="38"/>
      <c r="H1125" s="38"/>
      <c r="I1125" s="38"/>
      <c r="J1125" s="38"/>
      <c r="K1125" s="772">
        <v>140.08000000000001</v>
      </c>
      <c r="L1125" s="773">
        <v>144.28240000000002</v>
      </c>
      <c r="M1125" s="773">
        <v>148.61087200000003</v>
      </c>
      <c r="N1125" s="773">
        <v>153.06919816000004</v>
      </c>
      <c r="O1125" s="773">
        <v>327.66127410480004</v>
      </c>
      <c r="P1125" s="773">
        <v>344.04433781004008</v>
      </c>
      <c r="Q1125" s="773">
        <v>361.24655470054211</v>
      </c>
      <c r="R1125" s="773">
        <v>361.24655470054211</v>
      </c>
      <c r="S1125" s="773">
        <v>397.37121017059633</v>
      </c>
      <c r="T1125" s="773">
        <v>397.37121017059633</v>
      </c>
      <c r="U1125" s="773">
        <v>523.13919818959005</v>
      </c>
      <c r="V1125" s="773">
        <v>601.61007791802854</v>
      </c>
      <c r="W1125" s="773">
        <v>631.69058181392995</v>
      </c>
      <c r="X1125" s="773">
        <v>694.85963999532305</v>
      </c>
      <c r="Y1125" s="773">
        <v>764.34560399485542</v>
      </c>
      <c r="Z1125" s="773">
        <v>802.56288419459827</v>
      </c>
      <c r="AA1125" s="773">
        <v>842.69102840432822</v>
      </c>
      <c r="AB1125" s="773">
        <v>884.82557982454466</v>
      </c>
      <c r="AC1125" s="773">
        <v>929.06685881577198</v>
      </c>
      <c r="AD1125" s="773">
        <v>975.5202017565606</v>
      </c>
      <c r="AE1125" s="773">
        <v>1024.2962118443886</v>
      </c>
      <c r="AF1125" s="773">
        <v>1075.5110224366081</v>
      </c>
      <c r="AG1125" s="773">
        <v>1129.2865735584385</v>
      </c>
      <c r="AH1125" s="773">
        <v>1185.7509022363604</v>
      </c>
      <c r="AI1125" s="773">
        <v>1245.0384473481784</v>
      </c>
      <c r="AJ1125" s="773">
        <v>1307.2903697155873</v>
      </c>
      <c r="AK1125" s="773">
        <v>1372.6548882013667</v>
      </c>
      <c r="AL1125" s="773">
        <v>1441.2876326114351</v>
      </c>
      <c r="AM1125" s="773">
        <v>1513.352014242007</v>
      </c>
      <c r="AN1125" s="773">
        <v>1589.0196149541075</v>
      </c>
      <c r="AO1125" s="773">
        <v>1668.470595701813</v>
      </c>
      <c r="AP1125" s="773">
        <v>1751.8941254869037</v>
      </c>
      <c r="AQ1125" s="773">
        <v>1751.8941254869037</v>
      </c>
      <c r="AR1125" s="773">
        <v>1751.8941254869037</v>
      </c>
      <c r="AS1125" s="773">
        <v>1751.8941254869037</v>
      </c>
      <c r="AT1125" s="2"/>
      <c r="AU1125" s="2"/>
    </row>
    <row r="1126" spans="1:47" hidden="1" outlineLevel="1">
      <c r="A1126" s="2"/>
      <c r="B1126" s="241" t="s">
        <v>1099</v>
      </c>
      <c r="C1126" s="38" t="s">
        <v>733</v>
      </c>
      <c r="D1126" s="38"/>
      <c r="E1126" s="38"/>
      <c r="F1126" s="38"/>
      <c r="G1126" s="38"/>
      <c r="H1126" s="38"/>
      <c r="I1126" s="38"/>
      <c r="J1126" s="38"/>
      <c r="K1126" s="780">
        <v>0.03</v>
      </c>
      <c r="L1126" s="781">
        <v>0.03</v>
      </c>
      <c r="M1126" s="781">
        <v>0.03</v>
      </c>
      <c r="N1126" s="781">
        <v>0.03</v>
      </c>
      <c r="O1126" s="781">
        <v>0.03</v>
      </c>
      <c r="P1126" s="780">
        <v>0.05</v>
      </c>
      <c r="Q1126" s="780">
        <v>0.05</v>
      </c>
      <c r="R1126" s="780">
        <v>0</v>
      </c>
      <c r="S1126" s="780">
        <v>0.1</v>
      </c>
      <c r="T1126" s="780">
        <v>0</v>
      </c>
      <c r="U1126" s="780">
        <v>0.3165</v>
      </c>
      <c r="V1126" s="780">
        <v>0.15</v>
      </c>
      <c r="W1126" s="780">
        <v>0.05</v>
      </c>
      <c r="X1126" s="780">
        <v>0.1</v>
      </c>
      <c r="Y1126" s="780">
        <v>0.1</v>
      </c>
      <c r="Z1126" s="780">
        <v>0.05</v>
      </c>
      <c r="AA1126" s="781">
        <v>0.05</v>
      </c>
      <c r="AB1126" s="781">
        <v>0.05</v>
      </c>
      <c r="AC1126" s="781">
        <v>0.05</v>
      </c>
      <c r="AD1126" s="781">
        <v>0.05</v>
      </c>
      <c r="AE1126" s="781">
        <v>0.05</v>
      </c>
      <c r="AF1126" s="781">
        <v>0.05</v>
      </c>
      <c r="AG1126" s="781">
        <v>0.05</v>
      </c>
      <c r="AH1126" s="781">
        <v>0.05</v>
      </c>
      <c r="AI1126" s="781">
        <v>0.05</v>
      </c>
      <c r="AJ1126" s="781">
        <v>0.05</v>
      </c>
      <c r="AK1126" s="781">
        <v>0.05</v>
      </c>
      <c r="AL1126" s="781">
        <v>0.05</v>
      </c>
      <c r="AM1126" s="781">
        <v>0.05</v>
      </c>
      <c r="AN1126" s="781">
        <v>0.05</v>
      </c>
      <c r="AO1126" s="781">
        <v>0.05</v>
      </c>
      <c r="AP1126" s="781">
        <v>0.05</v>
      </c>
      <c r="AQ1126" s="781">
        <v>0.05</v>
      </c>
      <c r="AR1126" s="781">
        <v>0.05</v>
      </c>
      <c r="AS1126" s="781">
        <v>0.05</v>
      </c>
      <c r="AT1126" s="2"/>
      <c r="AU1126" s="2"/>
    </row>
    <row r="1127" spans="1:47" hidden="1" outlineLevel="1">
      <c r="A1127" s="2"/>
      <c r="B1127" s="2" t="s">
        <v>37</v>
      </c>
      <c r="C1127" s="38" t="s">
        <v>846</v>
      </c>
      <c r="D1127" s="38"/>
      <c r="E1127" s="38"/>
      <c r="F1127" s="38"/>
      <c r="G1127" s="38"/>
      <c r="H1127" s="38"/>
      <c r="I1127" s="38"/>
      <c r="J1127" s="38"/>
      <c r="K1127" s="570">
        <v>103.55210460000001</v>
      </c>
      <c r="L1127" s="19">
        <v>103.66856198999992</v>
      </c>
      <c r="M1127" s="19">
        <v>91.655155271432804</v>
      </c>
      <c r="N1127" s="19">
        <v>87.896281900781361</v>
      </c>
      <c r="O1127" s="19">
        <v>36.551950101147938</v>
      </c>
      <c r="P1127" s="19">
        <v>70.010056012706542</v>
      </c>
      <c r="Q1127" s="19">
        <v>119.85372569601589</v>
      </c>
      <c r="R1127" s="19">
        <v>119.32746965649069</v>
      </c>
      <c r="S1127" s="19">
        <v>136.39129781736887</v>
      </c>
      <c r="T1127" s="19">
        <v>114.20897685366491</v>
      </c>
      <c r="U1127" s="19">
        <v>109.67488047257442</v>
      </c>
      <c r="V1127" s="19">
        <v>105.28788525367145</v>
      </c>
      <c r="W1127" s="19">
        <v>98.575782568749901</v>
      </c>
      <c r="X1127" s="19">
        <v>36.322709727356994</v>
      </c>
      <c r="Y1127" s="19">
        <v>45.275902662315303</v>
      </c>
      <c r="Z1127" s="19">
        <v>37.587837471801748</v>
      </c>
      <c r="AA1127" s="19">
        <v>37.453098265565743</v>
      </c>
      <c r="AB1127" s="19">
        <v>30.672854580702278</v>
      </c>
      <c r="AC1127" s="19">
        <v>30.993827106674871</v>
      </c>
      <c r="AD1127" s="19">
        <v>38.63333322420209</v>
      </c>
      <c r="AE1127" s="19">
        <v>39.186636464455091</v>
      </c>
      <c r="AF1127" s="19">
        <v>39.748812135270832</v>
      </c>
      <c r="AG1127" s="19">
        <v>40.320015748918138</v>
      </c>
      <c r="AH1127" s="19">
        <v>40.900405708547822</v>
      </c>
      <c r="AI1127" s="19">
        <v>41.490143363816671</v>
      </c>
      <c r="AJ1127" s="19">
        <v>42.089393067601826</v>
      </c>
      <c r="AK1127" s="19">
        <v>42.698322233827682</v>
      </c>
      <c r="AL1127" s="19">
        <v>43.317101396426899</v>
      </c>
      <c r="AM1127" s="19">
        <v>43.945904269457372</v>
      </c>
      <c r="AN1127" s="19">
        <v>44.584907808399336</v>
      </c>
      <c r="AO1127" s="19">
        <v>45.23429227265585</v>
      </c>
      <c r="AP1127" s="19">
        <v>45.89424128927822</v>
      </c>
      <c r="AQ1127" s="19">
        <v>45.89424128927822</v>
      </c>
      <c r="AR1127" s="19">
        <v>45.89424128927822</v>
      </c>
      <c r="AS1127" s="19">
        <v>45.89424128927822</v>
      </c>
      <c r="AT1127" s="2"/>
      <c r="AU1127" s="2"/>
    </row>
    <row r="1128" spans="1:47" hidden="1" outlineLevel="1">
      <c r="A1128" s="2"/>
      <c r="B1128" s="2" t="s">
        <v>938</v>
      </c>
      <c r="C1128" s="38" t="s">
        <v>35</v>
      </c>
      <c r="D1128" s="38"/>
      <c r="E1128" s="38"/>
      <c r="F1128" s="38"/>
      <c r="G1128" s="38"/>
      <c r="H1128" s="38"/>
      <c r="I1128" s="38"/>
      <c r="J1128" s="38"/>
      <c r="K1128" s="772">
        <v>185.4</v>
      </c>
      <c r="L1128" s="773">
        <v>190.96200000000002</v>
      </c>
      <c r="M1128" s="773">
        <v>196.69086000000001</v>
      </c>
      <c r="N1128" s="773">
        <v>202.59158580000002</v>
      </c>
      <c r="O1128" s="773">
        <v>358.66933337400002</v>
      </c>
      <c r="P1128" s="773">
        <v>376.60280004270004</v>
      </c>
      <c r="Q1128" s="773">
        <v>389.78389804419453</v>
      </c>
      <c r="R1128" s="773">
        <v>409.27309294640429</v>
      </c>
      <c r="S1128" s="773">
        <v>450.20040224104474</v>
      </c>
      <c r="T1128" s="773">
        <v>450.20040224104474</v>
      </c>
      <c r="U1128" s="773">
        <v>450.20040224104474</v>
      </c>
      <c r="V1128" s="773">
        <v>585.26052291335816</v>
      </c>
      <c r="W1128" s="773">
        <v>614.5235490590261</v>
      </c>
      <c r="X1128" s="773">
        <v>737.42825887083131</v>
      </c>
      <c r="Y1128" s="773">
        <v>811.17108475791451</v>
      </c>
      <c r="Z1128" s="773">
        <v>835.506217300652</v>
      </c>
      <c r="AA1128" s="773">
        <v>860.57140381967156</v>
      </c>
      <c r="AB1128" s="773">
        <v>886.38854593426174</v>
      </c>
      <c r="AC1128" s="773">
        <v>912.98020231228963</v>
      </c>
      <c r="AD1128" s="773">
        <v>940.3696083816584</v>
      </c>
      <c r="AE1128" s="773">
        <v>968.58069663310812</v>
      </c>
      <c r="AF1128" s="773">
        <v>997.63811753210143</v>
      </c>
      <c r="AG1128" s="773">
        <v>1027.5672610580646</v>
      </c>
      <c r="AH1128" s="773">
        <v>1058.3942788898066</v>
      </c>
      <c r="AI1128" s="773">
        <v>1090.146107256501</v>
      </c>
      <c r="AJ1128" s="773">
        <v>1122.850490474196</v>
      </c>
      <c r="AK1128" s="773">
        <v>1156.536005188422</v>
      </c>
      <c r="AL1128" s="773">
        <v>1191.2320853440747</v>
      </c>
      <c r="AM1128" s="773">
        <v>1226.969047904397</v>
      </c>
      <c r="AN1128" s="773">
        <v>1263.778119341529</v>
      </c>
      <c r="AO1128" s="773">
        <v>1301.6914629217749</v>
      </c>
      <c r="AP1128" s="773">
        <v>1340.7422068094281</v>
      </c>
      <c r="AQ1128" s="773">
        <v>1340.7422068094281</v>
      </c>
      <c r="AR1128" s="773">
        <v>1340.7422068094281</v>
      </c>
      <c r="AS1128" s="773">
        <v>1340.7422068094281</v>
      </c>
      <c r="AT1128" s="2"/>
      <c r="AU1128" s="2"/>
    </row>
    <row r="1129" spans="1:47" hidden="1" outlineLevel="1">
      <c r="A1129" s="2"/>
      <c r="B1129" s="241" t="s">
        <v>1099</v>
      </c>
      <c r="C1129" s="38" t="s">
        <v>733</v>
      </c>
      <c r="D1129" s="38"/>
      <c r="E1129" s="38"/>
      <c r="F1129" s="38"/>
      <c r="G1129" s="38"/>
      <c r="H1129" s="38"/>
      <c r="I1129" s="38"/>
      <c r="J1129" s="38"/>
      <c r="K1129" s="780">
        <v>0.03</v>
      </c>
      <c r="L1129" s="781">
        <v>0.03</v>
      </c>
      <c r="M1129" s="781">
        <v>0.03</v>
      </c>
      <c r="N1129" s="781">
        <v>0.03</v>
      </c>
      <c r="O1129" s="781">
        <v>0.03</v>
      </c>
      <c r="P1129" s="780">
        <v>0.05</v>
      </c>
      <c r="Q1129" s="780">
        <v>3.5000000000000003E-2</v>
      </c>
      <c r="R1129" s="780">
        <v>0.05</v>
      </c>
      <c r="S1129" s="781">
        <v>0.1</v>
      </c>
      <c r="T1129" s="780">
        <v>0</v>
      </c>
      <c r="U1129" s="781">
        <v>0</v>
      </c>
      <c r="V1129" s="780">
        <v>0.3</v>
      </c>
      <c r="W1129" s="780">
        <v>0.05</v>
      </c>
      <c r="X1129" s="780">
        <v>0.2</v>
      </c>
      <c r="Y1129" s="780">
        <v>0.1</v>
      </c>
      <c r="Z1129" s="780">
        <v>0.03</v>
      </c>
      <c r="AA1129" s="781">
        <v>0.03</v>
      </c>
      <c r="AB1129" s="781">
        <v>0.03</v>
      </c>
      <c r="AC1129" s="781">
        <v>0.03</v>
      </c>
      <c r="AD1129" s="781">
        <v>0.03</v>
      </c>
      <c r="AE1129" s="781">
        <v>0.03</v>
      </c>
      <c r="AF1129" s="781">
        <v>0.03</v>
      </c>
      <c r="AG1129" s="781">
        <v>0.03</v>
      </c>
      <c r="AH1129" s="781">
        <v>0.03</v>
      </c>
      <c r="AI1129" s="781">
        <v>0.03</v>
      </c>
      <c r="AJ1129" s="781">
        <v>0.03</v>
      </c>
      <c r="AK1129" s="781">
        <v>0.03</v>
      </c>
      <c r="AL1129" s="781">
        <v>0.03</v>
      </c>
      <c r="AM1129" s="781">
        <v>0.03</v>
      </c>
      <c r="AN1129" s="781">
        <v>0.03</v>
      </c>
      <c r="AO1129" s="781">
        <v>0.03</v>
      </c>
      <c r="AP1129" s="781">
        <v>0.03</v>
      </c>
      <c r="AQ1129" s="781">
        <v>0.03</v>
      </c>
      <c r="AR1129" s="781">
        <v>0.03</v>
      </c>
      <c r="AS1129" s="781">
        <v>0.03</v>
      </c>
      <c r="AT1129" s="2"/>
      <c r="AU1129" s="2"/>
    </row>
    <row r="1130" spans="1:47" hidden="1" outlineLevel="1">
      <c r="A1130" s="2"/>
      <c r="B1130" s="6" t="s">
        <v>939</v>
      </c>
      <c r="C1130" s="37" t="s">
        <v>732</v>
      </c>
      <c r="D1130" s="37"/>
      <c r="E1130" s="37"/>
      <c r="F1130" s="37"/>
      <c r="G1130" s="37"/>
      <c r="H1130" s="37"/>
      <c r="I1130" s="37"/>
      <c r="J1130" s="37"/>
      <c r="K1130" s="768">
        <v>46.467728292196874</v>
      </c>
      <c r="L1130" s="4">
        <v>47.837226025089663</v>
      </c>
      <c r="M1130" s="4">
        <v>35.306438892946169</v>
      </c>
      <c r="N1130" s="4">
        <v>34.3277877332565</v>
      </c>
      <c r="O1130" s="4">
        <v>69.374935988794661</v>
      </c>
      <c r="P1130" s="4">
        <v>90.646826998517412</v>
      </c>
      <c r="Q1130" s="4">
        <v>94.948273710811605</v>
      </c>
      <c r="R1130" s="4">
        <v>117.17437204796487</v>
      </c>
      <c r="S1130" s="4">
        <v>103.89129008060912</v>
      </c>
      <c r="T1130" s="4">
        <v>114.67664925351261</v>
      </c>
      <c r="U1130" s="4">
        <v>111.5785708353507</v>
      </c>
      <c r="V1130" s="4">
        <v>105.19485971216558</v>
      </c>
      <c r="W1130" s="4">
        <v>100.42887286067199</v>
      </c>
      <c r="X1130" s="4">
        <v>75.103404996662107</v>
      </c>
      <c r="Y1130" s="4">
        <v>63.832908035159122</v>
      </c>
      <c r="Z1130" s="4">
        <v>87.75908781270175</v>
      </c>
      <c r="AA1130" s="4">
        <v>86.077518653918432</v>
      </c>
      <c r="AB1130" s="4">
        <v>69.188300547098805</v>
      </c>
      <c r="AC1130" s="4">
        <v>72.837998249268452</v>
      </c>
      <c r="AD1130" s="4">
        <v>55.411082952193105</v>
      </c>
      <c r="AE1130" s="4">
        <v>57.990963689005952</v>
      </c>
      <c r="AF1130" s="4">
        <v>60.692251358502212</v>
      </c>
      <c r="AG1130" s="4">
        <v>63.520715456953972</v>
      </c>
      <c r="AH1130" s="4">
        <v>66.48240207962013</v>
      </c>
      <c r="AI1130" s="4">
        <v>69.583647284671088</v>
      </c>
      <c r="AJ1130" s="4">
        <v>72.831091107164738</v>
      </c>
      <c r="AK1130" s="4">
        <v>76.231692254878197</v>
      </c>
      <c r="AL1130" s="4">
        <v>79.792743519361451</v>
      </c>
      <c r="AM1130" s="4">
        <v>83.521887937220754</v>
      </c>
      <c r="AN1130" s="4">
        <v>87.42713573836258</v>
      </c>
      <c r="AO1130" s="4">
        <v>91.516882119735158</v>
      </c>
      <c r="AP1130" s="4">
        <v>95.799925884997407</v>
      </c>
      <c r="AQ1130" s="4">
        <v>95.799925884997407</v>
      </c>
      <c r="AR1130" s="4">
        <v>95.799925884997407</v>
      </c>
      <c r="AS1130" s="4">
        <v>95.799925884997407</v>
      </c>
      <c r="AT1130" s="2"/>
      <c r="AU1130" s="2"/>
    </row>
    <row r="1131" spans="1:47" hidden="1" outlineLevel="1">
      <c r="A1131" s="2"/>
      <c r="B1131" s="241" t="s">
        <v>1099</v>
      </c>
      <c r="C1131" s="38" t="s">
        <v>733</v>
      </c>
      <c r="D1131" s="38"/>
      <c r="E1131" s="38"/>
      <c r="F1131" s="38"/>
      <c r="G1131" s="38"/>
      <c r="H1131" s="38"/>
      <c r="I1131" s="38"/>
      <c r="J1131" s="38"/>
      <c r="K1131" s="780">
        <v>8.8794567370968913E-3</v>
      </c>
      <c r="L1131" s="781">
        <v>2.9472018177457704E-2</v>
      </c>
      <c r="M1131" s="5">
        <v>-0.26194635795920418</v>
      </c>
      <c r="N1131" s="80">
        <v>-2.7718772846422435E-2</v>
      </c>
      <c r="O1131" s="5">
        <v>1.0209556330245175</v>
      </c>
      <c r="P1131" s="80">
        <v>0.30662213530775095</v>
      </c>
      <c r="Q1131" s="80">
        <v>4.7452810591644301E-2</v>
      </c>
      <c r="R1131" s="80">
        <v>0.23408638691892736</v>
      </c>
      <c r="S1131" s="80">
        <v>-0.11336166548362947</v>
      </c>
      <c r="T1131" s="80">
        <v>0.10381389204557134</v>
      </c>
      <c r="U1131" s="80">
        <v>-2.701577381558351E-2</v>
      </c>
      <c r="V1131" s="80">
        <v>-5.7212698418634078E-2</v>
      </c>
      <c r="W1131" s="80">
        <v>-4.530627128107112E-2</v>
      </c>
      <c r="X1131" s="80">
        <v>-0.25217317632494662</v>
      </c>
      <c r="Y1131" s="80">
        <v>-0.15006639129083288</v>
      </c>
      <c r="Z1131" s="80">
        <v>0.37482515702346042</v>
      </c>
      <c r="AA1131" s="80">
        <v>-1.9161196870826402E-2</v>
      </c>
      <c r="AB1131" s="80">
        <v>-0.19620939788847869</v>
      </c>
      <c r="AC1131" s="80">
        <v>5.2750214607239387E-2</v>
      </c>
      <c r="AD1131" s="80">
        <v>-0.23925582410209045</v>
      </c>
      <c r="AE1131" s="80">
        <v>4.6558930079722227E-2</v>
      </c>
      <c r="AF1131" s="80">
        <v>4.6581182612910776E-2</v>
      </c>
      <c r="AG1131" s="80">
        <v>4.6603380746981227E-2</v>
      </c>
      <c r="AH1131" s="80">
        <v>4.6625523679329373E-2</v>
      </c>
      <c r="AI1131" s="80">
        <v>4.6647610616368462E-2</v>
      </c>
      <c r="AJ1131" s="80">
        <v>4.6669640773616683E-2</v>
      </c>
      <c r="AK1131" s="80">
        <v>4.6691613375800856E-2</v>
      </c>
      <c r="AL1131" s="80">
        <v>4.6713527656935483E-2</v>
      </c>
      <c r="AM1131" s="80">
        <v>4.673538286040313E-2</v>
      </c>
      <c r="AN1131" s="80">
        <v>4.6757178239040798E-2</v>
      </c>
      <c r="AO1131" s="80">
        <v>4.6778913055229188E-2</v>
      </c>
      <c r="AP1131" s="80">
        <v>4.6800586580938885E-2</v>
      </c>
      <c r="AQ1131" s="80">
        <v>4.6800586580938885E-2</v>
      </c>
      <c r="AR1131" s="80">
        <v>4.6800586580938885E-2</v>
      </c>
      <c r="AS1131" s="80">
        <v>4.6800586580938885E-2</v>
      </c>
      <c r="AT1131" s="2"/>
      <c r="AU1131" s="2"/>
    </row>
    <row r="1132" spans="1:47" hidden="1" outlineLevel="1">
      <c r="A1132" s="2"/>
      <c r="B1132" s="2"/>
      <c r="C1132" s="18"/>
      <c r="D1132" s="18"/>
      <c r="E1132" s="18"/>
      <c r="F1132" s="18"/>
      <c r="G1132" s="18"/>
      <c r="H1132" s="18"/>
      <c r="I1132" s="18"/>
      <c r="J1132" s="18"/>
      <c r="K1132" s="6"/>
      <c r="L1132" s="6"/>
      <c r="M1132" s="6"/>
      <c r="N1132" s="6"/>
      <c r="O1132" s="6"/>
      <c r="P1132" s="6"/>
      <c r="Q1132" s="6"/>
      <c r="R1132" s="6"/>
      <c r="S1132" s="6"/>
      <c r="T1132" s="6"/>
      <c r="U1132" s="6"/>
      <c r="V1132" s="6"/>
      <c r="W1132" s="6"/>
      <c r="X1132" s="6"/>
      <c r="Y1132" s="6"/>
      <c r="Z1132" s="6"/>
      <c r="AA1132" s="6"/>
      <c r="AB1132" s="6"/>
      <c r="AC1132" s="6"/>
      <c r="AD1132" s="6"/>
      <c r="AE1132" s="6"/>
      <c r="AF1132" s="6"/>
      <c r="AG1132" s="6"/>
      <c r="AH1132" s="6"/>
      <c r="AI1132" s="6"/>
      <c r="AJ1132" s="6"/>
      <c r="AK1132" s="6"/>
      <c r="AL1132" s="6"/>
      <c r="AM1132" s="6"/>
      <c r="AN1132" s="6"/>
      <c r="AO1132" s="6"/>
      <c r="AP1132" s="6"/>
      <c r="AQ1132" s="6"/>
      <c r="AR1132" s="6"/>
      <c r="AS1132" s="6"/>
      <c r="AT1132" s="2"/>
      <c r="AU1132" s="2"/>
    </row>
    <row r="1133" spans="1:47" hidden="1" outlineLevel="1">
      <c r="A1133" s="2"/>
      <c r="B1133" s="2" t="s">
        <v>940</v>
      </c>
      <c r="C1133" s="18"/>
      <c r="D1133" s="18"/>
      <c r="E1133" s="18"/>
      <c r="F1133" s="18"/>
      <c r="G1133" s="18"/>
      <c r="H1133" s="18"/>
      <c r="I1133" s="18"/>
      <c r="J1133" s="18"/>
      <c r="K1133" s="6"/>
      <c r="L1133" s="6"/>
      <c r="M1133" s="6"/>
      <c r="N1133" s="6"/>
      <c r="O1133" s="6"/>
      <c r="P1133" s="6"/>
      <c r="Q1133" s="6"/>
      <c r="R1133" s="6"/>
      <c r="S1133" s="6"/>
      <c r="T1133" s="6"/>
      <c r="U1133" s="6"/>
      <c r="V1133" s="6"/>
      <c r="W1133" s="6"/>
      <c r="X1133" s="6"/>
      <c r="Y1133" s="6"/>
      <c r="Z1133" s="6"/>
      <c r="AA1133" s="6"/>
      <c r="AB1133" s="6"/>
      <c r="AC1133" s="6"/>
      <c r="AD1133" s="6"/>
      <c r="AE1133" s="6"/>
      <c r="AF1133" s="6"/>
      <c r="AG1133" s="6"/>
      <c r="AH1133" s="6"/>
      <c r="AI1133" s="6"/>
      <c r="AJ1133" s="6"/>
      <c r="AK1133" s="6"/>
      <c r="AL1133" s="6"/>
      <c r="AM1133" s="6"/>
      <c r="AN1133" s="6"/>
      <c r="AO1133" s="6"/>
      <c r="AP1133" s="6"/>
      <c r="AQ1133" s="6"/>
      <c r="AR1133" s="6"/>
      <c r="AS1133" s="6"/>
      <c r="AT1133" s="2"/>
      <c r="AU1133" s="2"/>
    </row>
    <row r="1134" spans="1:47" hidden="1" outlineLevel="1">
      <c r="A1134" s="2"/>
      <c r="B1134" s="2" t="s">
        <v>38</v>
      </c>
      <c r="C1134" s="38" t="s">
        <v>846</v>
      </c>
      <c r="D1134" s="38"/>
      <c r="E1134" s="38"/>
      <c r="F1134" s="38"/>
      <c r="G1134" s="38"/>
      <c r="H1134" s="38"/>
      <c r="I1134" s="38"/>
      <c r="J1134" s="38"/>
      <c r="K1134" s="570">
        <v>565.01404640624992</v>
      </c>
      <c r="L1134" s="19">
        <v>689.49463940156227</v>
      </c>
      <c r="M1134" s="19">
        <v>770.99333255226531</v>
      </c>
      <c r="N1134" s="19">
        <v>816.28362458009963</v>
      </c>
      <c r="O1134" s="19">
        <v>869.22659508098695</v>
      </c>
      <c r="P1134" s="19">
        <v>963.63029832118036</v>
      </c>
      <c r="Q1134" s="19">
        <v>1076.6938262485091</v>
      </c>
      <c r="R1134" s="19">
        <v>1210.8225653772174</v>
      </c>
      <c r="S1134" s="19">
        <v>1329.3209791180291</v>
      </c>
      <c r="T1134" s="19">
        <v>1412.8178089926023</v>
      </c>
      <c r="U1134" s="19">
        <v>1499.9714236541938</v>
      </c>
      <c r="V1134" s="19">
        <v>1560.8283856746266</v>
      </c>
      <c r="W1134" s="19">
        <v>1597.9455135293656</v>
      </c>
      <c r="X1134" s="19">
        <v>1627.9878813865089</v>
      </c>
      <c r="Y1134" s="19">
        <v>2392.1509897091637</v>
      </c>
      <c r="Z1134" s="19">
        <v>2405.6210130507297</v>
      </c>
      <c r="AA1134" s="19">
        <v>2453.2441862581736</v>
      </c>
      <c r="AB1134" s="19">
        <v>2495.7586893066859</v>
      </c>
      <c r="AC1134" s="19">
        <v>2526.3029101982011</v>
      </c>
      <c r="AD1134" s="19">
        <v>2556.0806457989174</v>
      </c>
      <c r="AE1134" s="19">
        <v>2580.2932812197655</v>
      </c>
      <c r="AF1134" s="19">
        <v>2604.9166826019132</v>
      </c>
      <c r="AG1134" s="19">
        <v>2629.9583303971149</v>
      </c>
      <c r="AH1134" s="19">
        <v>2655.4258473174864</v>
      </c>
      <c r="AI1134" s="19">
        <v>2681.3270011072236</v>
      </c>
      <c r="AJ1134" s="19">
        <v>2707.6697073690234</v>
      </c>
      <c r="AK1134" s="19">
        <v>2734.4620324462894</v>
      </c>
      <c r="AL1134" s="19">
        <v>2761.712196362234</v>
      </c>
      <c r="AM1134" s="19">
        <v>2789.4285758170008</v>
      </c>
      <c r="AN1134" s="19">
        <v>2817.6197072439722</v>
      </c>
      <c r="AO1134" s="19">
        <v>2846.2942899264235</v>
      </c>
      <c r="AP1134" s="19">
        <v>2875.4611891757336</v>
      </c>
      <c r="AQ1134" s="19">
        <v>2875.4611891757336</v>
      </c>
      <c r="AR1134" s="19">
        <v>2875.4611891757336</v>
      </c>
      <c r="AS1134" s="19">
        <v>2875.4611891757336</v>
      </c>
      <c r="AT1134" s="2"/>
      <c r="AU1134" s="2"/>
    </row>
    <row r="1135" spans="1:47" hidden="1" outlineLevel="1">
      <c r="A1135" s="2"/>
      <c r="B1135" s="2" t="s">
        <v>941</v>
      </c>
      <c r="C1135" s="38" t="s">
        <v>35</v>
      </c>
      <c r="D1135" s="38"/>
      <c r="E1135" s="38"/>
      <c r="F1135" s="38"/>
      <c r="G1135" s="38"/>
      <c r="H1135" s="38"/>
      <c r="I1135" s="38"/>
      <c r="J1135" s="38"/>
      <c r="K1135" s="766">
        <v>119.7</v>
      </c>
      <c r="L1135" s="767">
        <v>112.518</v>
      </c>
      <c r="M1135" s="767">
        <v>106.8921</v>
      </c>
      <c r="N1135" s="767">
        <v>101.547495</v>
      </c>
      <c r="O1135" s="767">
        <v>96.470120249999994</v>
      </c>
      <c r="P1135" s="767">
        <v>101.2936262625</v>
      </c>
      <c r="Q1135" s="767">
        <v>99.5068066952295</v>
      </c>
      <c r="R1135" s="767">
        <v>89.556126025706547</v>
      </c>
      <c r="S1135" s="767">
        <v>94.033932326991874</v>
      </c>
      <c r="T1135" s="767">
        <v>89.33223571064228</v>
      </c>
      <c r="U1135" s="767">
        <v>92.012202781961548</v>
      </c>
      <c r="V1135" s="767">
        <v>94.312507851510574</v>
      </c>
      <c r="W1135" s="767">
        <v>96.670320547798326</v>
      </c>
      <c r="X1135" s="767">
        <v>86.036585287540518</v>
      </c>
      <c r="Y1135" s="767">
        <v>86.896951140415922</v>
      </c>
      <c r="Z1135" s="767">
        <v>87.765920651820082</v>
      </c>
      <c r="AA1135" s="767">
        <v>90.398898271374691</v>
      </c>
      <c r="AB1135" s="767">
        <v>93.110865219515929</v>
      </c>
      <c r="AC1135" s="767">
        <v>95.904191176101406</v>
      </c>
      <c r="AD1135" s="767">
        <v>98.781316911384451</v>
      </c>
      <c r="AE1135" s="767">
        <v>101.74475641872598</v>
      </c>
      <c r="AF1135" s="767">
        <v>104.79709911128776</v>
      </c>
      <c r="AG1135" s="767">
        <v>107.94101208462639</v>
      </c>
      <c r="AH1135" s="767">
        <v>111.17924244716519</v>
      </c>
      <c r="AI1135" s="767">
        <v>114.51461972058016</v>
      </c>
      <c r="AJ1135" s="767">
        <v>117.95005831219757</v>
      </c>
      <c r="AK1135" s="767">
        <v>121.4885600615635</v>
      </c>
      <c r="AL1135" s="767">
        <v>125.13321686341041</v>
      </c>
      <c r="AM1135" s="767">
        <v>128.88721336931272</v>
      </c>
      <c r="AN1135" s="767">
        <v>132.75382977039212</v>
      </c>
      <c r="AO1135" s="767">
        <v>136.73644466350387</v>
      </c>
      <c r="AP1135" s="767">
        <v>140.83853800340898</v>
      </c>
      <c r="AQ1135" s="767">
        <v>140.83853800340898</v>
      </c>
      <c r="AR1135" s="767">
        <v>140.83853800340898</v>
      </c>
      <c r="AS1135" s="767">
        <v>140.83853800340898</v>
      </c>
      <c r="AT1135" s="2"/>
      <c r="AU1135" s="2"/>
    </row>
    <row r="1136" spans="1:47" hidden="1" outlineLevel="1">
      <c r="A1136" s="2"/>
      <c r="B1136" s="241" t="s">
        <v>1099</v>
      </c>
      <c r="C1136" s="38" t="s">
        <v>733</v>
      </c>
      <c r="D1136" s="38"/>
      <c r="E1136" s="38"/>
      <c r="F1136" s="38"/>
      <c r="G1136" s="38"/>
      <c r="H1136" s="38"/>
      <c r="I1136" s="38"/>
      <c r="J1136" s="38"/>
      <c r="K1136" s="709">
        <v>-0.05</v>
      </c>
      <c r="L1136" s="709">
        <v>-0.06</v>
      </c>
      <c r="M1136" s="709">
        <v>-0.05</v>
      </c>
      <c r="N1136" s="709">
        <v>-0.05</v>
      </c>
      <c r="O1136" s="5">
        <v>-0.05</v>
      </c>
      <c r="P1136" s="709">
        <v>0.05</v>
      </c>
      <c r="Q1136" s="709">
        <v>-1.7639999999999999E-2</v>
      </c>
      <c r="R1136" s="709">
        <v>-0.1</v>
      </c>
      <c r="S1136" s="709">
        <v>0.05</v>
      </c>
      <c r="T1136" s="709">
        <v>-0.05</v>
      </c>
      <c r="U1136" s="709">
        <v>0.03</v>
      </c>
      <c r="V1136" s="709">
        <v>2.5000000000000001E-2</v>
      </c>
      <c r="W1136" s="5">
        <v>2.5000000000000001E-2</v>
      </c>
      <c r="X1136" s="709">
        <v>-0.11</v>
      </c>
      <c r="Y1136" s="709">
        <v>0.01</v>
      </c>
      <c r="Z1136" s="709">
        <v>0.01</v>
      </c>
      <c r="AA1136" s="709">
        <v>0.03</v>
      </c>
      <c r="AB1136" s="5">
        <v>0.03</v>
      </c>
      <c r="AC1136" s="5">
        <v>0.03</v>
      </c>
      <c r="AD1136" s="5">
        <v>0.03</v>
      </c>
      <c r="AE1136" s="5">
        <v>0.03</v>
      </c>
      <c r="AF1136" s="5">
        <v>0.03</v>
      </c>
      <c r="AG1136" s="5">
        <v>0.03</v>
      </c>
      <c r="AH1136" s="5">
        <v>0.03</v>
      </c>
      <c r="AI1136" s="5">
        <v>0.03</v>
      </c>
      <c r="AJ1136" s="5">
        <v>0.03</v>
      </c>
      <c r="AK1136" s="5">
        <v>0.03</v>
      </c>
      <c r="AL1136" s="5">
        <v>0.03</v>
      </c>
      <c r="AM1136" s="5">
        <v>0.03</v>
      </c>
      <c r="AN1136" s="5">
        <v>0.03</v>
      </c>
      <c r="AO1136" s="5">
        <v>0.03</v>
      </c>
      <c r="AP1136" s="5">
        <v>0.03</v>
      </c>
      <c r="AQ1136" s="5">
        <v>0.03</v>
      </c>
      <c r="AR1136" s="5">
        <v>0.03</v>
      </c>
      <c r="AS1136" s="5">
        <v>0.03</v>
      </c>
      <c r="AT1136" s="2"/>
      <c r="AU1136" s="2"/>
    </row>
    <row r="1137" spans="1:47" hidden="1" outlineLevel="1">
      <c r="A1137" s="2"/>
      <c r="B1137" s="6" t="s">
        <v>942</v>
      </c>
      <c r="C1137" s="37" t="s">
        <v>732</v>
      </c>
      <c r="D1137" s="37"/>
      <c r="E1137" s="37"/>
      <c r="F1137" s="37"/>
      <c r="G1137" s="37"/>
      <c r="H1137" s="37"/>
      <c r="I1137" s="37"/>
      <c r="J1137" s="37"/>
      <c r="K1137" s="768">
        <v>67.632181354828106</v>
      </c>
      <c r="L1137" s="4">
        <v>77.58055783618498</v>
      </c>
      <c r="M1137" s="4">
        <v>82.413096402509993</v>
      </c>
      <c r="N1137" s="4">
        <v>82.891557285629546</v>
      </c>
      <c r="O1137" s="4">
        <v>83.854394151960861</v>
      </c>
      <c r="P1137" s="4">
        <v>97.60960729336702</v>
      </c>
      <c r="Q1137" s="4">
        <v>107.13836443845742</v>
      </c>
      <c r="R1137" s="4">
        <v>108.43657825969139</v>
      </c>
      <c r="S1137" s="4">
        <v>125.00127899123532</v>
      </c>
      <c r="T1137" s="4">
        <v>126.21017352912034</v>
      </c>
      <c r="U1137" s="4">
        <v>138.01567480041723</v>
      </c>
      <c r="V1137" s="4">
        <v>147.20563937879879</v>
      </c>
      <c r="W1137" s="4">
        <v>154.4739050108</v>
      </c>
      <c r="X1137" s="4">
        <v>140.06651820399279</v>
      </c>
      <c r="Y1137" s="4">
        <v>207.87062767325477</v>
      </c>
      <c r="Z1137" s="4">
        <v>211.13154294976138</v>
      </c>
      <c r="AA1137" s="4">
        <v>221.77057162839401</v>
      </c>
      <c r="AB1137" s="4">
        <v>232.38225094047058</v>
      </c>
      <c r="AC1137" s="4">
        <v>242.28303726838962</v>
      </c>
      <c r="AD1137" s="4">
        <v>252.49301232371911</v>
      </c>
      <c r="AE1137" s="4">
        <v>262.53131138658028</v>
      </c>
      <c r="AF1137" s="4">
        <v>272.98771176327961</v>
      </c>
      <c r="AG1137" s="4">
        <v>283.88036392345884</v>
      </c>
      <c r="AH1137" s="4">
        <v>295.22823407937989</v>
      </c>
      <c r="AI1137" s="4">
        <v>307.05114187831737</v>
      </c>
      <c r="AJ1137" s="4">
        <v>319.36979987434722</v>
      </c>
      <c r="AK1137" s="4">
        <v>332.20585486491609</v>
      </c>
      <c r="AL1137" s="4">
        <v>345.5819311817209</v>
      </c>
      <c r="AM1137" s="4">
        <v>359.52167602978392</v>
      </c>
      <c r="AN1137" s="4">
        <v>374.04980697316836</v>
      </c>
      <c r="AO1137" s="4">
        <v>389.19216167057147</v>
      </c>
      <c r="AP1137" s="4">
        <v>404.97574996905411</v>
      </c>
      <c r="AQ1137" s="4">
        <v>404.97574996905411</v>
      </c>
      <c r="AR1137" s="4">
        <v>404.97574996905411</v>
      </c>
      <c r="AS1137" s="4">
        <v>404.97574996905411</v>
      </c>
      <c r="AT1137" s="2"/>
      <c r="AU1137" s="2"/>
    </row>
    <row r="1138" spans="1:47" hidden="1" outlineLevel="1">
      <c r="A1138" s="2"/>
      <c r="B1138" s="241" t="s">
        <v>1099</v>
      </c>
      <c r="C1138" s="38" t="s">
        <v>733</v>
      </c>
      <c r="D1138" s="38"/>
      <c r="E1138" s="38"/>
      <c r="F1138" s="38"/>
      <c r="G1138" s="38"/>
      <c r="H1138" s="38"/>
      <c r="I1138" s="38"/>
      <c r="J1138" s="38"/>
      <c r="K1138" s="6"/>
      <c r="L1138" s="6"/>
      <c r="M1138" s="6"/>
      <c r="N1138" s="6"/>
      <c r="O1138" s="6"/>
      <c r="P1138" s="6"/>
      <c r="Q1138" s="781">
        <v>9.762109908353156E-2</v>
      </c>
      <c r="R1138" s="781">
        <v>1.2117170427589308E-2</v>
      </c>
      <c r="S1138" s="781">
        <v>0.15275934557685544</v>
      </c>
      <c r="T1138" s="781">
        <v>9.6710573494993568E-3</v>
      </c>
      <c r="U1138" s="781">
        <v>9.3538428331001455E-2</v>
      </c>
      <c r="V1138" s="781">
        <v>6.6586382971869362E-2</v>
      </c>
      <c r="W1138" s="781">
        <v>4.9374912963069617E-2</v>
      </c>
      <c r="X1138" s="781">
        <v>-9.3267447377600288E-2</v>
      </c>
      <c r="Y1138" s="781">
        <v>0.48408506428718479</v>
      </c>
      <c r="Z1138" s="781">
        <v>1.5687234473705125E-2</v>
      </c>
      <c r="AA1138" s="781">
        <v>5.0390522088706424E-2</v>
      </c>
      <c r="AB1138" s="781">
        <v>4.784980817859763E-2</v>
      </c>
      <c r="AC1138" s="781">
        <v>4.2605604721744905E-2</v>
      </c>
      <c r="AD1138" s="781">
        <v>4.2140692846026173E-2</v>
      </c>
      <c r="AE1138" s="781">
        <v>3.9756740079567754E-2</v>
      </c>
      <c r="AF1138" s="781">
        <v>3.9829155316647658E-2</v>
      </c>
      <c r="AG1138" s="781">
        <v>3.9901620808576066E-2</v>
      </c>
      <c r="AH1138" s="781">
        <v>3.9974128534584707E-2</v>
      </c>
      <c r="AI1138" s="781">
        <v>4.0046670454149558E-2</v>
      </c>
      <c r="AJ1138" s="781">
        <v>4.0119238510800459E-2</v>
      </c>
      <c r="AK1138" s="781">
        <v>4.0191824635952056E-2</v>
      </c>
      <c r="AL1138" s="781">
        <v>4.0264420752740504E-2</v>
      </c>
      <c r="AM1138" s="781">
        <v>4.0337018779876388E-2</v>
      </c>
      <c r="AN1138" s="781">
        <v>4.0409610635495863E-2</v>
      </c>
      <c r="AO1138" s="781">
        <v>4.0482188241014905E-2</v>
      </c>
      <c r="AP1138" s="781">
        <v>4.055474352498023E-2</v>
      </c>
      <c r="AQ1138" s="781">
        <v>4.055474352498023E-2</v>
      </c>
      <c r="AR1138" s="781">
        <v>4.055474352498023E-2</v>
      </c>
      <c r="AS1138" s="781">
        <v>4.055474352498023E-2</v>
      </c>
      <c r="AT1138" s="2"/>
      <c r="AU1138" s="2"/>
    </row>
    <row r="1139" spans="1:47" hidden="1" outlineLevel="1">
      <c r="A1139" s="2"/>
      <c r="B1139" s="2"/>
      <c r="C1139" s="18"/>
      <c r="D1139" s="18"/>
      <c r="E1139" s="18"/>
      <c r="F1139" s="18"/>
      <c r="G1139" s="18"/>
      <c r="H1139" s="18"/>
      <c r="I1139" s="18"/>
      <c r="J1139" s="18"/>
      <c r="K1139" s="6"/>
      <c r="L1139" s="6"/>
      <c r="M1139" s="6"/>
      <c r="N1139" s="6"/>
      <c r="O1139" s="6"/>
      <c r="P1139" s="6"/>
      <c r="Q1139" s="6"/>
      <c r="R1139" s="6"/>
      <c r="S1139" s="6"/>
      <c r="T1139" s="6"/>
      <c r="U1139" s="6"/>
      <c r="V1139" s="6"/>
      <c r="W1139" s="6"/>
      <c r="X1139" s="6"/>
      <c r="Y1139" s="6"/>
      <c r="Z1139" s="6"/>
      <c r="AA1139" s="6"/>
      <c r="AB1139" s="6"/>
      <c r="AC1139" s="6"/>
      <c r="AD1139" s="6"/>
      <c r="AE1139" s="6"/>
      <c r="AF1139" s="6"/>
      <c r="AG1139" s="6"/>
      <c r="AH1139" s="6"/>
      <c r="AI1139" s="6"/>
      <c r="AJ1139" s="6"/>
      <c r="AK1139" s="6"/>
      <c r="AL1139" s="6"/>
      <c r="AM1139" s="6"/>
      <c r="AN1139" s="6"/>
      <c r="AO1139" s="6"/>
      <c r="AP1139" s="6"/>
      <c r="AQ1139" s="6"/>
      <c r="AR1139" s="6"/>
      <c r="AS1139" s="6"/>
      <c r="AT1139" s="2"/>
      <c r="AU1139" s="2"/>
    </row>
    <row r="1140" spans="1:47" hidden="1" outlineLevel="1">
      <c r="A1140" s="2"/>
      <c r="B1140" s="2" t="s">
        <v>943</v>
      </c>
      <c r="C1140" s="18"/>
      <c r="D1140" s="18"/>
      <c r="E1140" s="18"/>
      <c r="F1140" s="18"/>
      <c r="G1140" s="18"/>
      <c r="H1140" s="18"/>
      <c r="I1140" s="18"/>
      <c r="J1140" s="18"/>
      <c r="K1140" s="6"/>
      <c r="L1140" s="6"/>
      <c r="M1140" s="6"/>
      <c r="N1140" s="6"/>
      <c r="O1140" s="6"/>
      <c r="P1140" s="6"/>
      <c r="Q1140" s="6"/>
      <c r="R1140" s="6"/>
      <c r="S1140" s="6"/>
      <c r="T1140" s="6"/>
      <c r="U1140" s="6"/>
      <c r="V1140" s="6"/>
      <c r="W1140" s="6"/>
      <c r="X1140" s="6"/>
      <c r="Y1140" s="6"/>
      <c r="Z1140" s="6"/>
      <c r="AA1140" s="6"/>
      <c r="AB1140" s="6"/>
      <c r="AC1140" s="6"/>
      <c r="AD1140" s="6"/>
      <c r="AE1140" s="6"/>
      <c r="AF1140" s="6"/>
      <c r="AG1140" s="6"/>
      <c r="AH1140" s="6"/>
      <c r="AI1140" s="6"/>
      <c r="AJ1140" s="6"/>
      <c r="AK1140" s="6"/>
      <c r="AL1140" s="6"/>
      <c r="AM1140" s="6"/>
      <c r="AN1140" s="6"/>
      <c r="AO1140" s="6"/>
      <c r="AP1140" s="6"/>
      <c r="AQ1140" s="6"/>
      <c r="AR1140" s="6"/>
      <c r="AS1140" s="6"/>
      <c r="AT1140" s="2"/>
      <c r="AU1140" s="2"/>
    </row>
    <row r="1141" spans="1:47" hidden="1" outlineLevel="1">
      <c r="A1141" s="2"/>
      <c r="B1141" s="6" t="s">
        <v>837</v>
      </c>
      <c r="C1141" s="38" t="s">
        <v>732</v>
      </c>
      <c r="D1141" s="38"/>
      <c r="E1141" s="38"/>
      <c r="F1141" s="38"/>
      <c r="G1141" s="38"/>
      <c r="H1141" s="38"/>
      <c r="I1141" s="38"/>
      <c r="J1141" s="38"/>
      <c r="K1141" s="768">
        <v>28.925062391322939</v>
      </c>
      <c r="L1141" s="4">
        <v>29.792814263062628</v>
      </c>
      <c r="M1141" s="4">
        <v>30.686598690954508</v>
      </c>
      <c r="N1141" s="4">
        <v>31.607196651683143</v>
      </c>
      <c r="O1141" s="4">
        <v>42.555412551233637</v>
      </c>
      <c r="P1141" s="4">
        <v>48.938724433918679</v>
      </c>
      <c r="Q1141" s="4">
        <v>51.385660655614615</v>
      </c>
      <c r="R1141" s="4">
        <v>51.385660655614615</v>
      </c>
      <c r="S1141" s="4">
        <v>56.524226721176078</v>
      </c>
      <c r="T1141" s="4">
        <v>54.828499919540796</v>
      </c>
      <c r="U1141" s="4">
        <v>65.245914904253539</v>
      </c>
      <c r="V1141" s="4">
        <v>71.770506394678904</v>
      </c>
      <c r="W1141" s="4">
        <v>73.20591652257248</v>
      </c>
      <c r="X1141" s="4">
        <v>79.062389844378288</v>
      </c>
      <c r="Y1141" s="4">
        <v>85.387381031928555</v>
      </c>
      <c r="Z1141" s="4">
        <v>87.095128652567126</v>
      </c>
      <c r="AA1141" s="4">
        <v>89.707982512144142</v>
      </c>
      <c r="AB1141" s="4">
        <v>92.399221987508469</v>
      </c>
      <c r="AC1141" s="4">
        <v>95.171198647133721</v>
      </c>
      <c r="AD1141" s="4">
        <v>98.026334606547735</v>
      </c>
      <c r="AE1141" s="4">
        <v>100.96712464474417</v>
      </c>
      <c r="AF1141" s="4">
        <v>103.99613838408651</v>
      </c>
      <c r="AG1141" s="4">
        <v>107.1160225356091</v>
      </c>
      <c r="AH1141" s="4">
        <v>110.32950321167738</v>
      </c>
      <c r="AI1141" s="4">
        <v>113.6393883080277</v>
      </c>
      <c r="AJ1141" s="4">
        <v>117.04856995726854</v>
      </c>
      <c r="AK1141" s="4">
        <v>120.56002705598659</v>
      </c>
      <c r="AL1141" s="4">
        <v>124.17682786766619</v>
      </c>
      <c r="AM1141" s="4">
        <v>127.90213270369618</v>
      </c>
      <c r="AN1141" s="4">
        <v>131.73919668480707</v>
      </c>
      <c r="AO1141" s="4">
        <v>135.69137258535127</v>
      </c>
      <c r="AP1141" s="4">
        <v>139.76211376291181</v>
      </c>
      <c r="AQ1141" s="4">
        <v>139.76211376291181</v>
      </c>
      <c r="AR1141" s="4">
        <v>139.76211376291181</v>
      </c>
      <c r="AS1141" s="4">
        <v>139.76211376291181</v>
      </c>
      <c r="AT1141" s="2"/>
      <c r="AU1141" s="2"/>
    </row>
    <row r="1142" spans="1:47" hidden="1" outlineLevel="1">
      <c r="A1142" s="2"/>
      <c r="B1142" s="241" t="s">
        <v>1099</v>
      </c>
      <c r="C1142" s="38" t="s">
        <v>733</v>
      </c>
      <c r="D1142" s="38"/>
      <c r="E1142" s="38"/>
      <c r="F1142" s="38"/>
      <c r="G1142" s="38"/>
      <c r="H1142" s="38"/>
      <c r="I1142" s="38"/>
      <c r="J1142" s="38"/>
      <c r="K1142" s="530">
        <v>0.06</v>
      </c>
      <c r="L1142" s="530">
        <v>0.03</v>
      </c>
      <c r="M1142" s="2">
        <v>0.03</v>
      </c>
      <c r="N1142" s="2">
        <v>0.03</v>
      </c>
      <c r="O1142" s="2">
        <v>0.03</v>
      </c>
      <c r="P1142" s="530">
        <v>0.15</v>
      </c>
      <c r="Q1142" s="530">
        <v>0.05</v>
      </c>
      <c r="R1142" s="530">
        <v>0</v>
      </c>
      <c r="S1142" s="530">
        <v>0.1</v>
      </c>
      <c r="T1142" s="530">
        <v>-0.03</v>
      </c>
      <c r="U1142" s="530">
        <v>0.19</v>
      </c>
      <c r="V1142" s="530">
        <v>0.1</v>
      </c>
      <c r="W1142" s="530">
        <v>0.02</v>
      </c>
      <c r="X1142" s="530">
        <v>0.08</v>
      </c>
      <c r="Y1142" s="2">
        <v>0.08</v>
      </c>
      <c r="Z1142" s="530">
        <v>0.02</v>
      </c>
      <c r="AA1142" s="530">
        <v>0.03</v>
      </c>
      <c r="AB1142" s="2">
        <v>0.03</v>
      </c>
      <c r="AC1142" s="2">
        <v>0.03</v>
      </c>
      <c r="AD1142" s="2">
        <v>0.03</v>
      </c>
      <c r="AE1142" s="2">
        <v>0.03</v>
      </c>
      <c r="AF1142" s="2">
        <v>0.03</v>
      </c>
      <c r="AG1142" s="2">
        <v>0.03</v>
      </c>
      <c r="AH1142" s="2">
        <v>0.03</v>
      </c>
      <c r="AI1142" s="2">
        <v>0.03</v>
      </c>
      <c r="AJ1142" s="2">
        <v>0.03</v>
      </c>
      <c r="AK1142" s="2">
        <v>0.03</v>
      </c>
      <c r="AL1142" s="2">
        <v>0.03</v>
      </c>
      <c r="AM1142" s="2">
        <v>0.03</v>
      </c>
      <c r="AN1142" s="2">
        <v>0.03</v>
      </c>
      <c r="AO1142" s="2">
        <v>0.03</v>
      </c>
      <c r="AP1142" s="2">
        <v>0.03</v>
      </c>
      <c r="AQ1142" s="2">
        <v>0.03</v>
      </c>
      <c r="AR1142" s="2">
        <v>0.03</v>
      </c>
      <c r="AS1142" s="2">
        <v>0.03</v>
      </c>
      <c r="AT1142" s="2"/>
      <c r="AU1142" s="2"/>
    </row>
    <row r="1143" spans="1:47" hidden="1" outlineLevel="1">
      <c r="A1143" s="2"/>
      <c r="B1143" s="2"/>
      <c r="C1143" s="18"/>
      <c r="D1143" s="18"/>
      <c r="E1143" s="18"/>
      <c r="F1143" s="18"/>
      <c r="G1143" s="18"/>
      <c r="H1143" s="18"/>
      <c r="I1143" s="18"/>
      <c r="J1143" s="18"/>
      <c r="K1143" s="6"/>
      <c r="L1143" s="6"/>
      <c r="M1143" s="6"/>
      <c r="N1143" s="6"/>
      <c r="O1143" s="6"/>
      <c r="P1143" s="6"/>
      <c r="Q1143" s="6"/>
      <c r="R1143" s="6"/>
      <c r="S1143" s="6"/>
      <c r="T1143" s="6"/>
      <c r="U1143" s="6"/>
      <c r="V1143" s="6"/>
      <c r="W1143" s="6"/>
      <c r="X1143" s="6"/>
      <c r="Y1143" s="6"/>
      <c r="Z1143" s="6"/>
      <c r="AA1143" s="6"/>
      <c r="AB1143" s="6"/>
      <c r="AC1143" s="6"/>
      <c r="AD1143" s="6"/>
      <c r="AE1143" s="6"/>
      <c r="AF1143" s="6"/>
      <c r="AG1143" s="6"/>
      <c r="AH1143" s="6"/>
      <c r="AI1143" s="6"/>
      <c r="AJ1143" s="6"/>
      <c r="AK1143" s="6"/>
      <c r="AL1143" s="6"/>
      <c r="AM1143" s="6"/>
      <c r="AN1143" s="6"/>
      <c r="AO1143" s="6"/>
      <c r="AP1143" s="6"/>
      <c r="AQ1143" s="6"/>
      <c r="AR1143" s="6"/>
      <c r="AS1143" s="6"/>
      <c r="AT1143" s="2"/>
      <c r="AU1143" s="2"/>
    </row>
    <row r="1144" spans="1:47" hidden="1" outlineLevel="1">
      <c r="A1144" s="2"/>
      <c r="B1144" s="2" t="s">
        <v>838</v>
      </c>
      <c r="C1144" s="18"/>
      <c r="D1144" s="18"/>
      <c r="E1144" s="18"/>
      <c r="F1144" s="18"/>
      <c r="G1144" s="18"/>
      <c r="H1144" s="18"/>
      <c r="I1144" s="18"/>
      <c r="J1144" s="18"/>
      <c r="K1144" s="6"/>
      <c r="L1144" s="6"/>
      <c r="M1144" s="6"/>
      <c r="N1144" s="6"/>
      <c r="O1144" s="6"/>
      <c r="P1144" s="6"/>
      <c r="Q1144" s="6"/>
      <c r="R1144" s="6"/>
      <c r="S1144" s="6"/>
      <c r="T1144" s="6"/>
      <c r="U1144" s="6"/>
      <c r="V1144" s="6"/>
      <c r="W1144" s="6"/>
      <c r="X1144" s="799"/>
      <c r="Y1144" s="6"/>
      <c r="Z1144" s="6"/>
      <c r="AA1144" s="6"/>
      <c r="AB1144" s="6"/>
      <c r="AC1144" s="6"/>
      <c r="AD1144" s="6"/>
      <c r="AE1144" s="6"/>
      <c r="AF1144" s="6"/>
      <c r="AG1144" s="6"/>
      <c r="AH1144" s="6"/>
      <c r="AI1144" s="6"/>
      <c r="AJ1144" s="6"/>
      <c r="AK1144" s="6"/>
      <c r="AL1144" s="6"/>
      <c r="AM1144" s="6"/>
      <c r="AN1144" s="6"/>
      <c r="AO1144" s="6"/>
      <c r="AP1144" s="6"/>
      <c r="AQ1144" s="6"/>
      <c r="AR1144" s="6"/>
      <c r="AS1144" s="6"/>
      <c r="AT1144" s="2"/>
      <c r="AU1144" s="2"/>
    </row>
    <row r="1145" spans="1:47" hidden="1" outlineLevel="1">
      <c r="A1145" s="2"/>
      <c r="B1145" s="6" t="s">
        <v>839</v>
      </c>
      <c r="C1145" s="38" t="s">
        <v>732</v>
      </c>
      <c r="D1145" s="38"/>
      <c r="E1145" s="38"/>
      <c r="F1145" s="38"/>
      <c r="G1145" s="38"/>
      <c r="H1145" s="38"/>
      <c r="I1145" s="38"/>
      <c r="J1145" s="38"/>
      <c r="K1145" s="768">
        <v>48.302100000000003</v>
      </c>
      <c r="L1145" s="4">
        <v>49.751163000000005</v>
      </c>
      <c r="M1145" s="4">
        <v>53.233744410000007</v>
      </c>
      <c r="N1145" s="4">
        <v>54.830756742300011</v>
      </c>
      <c r="O1145" s="4">
        <v>56.47567944456901</v>
      </c>
      <c r="P1145" s="4">
        <v>64.947031361254361</v>
      </c>
      <c r="Q1145" s="4">
        <v>70.142793870154719</v>
      </c>
      <c r="R1145" s="4">
        <v>69.441365931453177</v>
      </c>
      <c r="S1145" s="4">
        <v>76.385502524598508</v>
      </c>
      <c r="T1145" s="4">
        <v>68.746952272138657</v>
      </c>
      <c r="U1145" s="4">
        <v>70.809360840302816</v>
      </c>
      <c r="V1145" s="4">
        <v>77.8902969243331</v>
      </c>
      <c r="W1145" s="4">
        <v>79.448102862819766</v>
      </c>
      <c r="X1145" s="4">
        <v>81.28335403895089</v>
      </c>
      <c r="Y1145" s="4">
        <v>83.721854660119419</v>
      </c>
      <c r="Z1145" s="4">
        <v>86.233510299922997</v>
      </c>
      <c r="AA1145" s="4">
        <v>88.820515608920687</v>
      </c>
      <c r="AB1145" s="4">
        <v>91.485131077188313</v>
      </c>
      <c r="AC1145" s="4">
        <v>94.229685009503967</v>
      </c>
      <c r="AD1145" s="4">
        <v>97.056575559789096</v>
      </c>
      <c r="AE1145" s="4">
        <v>99.968272826582776</v>
      </c>
      <c r="AF1145" s="4">
        <v>102.96732101138026</v>
      </c>
      <c r="AG1145" s="4">
        <v>106.05634064172168</v>
      </c>
      <c r="AH1145" s="4">
        <v>109.23803086097332</v>
      </c>
      <c r="AI1145" s="4">
        <v>112.51517178680253</v>
      </c>
      <c r="AJ1145" s="4">
        <v>115.89062694040661</v>
      </c>
      <c r="AK1145" s="4">
        <v>119.3673457486188</v>
      </c>
      <c r="AL1145" s="4">
        <v>122.94836612107737</v>
      </c>
      <c r="AM1145" s="4">
        <v>126.63681710470969</v>
      </c>
      <c r="AN1145" s="4">
        <v>130.43592161785099</v>
      </c>
      <c r="AO1145" s="4">
        <v>134.34899926638653</v>
      </c>
      <c r="AP1145" s="4">
        <v>138.37946924437813</v>
      </c>
      <c r="AQ1145" s="4">
        <v>138.37946924437813</v>
      </c>
      <c r="AR1145" s="4">
        <v>138.37946924437813</v>
      </c>
      <c r="AS1145" s="4">
        <v>138.37946924437813</v>
      </c>
      <c r="AT1145" s="2"/>
      <c r="AU1145" s="2"/>
    </row>
    <row r="1146" spans="1:47" hidden="1" outlineLevel="1">
      <c r="A1146" s="2"/>
      <c r="B1146" s="241" t="s">
        <v>1099</v>
      </c>
      <c r="C1146" s="38" t="s">
        <v>733</v>
      </c>
      <c r="D1146" s="38"/>
      <c r="E1146" s="38"/>
      <c r="F1146" s="38"/>
      <c r="G1146" s="38"/>
      <c r="H1146" s="38"/>
      <c r="I1146" s="38"/>
      <c r="J1146" s="38"/>
      <c r="K1146" s="530">
        <v>0.05</v>
      </c>
      <c r="L1146" s="530">
        <v>0.03</v>
      </c>
      <c r="M1146" s="530">
        <v>7.0000000000000007E-2</v>
      </c>
      <c r="N1146" s="530">
        <v>0.03</v>
      </c>
      <c r="O1146" s="2">
        <v>0.03</v>
      </c>
      <c r="P1146" s="530">
        <v>0.15</v>
      </c>
      <c r="Q1146" s="530">
        <v>0.08</v>
      </c>
      <c r="R1146" s="530">
        <v>-0.01</v>
      </c>
      <c r="S1146" s="530">
        <v>0.1</v>
      </c>
      <c r="T1146" s="530">
        <v>-0.1</v>
      </c>
      <c r="U1146" s="530">
        <v>0.03</v>
      </c>
      <c r="V1146" s="530">
        <v>0.1</v>
      </c>
      <c r="W1146" s="530">
        <v>0.02</v>
      </c>
      <c r="X1146" s="530">
        <v>2.3099999999999999E-2</v>
      </c>
      <c r="Y1146" s="530">
        <v>0.03</v>
      </c>
      <c r="Z1146" s="530">
        <v>0.03</v>
      </c>
      <c r="AA1146" s="2">
        <v>0.03</v>
      </c>
      <c r="AB1146" s="2">
        <v>0.03</v>
      </c>
      <c r="AC1146" s="2">
        <v>0.03</v>
      </c>
      <c r="AD1146" s="2">
        <v>0.03</v>
      </c>
      <c r="AE1146" s="2">
        <v>0.03</v>
      </c>
      <c r="AF1146" s="2">
        <v>0.03</v>
      </c>
      <c r="AG1146" s="2">
        <v>0.03</v>
      </c>
      <c r="AH1146" s="2">
        <v>0.03</v>
      </c>
      <c r="AI1146" s="2">
        <v>0.03</v>
      </c>
      <c r="AJ1146" s="2">
        <v>0.03</v>
      </c>
      <c r="AK1146" s="2">
        <v>0.03</v>
      </c>
      <c r="AL1146" s="2">
        <v>0.03</v>
      </c>
      <c r="AM1146" s="2">
        <v>0.03</v>
      </c>
      <c r="AN1146" s="2">
        <v>0.03</v>
      </c>
      <c r="AO1146" s="2">
        <v>0.03</v>
      </c>
      <c r="AP1146" s="2">
        <v>0.03</v>
      </c>
      <c r="AQ1146" s="2">
        <v>0.03</v>
      </c>
      <c r="AR1146" s="2">
        <v>0.03</v>
      </c>
      <c r="AS1146" s="2">
        <v>0.03</v>
      </c>
      <c r="AT1146" s="2"/>
      <c r="AU1146" s="2"/>
    </row>
    <row r="1147" spans="1:47" hidden="1" outlineLevel="1">
      <c r="A1147" s="2"/>
      <c r="B1147" s="6" t="s">
        <v>840</v>
      </c>
      <c r="C1147" s="37" t="s">
        <v>732</v>
      </c>
      <c r="D1147" s="37"/>
      <c r="E1147" s="37"/>
      <c r="F1147" s="37"/>
      <c r="G1147" s="37"/>
      <c r="H1147" s="37"/>
      <c r="I1147" s="37"/>
      <c r="J1147" s="37"/>
      <c r="K1147" s="778">
        <v>427.68185821672716</v>
      </c>
      <c r="L1147" s="24">
        <v>492.39616550112373</v>
      </c>
      <c r="M1147" s="24">
        <v>568.99171491962932</v>
      </c>
      <c r="N1147" s="24">
        <v>686.96577478498477</v>
      </c>
      <c r="O1147" s="24">
        <v>827.35970922267688</v>
      </c>
      <c r="P1147" s="24">
        <v>1020.2477980334074</v>
      </c>
      <c r="Q1147" s="24">
        <v>1100.8733670676904</v>
      </c>
      <c r="R1147" s="24">
        <v>1195.4134977180895</v>
      </c>
      <c r="S1147" s="24">
        <v>1356.6491817032961</v>
      </c>
      <c r="T1147" s="24">
        <v>1437.5540037126029</v>
      </c>
      <c r="U1147" s="24">
        <v>1531.9744273851591</v>
      </c>
      <c r="V1147" s="24">
        <v>1591.2428108348504</v>
      </c>
      <c r="W1147" s="24">
        <v>1697.6372692159805</v>
      </c>
      <c r="X1147" s="24">
        <v>2195.547123821651</v>
      </c>
      <c r="Y1147" s="24">
        <v>2284.3340952554963</v>
      </c>
      <c r="Z1147" s="24">
        <v>2360.293044592368</v>
      </c>
      <c r="AA1147" s="24">
        <v>2447.5645619103811</v>
      </c>
      <c r="AB1147" s="24">
        <v>2508.8900851692324</v>
      </c>
      <c r="AC1147" s="24">
        <v>2582.8829750548061</v>
      </c>
      <c r="AD1147" s="24">
        <v>2636.84302377514</v>
      </c>
      <c r="AE1147" s="24">
        <v>2707.3706784713304</v>
      </c>
      <c r="AF1147" s="24">
        <v>2781.6194130817807</v>
      </c>
      <c r="AG1147" s="24">
        <v>2858.7083882201596</v>
      </c>
      <c r="AH1147" s="24">
        <v>2938.7624454619054</v>
      </c>
      <c r="AI1147" s="24">
        <v>3021.9123968701961</v>
      </c>
      <c r="AJ1147" s="24">
        <v>3107.1569430361255</v>
      </c>
      <c r="AK1147" s="24">
        <v>3195.7781560008916</v>
      </c>
      <c r="AL1147" s="24">
        <v>3287.9266570283717</v>
      </c>
      <c r="AM1147" s="24">
        <v>3383.7603611873496</v>
      </c>
      <c r="AN1147" s="24">
        <v>3483.4448543099079</v>
      </c>
      <c r="AO1147" s="24">
        <v>3587.1537905355208</v>
      </c>
      <c r="AP1147" s="24">
        <v>3695.0693116199191</v>
      </c>
      <c r="AQ1147" s="24">
        <v>3695.0693116199191</v>
      </c>
      <c r="AR1147" s="24">
        <v>3695.0693116199191</v>
      </c>
      <c r="AS1147" s="24">
        <v>3695.0693116199191</v>
      </c>
      <c r="AT1147" s="2"/>
      <c r="AU1147" s="2"/>
    </row>
    <row r="1148" spans="1:47" hidden="1" outlineLevel="1">
      <c r="A1148" s="2"/>
      <c r="B1148" s="800" t="s">
        <v>1099</v>
      </c>
      <c r="C1148" s="37" t="s">
        <v>733</v>
      </c>
      <c r="D1148" s="37"/>
      <c r="E1148" s="37"/>
      <c r="F1148" s="37"/>
      <c r="G1148" s="37"/>
      <c r="H1148" s="37"/>
      <c r="I1148" s="37"/>
      <c r="J1148" s="37"/>
      <c r="K1148" s="801">
        <v>0.2371336056607023</v>
      </c>
      <c r="L1148" s="802">
        <v>0.15131412764205376</v>
      </c>
      <c r="M1148" s="802">
        <v>0.15555675446934569</v>
      </c>
      <c r="N1148" s="802">
        <v>0.20733880085058787</v>
      </c>
      <c r="O1148" s="802">
        <v>0.20436816445715134</v>
      </c>
      <c r="P1148" s="802">
        <v>0.23313691331664343</v>
      </c>
      <c r="Q1148" s="802">
        <v>7.9025477133784383E-2</v>
      </c>
      <c r="R1148" s="802">
        <v>8.5877389242523083E-2</v>
      </c>
      <c r="S1148" s="802">
        <v>0.13487858744525427</v>
      </c>
      <c r="T1148" s="802">
        <v>5.9635772534598397E-2</v>
      </c>
      <c r="U1148" s="802">
        <v>6.5681305487451214E-2</v>
      </c>
      <c r="V1148" s="802">
        <v>3.8687580151617329E-2</v>
      </c>
      <c r="W1148" s="802">
        <v>6.6862491165198046E-2</v>
      </c>
      <c r="X1148" s="802">
        <v>0.29329578446143567</v>
      </c>
      <c r="Y1148" s="802">
        <v>4.0439565368699304E-2</v>
      </c>
      <c r="Z1148" s="802">
        <v>3.3252119072528119E-2</v>
      </c>
      <c r="AA1148" s="802">
        <v>3.697486526851379E-2</v>
      </c>
      <c r="AB1148" s="802">
        <v>2.5055732630392846E-2</v>
      </c>
      <c r="AC1148" s="802">
        <v>2.9492280400391646E-2</v>
      </c>
      <c r="AD1148" s="802">
        <v>2.089140283995583E-2</v>
      </c>
      <c r="AE1148" s="802">
        <v>2.67470054380472E-2</v>
      </c>
      <c r="AF1148" s="802">
        <v>2.742466526688303E-2</v>
      </c>
      <c r="AG1148" s="802">
        <v>2.7713703311040394E-2</v>
      </c>
      <c r="AH1148" s="802">
        <v>2.8003575870705566E-2</v>
      </c>
      <c r="AI1148" s="802">
        <v>2.8294206473439942E-2</v>
      </c>
      <c r="AJ1148" s="802">
        <v>2.820880785763924E-2</v>
      </c>
      <c r="AK1148" s="802">
        <v>2.8521640390063663E-2</v>
      </c>
      <c r="AL1148" s="802">
        <v>2.8834448616043007E-2</v>
      </c>
      <c r="AM1148" s="802">
        <v>2.9147153861878605E-2</v>
      </c>
      <c r="AN1148" s="802">
        <v>2.9459678724878424E-2</v>
      </c>
      <c r="AO1148" s="802">
        <v>2.9771947185355474E-2</v>
      </c>
      <c r="AP1148" s="802">
        <v>3.0083884713592912E-2</v>
      </c>
      <c r="AQ1148" s="802">
        <v>3.0083884713592912E-2</v>
      </c>
      <c r="AR1148" s="802">
        <v>3.0083884713592912E-2</v>
      </c>
      <c r="AS1148" s="802">
        <v>3.0083884713592912E-2</v>
      </c>
      <c r="AT1148" s="2"/>
      <c r="AU1148" s="2"/>
    </row>
    <row r="1149" spans="1:47" hidden="1" outlineLevel="1">
      <c r="A1149" s="2"/>
      <c r="B1149" s="55"/>
      <c r="C1149" s="38"/>
      <c r="D1149" s="38"/>
      <c r="E1149" s="38"/>
      <c r="F1149" s="38"/>
      <c r="G1149" s="38"/>
      <c r="H1149" s="38"/>
      <c r="I1149" s="38"/>
      <c r="J1149" s="38"/>
      <c r="K1149" s="2"/>
      <c r="L1149" s="2"/>
      <c r="M1149" s="2"/>
      <c r="N1149" s="2"/>
      <c r="O1149" s="2"/>
      <c r="P1149" s="2"/>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row>
    <row r="1150" spans="1:47" hidden="1" outlineLevel="1">
      <c r="A1150" s="2"/>
      <c r="B1150" s="66" t="s">
        <v>587</v>
      </c>
      <c r="C1150" s="782"/>
      <c r="D1150" s="782"/>
      <c r="E1150" s="782"/>
      <c r="F1150" s="782"/>
      <c r="G1150" s="782"/>
      <c r="H1150" s="782"/>
      <c r="I1150" s="782"/>
      <c r="J1150" s="782"/>
      <c r="K1150" s="783"/>
      <c r="L1150" s="783"/>
      <c r="M1150" s="783"/>
      <c r="N1150" s="783"/>
      <c r="O1150" s="783"/>
      <c r="P1150" s="783"/>
      <c r="Q1150" s="783"/>
      <c r="R1150" s="783"/>
      <c r="S1150" s="783"/>
      <c r="T1150" s="783"/>
      <c r="U1150" s="783"/>
      <c r="V1150" s="783"/>
      <c r="W1150" s="783"/>
      <c r="X1150" s="783"/>
      <c r="Y1150" s="783"/>
      <c r="Z1150" s="783"/>
      <c r="AA1150" s="783"/>
      <c r="AB1150" s="783"/>
      <c r="AC1150" s="783"/>
      <c r="AD1150" s="783"/>
      <c r="AE1150" s="783"/>
      <c r="AF1150" s="783"/>
      <c r="AG1150" s="783"/>
      <c r="AH1150" s="783"/>
      <c r="AI1150" s="783"/>
      <c r="AJ1150" s="783"/>
      <c r="AK1150" s="783"/>
      <c r="AL1150" s="783"/>
      <c r="AM1150" s="783"/>
      <c r="AN1150" s="783"/>
      <c r="AO1150" s="783"/>
      <c r="AP1150" s="783"/>
      <c r="AQ1150" s="783"/>
      <c r="AR1150" s="783"/>
      <c r="AS1150" s="783"/>
      <c r="AT1150" s="2"/>
      <c r="AU1150" s="2"/>
    </row>
    <row r="1151" spans="1:47" hidden="1" outlineLevel="1">
      <c r="A1151" s="2"/>
      <c r="B1151" s="66" t="s">
        <v>944</v>
      </c>
      <c r="C1151" s="784" t="s">
        <v>732</v>
      </c>
      <c r="D1151" s="784"/>
      <c r="E1151" s="784"/>
      <c r="F1151" s="784"/>
      <c r="G1151" s="784"/>
      <c r="H1151" s="784"/>
      <c r="I1151" s="784"/>
      <c r="J1151" s="784"/>
      <c r="K1151" s="785">
        <v>428</v>
      </c>
      <c r="L1151" s="785">
        <v>492</v>
      </c>
      <c r="M1151" s="785">
        <v>569</v>
      </c>
      <c r="N1151" s="783"/>
      <c r="O1151" s="783"/>
      <c r="P1151" s="783"/>
      <c r="Q1151" s="783"/>
      <c r="R1151" s="783"/>
      <c r="S1151" s="783"/>
      <c r="T1151" s="783"/>
      <c r="U1151" s="783"/>
      <c r="V1151" s="783"/>
      <c r="W1151" s="783"/>
      <c r="X1151" s="783"/>
      <c r="Y1151" s="783"/>
      <c r="Z1151" s="783"/>
      <c r="AA1151" s="783"/>
      <c r="AB1151" s="783"/>
      <c r="AC1151" s="783"/>
      <c r="AD1151" s="783"/>
      <c r="AE1151" s="783"/>
      <c r="AF1151" s="783"/>
      <c r="AG1151" s="783"/>
      <c r="AH1151" s="783"/>
      <c r="AI1151" s="783"/>
      <c r="AJ1151" s="783"/>
      <c r="AK1151" s="783"/>
      <c r="AL1151" s="783"/>
      <c r="AM1151" s="783"/>
      <c r="AN1151" s="783"/>
      <c r="AO1151" s="783"/>
      <c r="AP1151" s="783"/>
      <c r="AQ1151" s="783"/>
      <c r="AR1151" s="783"/>
      <c r="AS1151" s="783"/>
      <c r="AT1151" s="2"/>
      <c r="AU1151" s="2"/>
    </row>
    <row r="1152" spans="1:47" hidden="1" outlineLevel="1">
      <c r="A1152" s="2"/>
      <c r="B1152" s="66" t="s">
        <v>216</v>
      </c>
      <c r="C1152" s="784" t="s">
        <v>732</v>
      </c>
      <c r="D1152" s="784"/>
      <c r="E1152" s="784"/>
      <c r="F1152" s="784"/>
      <c r="G1152" s="784"/>
      <c r="H1152" s="784"/>
      <c r="I1152" s="784"/>
      <c r="J1152" s="784"/>
      <c r="K1152" s="786">
        <v>427.68185821672716</v>
      </c>
      <c r="L1152" s="787">
        <v>492.39616550112373</v>
      </c>
      <c r="M1152" s="787">
        <v>568.99171491962932</v>
      </c>
      <c r="N1152" s="787">
        <v>686.96577478498477</v>
      </c>
      <c r="O1152" s="787">
        <v>827.35970922267688</v>
      </c>
      <c r="P1152" s="787">
        <v>1020.2477980334074</v>
      </c>
      <c r="Q1152" s="787">
        <v>1100.8733670676904</v>
      </c>
      <c r="R1152" s="787">
        <v>1195.4134977180895</v>
      </c>
      <c r="S1152" s="787">
        <v>1356.6491817032961</v>
      </c>
      <c r="T1152" s="787">
        <v>1437.5540037126029</v>
      </c>
      <c r="U1152" s="787">
        <v>1531.9744273851591</v>
      </c>
      <c r="V1152" s="787">
        <v>1591.2428108348504</v>
      </c>
      <c r="W1152" s="787">
        <v>1697.6372692159805</v>
      </c>
      <c r="X1152" s="787">
        <v>2195.547123821651</v>
      </c>
      <c r="Y1152" s="787">
        <v>2284.3340952554963</v>
      </c>
      <c r="Z1152" s="787">
        <v>2360.293044592368</v>
      </c>
      <c r="AA1152" s="787">
        <v>2447.5645619103811</v>
      </c>
      <c r="AB1152" s="787">
        <v>2508.8900851692324</v>
      </c>
      <c r="AC1152" s="787">
        <v>2582.8829750548061</v>
      </c>
      <c r="AD1152" s="787">
        <v>2636.84302377514</v>
      </c>
      <c r="AE1152" s="787">
        <v>2707.3706784713304</v>
      </c>
      <c r="AF1152" s="787">
        <v>2781.6194130817807</v>
      </c>
      <c r="AG1152" s="787">
        <v>2858.7083882201596</v>
      </c>
      <c r="AH1152" s="787">
        <v>2938.7624454619054</v>
      </c>
      <c r="AI1152" s="787">
        <v>3021.9123968701961</v>
      </c>
      <c r="AJ1152" s="787">
        <v>3107.1569430361255</v>
      </c>
      <c r="AK1152" s="787">
        <v>3195.7781560008916</v>
      </c>
      <c r="AL1152" s="787">
        <v>3287.9266570283717</v>
      </c>
      <c r="AM1152" s="787">
        <v>3383.7603611873496</v>
      </c>
      <c r="AN1152" s="787">
        <v>3483.4448543099079</v>
      </c>
      <c r="AO1152" s="787">
        <v>3587.1537905355208</v>
      </c>
      <c r="AP1152" s="787">
        <v>3695.0693116199191</v>
      </c>
      <c r="AQ1152" s="787">
        <v>3695.0693116199191</v>
      </c>
      <c r="AR1152" s="787">
        <v>3695.0693116199191</v>
      </c>
      <c r="AS1152" s="787">
        <v>3695.0693116199191</v>
      </c>
      <c r="AT1152" s="2"/>
      <c r="AU1152" s="2"/>
    </row>
    <row r="1153" spans="1:47" hidden="1" outlineLevel="1">
      <c r="A1153" s="2"/>
      <c r="B1153" s="66" t="s">
        <v>362</v>
      </c>
      <c r="C1153" s="784" t="s">
        <v>732</v>
      </c>
      <c r="D1153" s="784"/>
      <c r="E1153" s="784"/>
      <c r="F1153" s="784"/>
      <c r="G1153" s="784"/>
      <c r="H1153" s="784"/>
      <c r="I1153" s="784"/>
      <c r="J1153" s="784"/>
      <c r="K1153" s="786">
        <v>-0.31814178327283571</v>
      </c>
      <c r="L1153" s="787">
        <v>0.39616550112373261</v>
      </c>
      <c r="M1153" s="787">
        <v>-8.2850803706833176E-3</v>
      </c>
      <c r="N1153" s="783"/>
      <c r="O1153" s="783"/>
      <c r="P1153" s="783"/>
      <c r="Q1153" s="783"/>
      <c r="R1153" s="783"/>
      <c r="S1153" s="783"/>
      <c r="T1153" s="783"/>
      <c r="U1153" s="783"/>
      <c r="V1153" s="783"/>
      <c r="W1153" s="783"/>
      <c r="X1153" s="783"/>
      <c r="Y1153" s="783"/>
      <c r="Z1153" s="783"/>
      <c r="AA1153" s="783"/>
      <c r="AB1153" s="783"/>
      <c r="AC1153" s="783"/>
      <c r="AD1153" s="783"/>
      <c r="AE1153" s="783"/>
      <c r="AF1153" s="783"/>
      <c r="AG1153" s="783"/>
      <c r="AH1153" s="783"/>
      <c r="AI1153" s="783"/>
      <c r="AJ1153" s="783"/>
      <c r="AK1153" s="783"/>
      <c r="AL1153" s="783"/>
      <c r="AM1153" s="783"/>
      <c r="AN1153" s="783"/>
      <c r="AO1153" s="783"/>
      <c r="AP1153" s="783"/>
      <c r="AQ1153" s="783"/>
      <c r="AR1153" s="783"/>
      <c r="AS1153" s="783"/>
      <c r="AT1153" s="2"/>
      <c r="AU1153" s="2"/>
    </row>
    <row r="1154" spans="1:47" hidden="1" outlineLevel="1">
      <c r="A1154" s="2"/>
      <c r="B1154" s="2"/>
      <c r="C1154" s="18"/>
      <c r="D1154" s="18"/>
      <c r="E1154" s="18"/>
      <c r="F1154" s="18"/>
      <c r="G1154" s="18"/>
      <c r="H1154" s="18"/>
      <c r="I1154" s="18"/>
      <c r="J1154" s="18"/>
      <c r="K1154" s="6"/>
      <c r="L1154" s="6"/>
      <c r="M1154" s="6"/>
      <c r="N1154" s="6"/>
      <c r="O1154" s="6"/>
      <c r="P1154" s="6"/>
      <c r="Q1154" s="6"/>
      <c r="R1154" s="6"/>
      <c r="S1154" s="6"/>
      <c r="T1154" s="6"/>
      <c r="U1154" s="6"/>
      <c r="V1154" s="6"/>
      <c r="W1154" s="6"/>
      <c r="X1154" s="6"/>
      <c r="Y1154" s="6"/>
      <c r="Z1154" s="6"/>
      <c r="AA1154" s="6"/>
      <c r="AB1154" s="6"/>
      <c r="AC1154" s="6"/>
      <c r="AD1154" s="6"/>
      <c r="AE1154" s="6"/>
      <c r="AF1154" s="6"/>
      <c r="AG1154" s="6"/>
      <c r="AH1154" s="6"/>
      <c r="AI1154" s="6"/>
      <c r="AJ1154" s="6"/>
      <c r="AK1154" s="6"/>
      <c r="AL1154" s="6"/>
      <c r="AM1154" s="6"/>
      <c r="AN1154" s="6"/>
      <c r="AO1154" s="6"/>
      <c r="AP1154" s="6"/>
      <c r="AQ1154" s="6"/>
      <c r="AR1154" s="6"/>
      <c r="AS1154" s="6"/>
      <c r="AT1154" s="2"/>
      <c r="AU1154" s="2"/>
    </row>
    <row r="1155" spans="1:47" hidden="1" outlineLevel="1">
      <c r="A1155" s="2"/>
      <c r="B1155" s="2" t="s">
        <v>217</v>
      </c>
      <c r="C1155" s="18"/>
      <c r="D1155" s="18"/>
      <c r="E1155" s="18"/>
      <c r="F1155" s="18"/>
      <c r="G1155" s="18"/>
      <c r="H1155" s="18"/>
      <c r="I1155" s="18"/>
      <c r="J1155" s="18"/>
      <c r="K1155" s="6"/>
      <c r="L1155" s="6"/>
      <c r="M1155" s="6"/>
      <c r="N1155" s="6"/>
      <c r="O1155" s="6"/>
      <c r="P1155" s="6"/>
      <c r="Q1155" s="6"/>
      <c r="R1155" s="6"/>
      <c r="S1155" s="6"/>
      <c r="T1155" s="6"/>
      <c r="U1155" s="24"/>
      <c r="V1155" s="24"/>
      <c r="W1155" s="6"/>
      <c r="X1155" s="6"/>
      <c r="Y1155" s="6"/>
      <c r="Z1155" s="6"/>
      <c r="AA1155" s="6"/>
      <c r="AB1155" s="6"/>
      <c r="AC1155" s="6"/>
      <c r="AD1155" s="6"/>
      <c r="AE1155" s="6"/>
      <c r="AF1155" s="6"/>
      <c r="AG1155" s="6"/>
      <c r="AH1155" s="6"/>
      <c r="AI1155" s="6"/>
      <c r="AJ1155" s="6"/>
      <c r="AK1155" s="6"/>
      <c r="AL1155" s="6"/>
      <c r="AM1155" s="6"/>
      <c r="AN1155" s="6"/>
      <c r="AO1155" s="6"/>
      <c r="AP1155" s="6"/>
      <c r="AQ1155" s="6"/>
      <c r="AR1155" s="6"/>
      <c r="AS1155" s="6"/>
      <c r="AT1155" s="2"/>
      <c r="AU1155" s="2"/>
    </row>
    <row r="1156" spans="1:47" hidden="1" outlineLevel="1">
      <c r="A1156" s="2"/>
      <c r="B1156" s="2" t="s">
        <v>735</v>
      </c>
      <c r="C1156" s="38" t="s">
        <v>732</v>
      </c>
      <c r="D1156" s="38"/>
      <c r="E1156" s="38"/>
      <c r="F1156" s="38"/>
      <c r="G1156" s="38"/>
      <c r="H1156" s="38"/>
      <c r="I1156" s="38"/>
      <c r="J1156" s="38"/>
      <c r="K1156" s="566">
        <v>25</v>
      </c>
      <c r="L1156" s="566">
        <v>25</v>
      </c>
      <c r="M1156" s="566">
        <v>46.145000000000003</v>
      </c>
      <c r="N1156" s="566">
        <v>56</v>
      </c>
      <c r="O1156" s="3">
        <v>57.399999999999991</v>
      </c>
      <c r="P1156" s="3">
        <v>86.1</v>
      </c>
      <c r="Q1156" s="566">
        <v>60</v>
      </c>
      <c r="R1156" s="566">
        <v>64</v>
      </c>
      <c r="S1156" s="3">
        <v>76.8</v>
      </c>
      <c r="T1156" s="3">
        <v>116.73599999999999</v>
      </c>
      <c r="U1156" s="3">
        <v>152.16537599999998</v>
      </c>
      <c r="V1156" s="3">
        <v>181.07679743999998</v>
      </c>
      <c r="W1156" s="3">
        <v>192.57517407743995</v>
      </c>
      <c r="X1156" s="3">
        <v>298.97295775522554</v>
      </c>
      <c r="Y1156" s="3">
        <v>313.92160564298683</v>
      </c>
      <c r="Z1156" s="3">
        <v>329.61768592513619</v>
      </c>
      <c r="AA1156" s="3">
        <v>346.098570221393</v>
      </c>
      <c r="AB1156" s="3">
        <v>363.40349873246265</v>
      </c>
      <c r="AC1156" s="3">
        <v>381.57367366908579</v>
      </c>
      <c r="AD1156" s="3">
        <v>400.65235735254009</v>
      </c>
      <c r="AE1156" s="3">
        <v>420.68497522016713</v>
      </c>
      <c r="AF1156" s="3">
        <v>441.7192239811755</v>
      </c>
      <c r="AG1156" s="3">
        <v>463.80518518023428</v>
      </c>
      <c r="AH1156" s="3">
        <v>486.995444439246</v>
      </c>
      <c r="AI1156" s="3">
        <v>511.34521666120833</v>
      </c>
      <c r="AJ1156" s="3">
        <v>536.91247749426873</v>
      </c>
      <c r="AK1156" s="3">
        <v>563.75810136898224</v>
      </c>
      <c r="AL1156" s="3">
        <v>591.94600643743138</v>
      </c>
      <c r="AM1156" s="3">
        <v>621.54330675930294</v>
      </c>
      <c r="AN1156" s="3">
        <v>652.62047209726813</v>
      </c>
      <c r="AO1156" s="3">
        <v>685.25149570213159</v>
      </c>
      <c r="AP1156" s="3">
        <v>719.5140704872382</v>
      </c>
      <c r="AQ1156" s="3">
        <v>719.5140704872382</v>
      </c>
      <c r="AR1156" s="3">
        <v>719.5140704872382</v>
      </c>
      <c r="AS1156" s="3">
        <v>719.5140704872382</v>
      </c>
      <c r="AT1156" s="2"/>
      <c r="AU1156" s="2"/>
    </row>
    <row r="1157" spans="1:47" hidden="1" outlineLevel="1">
      <c r="A1157" s="2"/>
      <c r="B1157" s="241" t="s">
        <v>1099</v>
      </c>
      <c r="C1157" s="38" t="s">
        <v>733</v>
      </c>
      <c r="D1157" s="38"/>
      <c r="E1157" s="38"/>
      <c r="F1157" s="38"/>
      <c r="G1157" s="38"/>
      <c r="H1157" s="38"/>
      <c r="I1157" s="38"/>
      <c r="J1157" s="38"/>
      <c r="K1157" s="530">
        <v>4.1666666666666741E-2</v>
      </c>
      <c r="L1157" s="2">
        <v>0</v>
      </c>
      <c r="M1157" s="2">
        <v>0.84580000000000011</v>
      </c>
      <c r="N1157" s="2">
        <v>0.21356593347058173</v>
      </c>
      <c r="O1157" s="2">
        <v>2.4999999999999911E-2</v>
      </c>
      <c r="P1157" s="2">
        <v>0.50000000000000022</v>
      </c>
      <c r="Q1157" s="2">
        <v>-0.30313588850174211</v>
      </c>
      <c r="R1157" s="2">
        <v>6.6666666666666652E-2</v>
      </c>
      <c r="S1157" s="2">
        <v>0.19999999999999996</v>
      </c>
      <c r="T1157" s="2">
        <v>0.52</v>
      </c>
      <c r="U1157" s="2">
        <v>0.30349999999999988</v>
      </c>
      <c r="V1157" s="2">
        <v>0.18999999999999995</v>
      </c>
      <c r="W1157" s="2">
        <v>6.349999999999989E-2</v>
      </c>
      <c r="X1157" s="2">
        <v>0.55249999999999999</v>
      </c>
      <c r="Y1157" s="2">
        <v>5.0000000000000044E-2</v>
      </c>
      <c r="Z1157" s="2">
        <v>5.0000000000000044E-2</v>
      </c>
      <c r="AA1157" s="2">
        <v>5.0000000000000044E-2</v>
      </c>
      <c r="AB1157" s="2">
        <v>5.0000000000000044E-2</v>
      </c>
      <c r="AC1157" s="2">
        <v>5.0000000000000044E-2</v>
      </c>
      <c r="AD1157" s="2">
        <v>5.0000000000000044E-2</v>
      </c>
      <c r="AE1157" s="2">
        <v>5.0000000000000044E-2</v>
      </c>
      <c r="AF1157" s="2">
        <v>5.0000000000000044E-2</v>
      </c>
      <c r="AG1157" s="2">
        <v>5.0000000000000044E-2</v>
      </c>
      <c r="AH1157" s="2">
        <v>5.0000000000000044E-2</v>
      </c>
      <c r="AI1157" s="2">
        <v>5.0000000000000044E-2</v>
      </c>
      <c r="AJ1157" s="2">
        <v>5.0000000000000044E-2</v>
      </c>
      <c r="AK1157" s="2">
        <v>5.0000000000000044E-2</v>
      </c>
      <c r="AL1157" s="2">
        <v>5.0000000000000044E-2</v>
      </c>
      <c r="AM1157" s="2">
        <v>5.0000000000000044E-2</v>
      </c>
      <c r="AN1157" s="2">
        <v>5.0000000000000044E-2</v>
      </c>
      <c r="AO1157" s="2">
        <v>5.0000000000000044E-2</v>
      </c>
      <c r="AP1157" s="2">
        <v>5.0000000000000044E-2</v>
      </c>
      <c r="AQ1157" s="2">
        <v>5.0000000000000044E-2</v>
      </c>
      <c r="AR1157" s="2">
        <v>5.0000000000000044E-2</v>
      </c>
      <c r="AS1157" s="2">
        <v>5.0000000000000044E-2</v>
      </c>
      <c r="AT1157" s="2"/>
      <c r="AU1157" s="2"/>
    </row>
    <row r="1158" spans="1:47" hidden="1" outlineLevel="1">
      <c r="A1158" s="2"/>
      <c r="B1158" s="2" t="s">
        <v>218</v>
      </c>
      <c r="C1158" s="38" t="s">
        <v>732</v>
      </c>
      <c r="D1158" s="38"/>
      <c r="E1158" s="38"/>
      <c r="F1158" s="38"/>
      <c r="G1158" s="38"/>
      <c r="H1158" s="38"/>
      <c r="I1158" s="38"/>
      <c r="J1158" s="38"/>
      <c r="K1158" s="2"/>
      <c r="L1158" s="2"/>
      <c r="M1158" s="2"/>
      <c r="N1158" s="3"/>
      <c r="O1158" s="566">
        <v>20</v>
      </c>
      <c r="P1158" s="566">
        <v>60</v>
      </c>
      <c r="Q1158" s="566">
        <v>60</v>
      </c>
      <c r="R1158" s="3">
        <v>62.88</v>
      </c>
      <c r="S1158" s="3">
        <v>75.456000000000003</v>
      </c>
      <c r="T1158" s="3">
        <v>113.184</v>
      </c>
      <c r="U1158" s="3">
        <v>118.8432</v>
      </c>
      <c r="V1158" s="3">
        <v>121.22006399999999</v>
      </c>
      <c r="W1158" s="3">
        <v>124.25056559999999</v>
      </c>
      <c r="X1158" s="3">
        <v>130.46309388</v>
      </c>
      <c r="Y1158" s="3">
        <v>133.72467122699999</v>
      </c>
      <c r="Z1158" s="3">
        <v>137.06778800767498</v>
      </c>
      <c r="AA1158" s="3">
        <v>140.49448270786684</v>
      </c>
      <c r="AB1158" s="3">
        <v>144.00684477556351</v>
      </c>
      <c r="AC1158" s="3">
        <v>147.60701589495258</v>
      </c>
      <c r="AD1158" s="3">
        <v>151.29719129232637</v>
      </c>
      <c r="AE1158" s="3">
        <v>155.07962107463453</v>
      </c>
      <c r="AF1158" s="3">
        <v>158.95661160150038</v>
      </c>
      <c r="AG1158" s="3">
        <v>162.93052689153788</v>
      </c>
      <c r="AH1158" s="3">
        <v>167.0037900638263</v>
      </c>
      <c r="AI1158" s="3">
        <v>171.17888481542195</v>
      </c>
      <c r="AJ1158" s="3">
        <v>175.45835693580747</v>
      </c>
      <c r="AK1158" s="3">
        <v>179.84481585920264</v>
      </c>
      <c r="AL1158" s="3">
        <v>184.34093625568269</v>
      </c>
      <c r="AM1158" s="3">
        <v>188.94945966207473</v>
      </c>
      <c r="AN1158" s="3">
        <v>193.67319615362658</v>
      </c>
      <c r="AO1158" s="3">
        <v>198.51502605746722</v>
      </c>
      <c r="AP1158" s="3">
        <v>203.47790170890389</v>
      </c>
      <c r="AQ1158" s="3">
        <v>203.47790170890389</v>
      </c>
      <c r="AR1158" s="3">
        <v>203.47790170890389</v>
      </c>
      <c r="AS1158" s="3">
        <v>203.47790170890389</v>
      </c>
      <c r="AT1158" s="2"/>
      <c r="AU1158" s="2"/>
    </row>
    <row r="1159" spans="1:47" hidden="1" outlineLevel="1">
      <c r="A1159" s="2"/>
      <c r="B1159" s="241" t="s">
        <v>1099</v>
      </c>
      <c r="C1159" s="38" t="s">
        <v>733</v>
      </c>
      <c r="D1159" s="38"/>
      <c r="E1159" s="38"/>
      <c r="F1159" s="38"/>
      <c r="G1159" s="38"/>
      <c r="H1159" s="38"/>
      <c r="I1159" s="38"/>
      <c r="J1159" s="38"/>
      <c r="K1159" s="2"/>
      <c r="L1159" s="2"/>
      <c r="M1159" s="2"/>
      <c r="N1159" s="3"/>
      <c r="O1159" s="2"/>
      <c r="P1159" s="2">
        <v>2</v>
      </c>
      <c r="Q1159" s="2">
        <v>0</v>
      </c>
      <c r="R1159" s="2">
        <v>4.8000000000000043E-2</v>
      </c>
      <c r="S1159" s="2">
        <v>0.19999999999999996</v>
      </c>
      <c r="T1159" s="2">
        <v>0.5</v>
      </c>
      <c r="U1159" s="2">
        <v>5.0000000000000044E-2</v>
      </c>
      <c r="V1159" s="2">
        <v>2.0000000000000018E-2</v>
      </c>
      <c r="W1159" s="2">
        <v>2.4999999999999911E-2</v>
      </c>
      <c r="X1159" s="2">
        <v>5.0000000000000044E-2</v>
      </c>
      <c r="Y1159" s="2">
        <v>2.4999999999999911E-2</v>
      </c>
      <c r="Z1159" s="2">
        <v>2.4999999999999911E-2</v>
      </c>
      <c r="AA1159" s="2">
        <v>2.4999999999999911E-2</v>
      </c>
      <c r="AB1159" s="2">
        <v>2.4999999999999911E-2</v>
      </c>
      <c r="AC1159" s="2">
        <v>2.4999999999999911E-2</v>
      </c>
      <c r="AD1159" s="2">
        <v>2.4999999999999911E-2</v>
      </c>
      <c r="AE1159" s="2">
        <v>2.4999999999999911E-2</v>
      </c>
      <c r="AF1159" s="2">
        <v>2.4999999999999911E-2</v>
      </c>
      <c r="AG1159" s="2">
        <v>2.4999999999999911E-2</v>
      </c>
      <c r="AH1159" s="2">
        <v>2.4999999999999911E-2</v>
      </c>
      <c r="AI1159" s="2">
        <v>2.4999999999999911E-2</v>
      </c>
      <c r="AJ1159" s="2">
        <v>2.4999999999999911E-2</v>
      </c>
      <c r="AK1159" s="2">
        <v>2.4999999999999911E-2</v>
      </c>
      <c r="AL1159" s="2">
        <v>2.4999999999999911E-2</v>
      </c>
      <c r="AM1159" s="2">
        <v>2.4999999999999911E-2</v>
      </c>
      <c r="AN1159" s="2">
        <v>2.4999999999999911E-2</v>
      </c>
      <c r="AO1159" s="2">
        <v>2.4999999999999911E-2</v>
      </c>
      <c r="AP1159" s="2">
        <v>2.4999999999999911E-2</v>
      </c>
      <c r="AQ1159" s="2">
        <v>2.4999999999999911E-2</v>
      </c>
      <c r="AR1159" s="2">
        <v>2.4999999999999911E-2</v>
      </c>
      <c r="AS1159" s="2">
        <v>2.4999999999999911E-2</v>
      </c>
      <c r="AT1159" s="2"/>
      <c r="AU1159" s="2"/>
    </row>
    <row r="1160" spans="1:47" hidden="1" outlineLevel="1">
      <c r="A1160" s="2"/>
      <c r="B1160" s="2" t="s">
        <v>219</v>
      </c>
      <c r="C1160" s="38" t="s">
        <v>732</v>
      </c>
      <c r="D1160" s="38"/>
      <c r="E1160" s="38"/>
      <c r="F1160" s="38"/>
      <c r="G1160" s="38"/>
      <c r="H1160" s="38"/>
      <c r="I1160" s="38"/>
      <c r="J1160" s="38"/>
      <c r="K1160" s="566">
        <v>25</v>
      </c>
      <c r="L1160" s="3">
        <v>25</v>
      </c>
      <c r="M1160" s="3">
        <v>46.145000000000003</v>
      </c>
      <c r="N1160" s="3">
        <v>56</v>
      </c>
      <c r="O1160" s="3">
        <v>77.399999999999991</v>
      </c>
      <c r="P1160" s="3">
        <v>146.1</v>
      </c>
      <c r="Q1160" s="3">
        <v>120</v>
      </c>
      <c r="R1160" s="3">
        <v>126.88</v>
      </c>
      <c r="S1160" s="3">
        <v>152.256</v>
      </c>
      <c r="T1160" s="3">
        <v>229.92</v>
      </c>
      <c r="U1160" s="3">
        <v>271.00857599999995</v>
      </c>
      <c r="V1160" s="3">
        <v>302.29686143999999</v>
      </c>
      <c r="W1160" s="3">
        <v>316.82573967743997</v>
      </c>
      <c r="X1160" s="3">
        <v>429.43605163522557</v>
      </c>
      <c r="Y1160" s="3">
        <v>447.64627686998682</v>
      </c>
      <c r="Z1160" s="3">
        <v>466.68547393281119</v>
      </c>
      <c r="AA1160" s="3">
        <v>486.59305292925984</v>
      </c>
      <c r="AB1160" s="3">
        <v>507.41034350802613</v>
      </c>
      <c r="AC1160" s="3">
        <v>529.1806895640384</v>
      </c>
      <c r="AD1160" s="3">
        <v>551.94954864486647</v>
      </c>
      <c r="AE1160" s="3">
        <v>575.76459629480166</v>
      </c>
      <c r="AF1160" s="3">
        <v>600.67583558267586</v>
      </c>
      <c r="AG1160" s="3">
        <v>626.73571207177213</v>
      </c>
      <c r="AH1160" s="3">
        <v>653.99923450307233</v>
      </c>
      <c r="AI1160" s="3">
        <v>682.52410147663022</v>
      </c>
      <c r="AJ1160" s="3">
        <v>712.37083443007623</v>
      </c>
      <c r="AK1160" s="3">
        <v>743.60291722818488</v>
      </c>
      <c r="AL1160" s="3">
        <v>776.28694269311404</v>
      </c>
      <c r="AM1160" s="3">
        <v>810.49276642137761</v>
      </c>
      <c r="AN1160" s="3">
        <v>846.29366825089471</v>
      </c>
      <c r="AO1160" s="3">
        <v>883.76652175959885</v>
      </c>
      <c r="AP1160" s="3">
        <v>922.99197219614211</v>
      </c>
      <c r="AQ1160" s="3">
        <v>922.99197219614211</v>
      </c>
      <c r="AR1160" s="3">
        <v>922.99197219614211</v>
      </c>
      <c r="AS1160" s="3">
        <v>922.99197219614211</v>
      </c>
      <c r="AT1160" s="2"/>
      <c r="AU1160" s="2"/>
    </row>
    <row r="1161" spans="1:47" hidden="1" outlineLevel="1">
      <c r="A1161" s="2"/>
      <c r="B1161" s="2" t="s">
        <v>739</v>
      </c>
      <c r="C1161" s="38" t="s">
        <v>732</v>
      </c>
      <c r="D1161" s="38"/>
      <c r="E1161" s="38"/>
      <c r="F1161" s="38"/>
      <c r="G1161" s="38"/>
      <c r="H1161" s="38"/>
      <c r="I1161" s="38"/>
      <c r="J1161" s="38"/>
      <c r="K1161" s="566">
        <v>0</v>
      </c>
      <c r="L1161" s="566">
        <v>0</v>
      </c>
      <c r="M1161" s="566">
        <v>0</v>
      </c>
      <c r="N1161" s="3">
        <v>0</v>
      </c>
      <c r="O1161" s="3">
        <v>0</v>
      </c>
      <c r="P1161" s="3">
        <v>0</v>
      </c>
      <c r="Q1161" s="3">
        <v>0</v>
      </c>
      <c r="R1161" s="3">
        <v>0</v>
      </c>
      <c r="S1161" s="3">
        <v>0</v>
      </c>
      <c r="T1161" s="3">
        <v>0</v>
      </c>
      <c r="U1161" s="3">
        <v>0</v>
      </c>
      <c r="V1161" s="3">
        <v>0</v>
      </c>
      <c r="W1161" s="3">
        <v>0</v>
      </c>
      <c r="X1161" s="3">
        <v>0</v>
      </c>
      <c r="Y1161" s="3">
        <v>0</v>
      </c>
      <c r="Z1161" s="3">
        <v>0</v>
      </c>
      <c r="AA1161" s="3">
        <v>0</v>
      </c>
      <c r="AB1161" s="3">
        <v>0</v>
      </c>
      <c r="AC1161" s="3">
        <v>0</v>
      </c>
      <c r="AD1161" s="3">
        <v>0</v>
      </c>
      <c r="AE1161" s="3">
        <v>0</v>
      </c>
      <c r="AF1161" s="3">
        <v>0</v>
      </c>
      <c r="AG1161" s="3">
        <v>0</v>
      </c>
      <c r="AH1161" s="3">
        <v>0</v>
      </c>
      <c r="AI1161" s="3">
        <v>0</v>
      </c>
      <c r="AJ1161" s="3">
        <v>0</v>
      </c>
      <c r="AK1161" s="3">
        <v>0</v>
      </c>
      <c r="AL1161" s="3">
        <v>0</v>
      </c>
      <c r="AM1161" s="3">
        <v>0</v>
      </c>
      <c r="AN1161" s="3">
        <v>0</v>
      </c>
      <c r="AO1161" s="3">
        <v>0</v>
      </c>
      <c r="AP1161" s="3">
        <v>0</v>
      </c>
      <c r="AQ1161" s="3">
        <v>0</v>
      </c>
      <c r="AR1161" s="3">
        <v>0</v>
      </c>
      <c r="AS1161" s="3">
        <v>0</v>
      </c>
      <c r="AT1161" s="2"/>
      <c r="AU1161" s="2"/>
    </row>
    <row r="1162" spans="1:47" hidden="1" outlineLevel="1">
      <c r="A1162" s="2"/>
      <c r="B1162" s="2" t="s">
        <v>342</v>
      </c>
      <c r="C1162" s="38" t="s">
        <v>1099</v>
      </c>
      <c r="D1162" s="55"/>
      <c r="E1162" s="55"/>
      <c r="F1162" s="55"/>
      <c r="G1162" s="55"/>
      <c r="H1162" s="55"/>
      <c r="I1162" s="55"/>
      <c r="J1162" s="55"/>
      <c r="K1162" s="566">
        <v>25</v>
      </c>
      <c r="L1162" s="3">
        <v>25</v>
      </c>
      <c r="M1162" s="3">
        <v>46.145000000000003</v>
      </c>
      <c r="N1162" s="3">
        <v>56</v>
      </c>
      <c r="O1162" s="3">
        <v>77.399999999999991</v>
      </c>
      <c r="P1162" s="3">
        <v>146.1</v>
      </c>
      <c r="Q1162" s="3">
        <v>120</v>
      </c>
      <c r="R1162" s="3">
        <v>126.88</v>
      </c>
      <c r="S1162" s="3">
        <v>152.256</v>
      </c>
      <c r="T1162" s="3">
        <v>229.92</v>
      </c>
      <c r="U1162" s="3">
        <v>271.00857599999995</v>
      </c>
      <c r="V1162" s="3">
        <v>302.29686143999999</v>
      </c>
      <c r="W1162" s="3">
        <v>316.82573967743997</v>
      </c>
      <c r="X1162" s="3">
        <v>429.43605163522557</v>
      </c>
      <c r="Y1162" s="3">
        <v>447.64627686998682</v>
      </c>
      <c r="Z1162" s="3">
        <v>466.68547393281119</v>
      </c>
      <c r="AA1162" s="3">
        <v>486.59305292925984</v>
      </c>
      <c r="AB1162" s="3">
        <v>507.41034350802613</v>
      </c>
      <c r="AC1162" s="3">
        <v>529.1806895640384</v>
      </c>
      <c r="AD1162" s="3">
        <v>551.94954864486647</v>
      </c>
      <c r="AE1162" s="3">
        <v>575.76459629480166</v>
      </c>
      <c r="AF1162" s="3">
        <v>600.67583558267586</v>
      </c>
      <c r="AG1162" s="3">
        <v>626.73571207177213</v>
      </c>
      <c r="AH1162" s="3">
        <v>653.99923450307233</v>
      </c>
      <c r="AI1162" s="3">
        <v>682.52410147663022</v>
      </c>
      <c r="AJ1162" s="3">
        <v>712.37083443007623</v>
      </c>
      <c r="AK1162" s="3">
        <v>743.60291722818488</v>
      </c>
      <c r="AL1162" s="3">
        <v>776.28694269311404</v>
      </c>
      <c r="AM1162" s="3">
        <v>810.49276642137761</v>
      </c>
      <c r="AN1162" s="3">
        <v>846.29366825089471</v>
      </c>
      <c r="AO1162" s="3">
        <v>883.76652175959885</v>
      </c>
      <c r="AP1162" s="3">
        <v>922.99197219614211</v>
      </c>
      <c r="AQ1162" s="3">
        <v>922.99197219614211</v>
      </c>
      <c r="AR1162" s="3">
        <v>922.99197219614211</v>
      </c>
      <c r="AS1162" s="3">
        <v>922.99197219614211</v>
      </c>
      <c r="AT1162" s="2"/>
      <c r="AU1162" s="2"/>
    </row>
    <row r="1163" spans="1:47" hidden="1" outlineLevel="1">
      <c r="A1163" s="2"/>
      <c r="B1163" s="241" t="s">
        <v>1099</v>
      </c>
      <c r="C1163" s="38" t="s">
        <v>733</v>
      </c>
      <c r="D1163" s="38"/>
      <c r="E1163" s="38"/>
      <c r="F1163" s="38"/>
      <c r="G1163" s="38"/>
      <c r="H1163" s="38"/>
      <c r="I1163" s="38"/>
      <c r="J1163" s="38"/>
      <c r="K1163" s="6"/>
      <c r="L1163" s="6"/>
      <c r="M1163" s="6"/>
      <c r="N1163" s="6"/>
      <c r="O1163" s="6"/>
      <c r="P1163" s="6"/>
      <c r="Q1163" s="6"/>
      <c r="R1163" s="6"/>
      <c r="S1163" s="6"/>
      <c r="T1163" s="6"/>
      <c r="U1163" s="6"/>
      <c r="V1163" s="6"/>
      <c r="W1163" s="6"/>
      <c r="X1163" s="6"/>
      <c r="Y1163" s="6"/>
      <c r="Z1163" s="6"/>
      <c r="AA1163" s="6"/>
      <c r="AB1163" s="6"/>
      <c r="AC1163" s="6"/>
      <c r="AD1163" s="6"/>
      <c r="AE1163" s="6"/>
      <c r="AF1163" s="6"/>
      <c r="AG1163" s="6"/>
      <c r="AH1163" s="6"/>
      <c r="AI1163" s="6"/>
      <c r="AJ1163" s="6"/>
      <c r="AK1163" s="6"/>
      <c r="AL1163" s="6"/>
      <c r="AM1163" s="6"/>
      <c r="AN1163" s="6"/>
      <c r="AO1163" s="6"/>
      <c r="AP1163" s="6"/>
      <c r="AQ1163" s="6"/>
      <c r="AR1163" s="6"/>
      <c r="AS1163" s="6"/>
      <c r="AT1163" s="2"/>
      <c r="AU1163" s="2"/>
    </row>
    <row r="1164" spans="1:47" hidden="1" outlineLevel="1">
      <c r="A1164" s="2"/>
      <c r="B1164" s="55"/>
      <c r="C1164" s="38"/>
      <c r="D1164" s="38"/>
      <c r="E1164" s="38"/>
      <c r="F1164" s="38"/>
      <c r="G1164" s="38"/>
      <c r="H1164" s="38"/>
      <c r="I1164" s="38"/>
      <c r="J1164" s="38"/>
      <c r="K1164" s="6"/>
      <c r="L1164" s="6"/>
      <c r="M1164" s="6"/>
      <c r="N1164" s="6"/>
      <c r="O1164" s="6"/>
      <c r="P1164" s="6"/>
      <c r="Q1164" s="6"/>
      <c r="R1164" s="4"/>
      <c r="S1164" s="4"/>
      <c r="T1164" s="4"/>
      <c r="U1164" s="4"/>
      <c r="V1164" s="4"/>
      <c r="W1164" s="6"/>
      <c r="X1164" s="6"/>
      <c r="Y1164" s="6"/>
      <c r="Z1164" s="6"/>
      <c r="AA1164" s="6"/>
      <c r="AB1164" s="6"/>
      <c r="AC1164" s="6"/>
      <c r="AD1164" s="6"/>
      <c r="AE1164" s="6"/>
      <c r="AF1164" s="6"/>
      <c r="AG1164" s="6"/>
      <c r="AH1164" s="6"/>
      <c r="AI1164" s="6"/>
      <c r="AJ1164" s="6"/>
      <c r="AK1164" s="6"/>
      <c r="AL1164" s="6"/>
      <c r="AM1164" s="6"/>
      <c r="AN1164" s="6"/>
      <c r="AO1164" s="6"/>
      <c r="AP1164" s="6"/>
      <c r="AQ1164" s="6"/>
      <c r="AR1164" s="6"/>
      <c r="AS1164" s="6"/>
      <c r="AT1164" s="2"/>
      <c r="AU1164" s="2"/>
    </row>
    <row r="1165" spans="1:47" hidden="1" outlineLevel="1">
      <c r="A1165" s="2"/>
      <c r="B1165" s="55"/>
      <c r="C1165" s="38"/>
      <c r="D1165" s="38"/>
      <c r="E1165" s="38"/>
      <c r="F1165" s="38"/>
      <c r="G1165" s="38"/>
      <c r="H1165" s="38"/>
      <c r="I1165" s="38"/>
      <c r="J1165" s="38"/>
      <c r="K1165" s="6"/>
      <c r="L1165" s="6"/>
      <c r="M1165" s="6"/>
      <c r="N1165" s="6"/>
      <c r="O1165" s="6"/>
      <c r="P1165" s="6"/>
      <c r="Q1165" s="6"/>
      <c r="R1165" s="6"/>
      <c r="S1165" s="6"/>
      <c r="T1165" s="6"/>
      <c r="U1165" s="6"/>
      <c r="V1165" s="6"/>
      <c r="W1165" s="6"/>
      <c r="X1165" s="6"/>
      <c r="Y1165" s="6"/>
      <c r="Z1165" s="6"/>
      <c r="AA1165" s="6"/>
      <c r="AB1165" s="6"/>
      <c r="AC1165" s="6"/>
      <c r="AD1165" s="6"/>
      <c r="AE1165" s="6"/>
      <c r="AF1165" s="6"/>
      <c r="AG1165" s="6"/>
      <c r="AH1165" s="6"/>
      <c r="AI1165" s="6"/>
      <c r="AJ1165" s="6"/>
      <c r="AK1165" s="6"/>
      <c r="AL1165" s="6"/>
      <c r="AM1165" s="6"/>
      <c r="AN1165" s="6"/>
      <c r="AO1165" s="6"/>
      <c r="AP1165" s="6"/>
      <c r="AQ1165" s="6"/>
      <c r="AR1165" s="6"/>
      <c r="AS1165" s="6"/>
      <c r="AT1165" s="2"/>
      <c r="AU1165" s="2"/>
    </row>
    <row r="1166" spans="1:47" hidden="1" outlineLevel="1">
      <c r="A1166" s="2"/>
      <c r="B1166" s="23"/>
      <c r="C1166" s="40" t="s">
        <v>184</v>
      </c>
      <c r="D1166" s="40"/>
      <c r="E1166" s="40"/>
      <c r="F1166" s="40"/>
      <c r="G1166" s="40"/>
      <c r="H1166" s="40"/>
      <c r="I1166" s="40"/>
      <c r="J1166" s="40"/>
      <c r="K1166" s="803">
        <v>0</v>
      </c>
      <c r="L1166" s="804">
        <v>951.96662815501804</v>
      </c>
      <c r="M1166" s="804">
        <v>1109.9811613831553</v>
      </c>
      <c r="N1166" s="804">
        <v>1242.844371601547</v>
      </c>
      <c r="O1166" s="804">
        <v>1480.7075467572154</v>
      </c>
      <c r="P1166" s="804">
        <v>1610.4715689596474</v>
      </c>
      <c r="Q1166" s="804">
        <v>1727.0935583706928</v>
      </c>
      <c r="R1166" s="804">
        <v>1821.6944912939045</v>
      </c>
      <c r="S1166" s="804">
        <v>1981.8207930516946</v>
      </c>
      <c r="T1166" s="41">
        <v>9</v>
      </c>
      <c r="U1166" s="41">
        <v>10</v>
      </c>
      <c r="V1166" s="41">
        <v>11</v>
      </c>
      <c r="W1166" s="41">
        <v>12</v>
      </c>
      <c r="X1166" s="41">
        <v>13</v>
      </c>
      <c r="Y1166" s="41">
        <v>14</v>
      </c>
      <c r="Z1166" s="41">
        <v>15</v>
      </c>
      <c r="AA1166" s="41">
        <v>16</v>
      </c>
      <c r="AB1166" s="41">
        <v>17</v>
      </c>
      <c r="AC1166" s="41">
        <v>18</v>
      </c>
      <c r="AD1166" s="41">
        <v>19</v>
      </c>
      <c r="AE1166" s="41">
        <v>20</v>
      </c>
      <c r="AF1166" s="41">
        <v>21</v>
      </c>
      <c r="AG1166" s="41">
        <v>22</v>
      </c>
      <c r="AH1166" s="41">
        <v>23</v>
      </c>
      <c r="AI1166" s="41">
        <v>24</v>
      </c>
      <c r="AJ1166" s="41">
        <v>25</v>
      </c>
      <c r="AK1166" s="41">
        <v>26</v>
      </c>
      <c r="AL1166" s="41">
        <v>27</v>
      </c>
      <c r="AM1166" s="41">
        <v>28</v>
      </c>
      <c r="AN1166" s="41">
        <v>29</v>
      </c>
      <c r="AO1166" s="41">
        <v>30</v>
      </c>
      <c r="AP1166" s="41">
        <v>31</v>
      </c>
      <c r="AQ1166" s="41">
        <v>31</v>
      </c>
      <c r="AR1166" s="41">
        <v>31</v>
      </c>
      <c r="AS1166" s="41">
        <v>31</v>
      </c>
      <c r="AT1166" s="2"/>
      <c r="AU1166" s="2"/>
    </row>
    <row r="1167" spans="1:47" hidden="1" outlineLevel="1">
      <c r="A1167" s="2"/>
      <c r="B1167" s="2" t="s">
        <v>220</v>
      </c>
      <c r="C1167" s="18"/>
      <c r="D1167" s="18"/>
      <c r="E1167" s="18"/>
      <c r="F1167" s="18"/>
      <c r="G1167" s="18"/>
      <c r="H1167" s="18"/>
      <c r="I1167" s="18"/>
      <c r="J1167" s="18"/>
      <c r="K1167" s="6"/>
      <c r="L1167" s="6"/>
      <c r="M1167" s="6"/>
      <c r="N1167" s="2"/>
      <c r="O1167" s="2"/>
      <c r="P1167" s="2"/>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row>
    <row r="1168" spans="1:47" hidden="1" outlineLevel="1">
      <c r="A1168" s="2"/>
      <c r="B1168" s="2" t="s">
        <v>221</v>
      </c>
      <c r="C1168" s="38" t="s">
        <v>732</v>
      </c>
      <c r="D1168" s="38"/>
      <c r="E1168" s="38"/>
      <c r="F1168" s="38"/>
      <c r="G1168" s="38"/>
      <c r="H1168" s="38"/>
      <c r="I1168" s="38"/>
      <c r="J1168" s="38"/>
      <c r="K1168" s="6"/>
      <c r="L1168" s="6"/>
      <c r="M1168" s="6"/>
      <c r="N1168" s="2"/>
      <c r="O1168" s="530">
        <v>0</v>
      </c>
      <c r="P1168" s="570">
        <v>-323</v>
      </c>
      <c r="Q1168" s="570">
        <v>-550</v>
      </c>
      <c r="R1168" s="570">
        <v>-560</v>
      </c>
      <c r="S1168" s="570">
        <v>-711</v>
      </c>
      <c r="T1168" s="570">
        <v>-711</v>
      </c>
      <c r="U1168" s="570">
        <v>-733.23776637278047</v>
      </c>
      <c r="V1168" s="570">
        <v>-716</v>
      </c>
      <c r="W1168" s="19">
        <v>-620</v>
      </c>
      <c r="X1168" s="19">
        <v>-2200</v>
      </c>
      <c r="Y1168" s="19">
        <v>-2000</v>
      </c>
      <c r="Z1168" s="19">
        <v>-2100</v>
      </c>
      <c r="AA1168" s="19">
        <v>-1800</v>
      </c>
      <c r="AB1168" s="19">
        <v>-1600</v>
      </c>
      <c r="AC1168" s="19">
        <v>-1400</v>
      </c>
      <c r="AD1168" s="19">
        <v>-1200</v>
      </c>
      <c r="AE1168" s="19">
        <v>-1000</v>
      </c>
      <c r="AF1168" s="19">
        <v>-800</v>
      </c>
      <c r="AG1168" s="19">
        <v>-600</v>
      </c>
      <c r="AH1168" s="19">
        <v>-400</v>
      </c>
      <c r="AI1168" s="19">
        <v>-200</v>
      </c>
      <c r="AJ1168" s="19">
        <v>0</v>
      </c>
      <c r="AK1168" s="19">
        <v>200</v>
      </c>
      <c r="AL1168" s="19">
        <v>400</v>
      </c>
      <c r="AM1168" s="19">
        <v>600</v>
      </c>
      <c r="AN1168" s="19">
        <v>800</v>
      </c>
      <c r="AO1168" s="19">
        <v>1000</v>
      </c>
      <c r="AP1168" s="19">
        <v>1200</v>
      </c>
      <c r="AQ1168" s="19">
        <v>1200</v>
      </c>
      <c r="AR1168" s="19">
        <v>1200</v>
      </c>
      <c r="AS1168" s="19">
        <v>1200</v>
      </c>
      <c r="AT1168" s="2"/>
      <c r="AU1168" s="2"/>
    </row>
    <row r="1169" spans="1:47" hidden="1" outlineLevel="1">
      <c r="A1169" s="2"/>
      <c r="B1169" s="2" t="s">
        <v>222</v>
      </c>
      <c r="C1169" s="38" t="s">
        <v>732</v>
      </c>
      <c r="D1169" s="38"/>
      <c r="E1169" s="38"/>
      <c r="F1169" s="38"/>
      <c r="G1169" s="38"/>
      <c r="H1169" s="38"/>
      <c r="I1169" s="38"/>
      <c r="J1169" s="38"/>
      <c r="K1169" s="6"/>
      <c r="L1169" s="6"/>
      <c r="M1169" s="6"/>
      <c r="N1169" s="2"/>
      <c r="O1169" s="19">
        <v>0</v>
      </c>
      <c r="P1169" s="570">
        <v>-550</v>
      </c>
      <c r="Q1169" s="570">
        <v>-683.75397957012501</v>
      </c>
      <c r="R1169" s="570">
        <v>-560</v>
      </c>
      <c r="S1169" s="570">
        <v>-711</v>
      </c>
      <c r="T1169" s="570">
        <v>-733.23776637278047</v>
      </c>
      <c r="U1169" s="570">
        <v>-715.86187448067176</v>
      </c>
      <c r="V1169" s="570">
        <v>-620</v>
      </c>
      <c r="W1169" s="570">
        <v>-2200</v>
      </c>
      <c r="X1169" s="570">
        <v>-2000</v>
      </c>
      <c r="Y1169" s="570">
        <v>-2100</v>
      </c>
      <c r="Z1169" s="570">
        <v>-1800</v>
      </c>
      <c r="AA1169" s="19">
        <v>-1600</v>
      </c>
      <c r="AB1169" s="19">
        <v>-1400</v>
      </c>
      <c r="AC1169" s="19">
        <v>-1200</v>
      </c>
      <c r="AD1169" s="19">
        <v>-1000</v>
      </c>
      <c r="AE1169" s="19">
        <v>-800</v>
      </c>
      <c r="AF1169" s="19">
        <v>-600</v>
      </c>
      <c r="AG1169" s="19">
        <v>-400</v>
      </c>
      <c r="AH1169" s="19">
        <v>-200</v>
      </c>
      <c r="AI1169" s="19">
        <v>0</v>
      </c>
      <c r="AJ1169" s="19">
        <v>200</v>
      </c>
      <c r="AK1169" s="19">
        <v>400</v>
      </c>
      <c r="AL1169" s="19">
        <v>600</v>
      </c>
      <c r="AM1169" s="19">
        <v>800</v>
      </c>
      <c r="AN1169" s="19">
        <v>1000</v>
      </c>
      <c r="AO1169" s="19">
        <v>1200</v>
      </c>
      <c r="AP1169" s="19">
        <v>1400</v>
      </c>
      <c r="AQ1169" s="19">
        <v>1400</v>
      </c>
      <c r="AR1169" s="19">
        <v>1400</v>
      </c>
      <c r="AS1169" s="19">
        <v>1400</v>
      </c>
      <c r="AT1169" s="2"/>
      <c r="AU1169" s="2"/>
    </row>
    <row r="1170" spans="1:47" hidden="1" outlineLevel="1">
      <c r="A1170" s="2"/>
      <c r="B1170" s="2" t="s">
        <v>223</v>
      </c>
      <c r="C1170" s="38" t="s">
        <v>732</v>
      </c>
      <c r="D1170" s="38"/>
      <c r="E1170" s="38"/>
      <c r="F1170" s="38"/>
      <c r="G1170" s="38"/>
      <c r="H1170" s="38"/>
      <c r="I1170" s="38"/>
      <c r="J1170" s="38"/>
      <c r="K1170" s="6"/>
      <c r="L1170" s="6"/>
      <c r="M1170" s="6"/>
      <c r="N1170" s="2"/>
      <c r="O1170" s="19">
        <v>0</v>
      </c>
      <c r="P1170" s="19">
        <v>-436.5</v>
      </c>
      <c r="Q1170" s="19">
        <v>-616.87698978506251</v>
      </c>
      <c r="R1170" s="19">
        <v>-560</v>
      </c>
      <c r="S1170" s="19">
        <v>-711</v>
      </c>
      <c r="T1170" s="19">
        <v>-722.11888318639024</v>
      </c>
      <c r="U1170" s="19">
        <v>-724.54982042672611</v>
      </c>
      <c r="V1170" s="19">
        <v>-668</v>
      </c>
      <c r="W1170" s="19">
        <v>-1410</v>
      </c>
      <c r="X1170" s="19">
        <v>-2100</v>
      </c>
      <c r="Y1170" s="19">
        <v>-2050</v>
      </c>
      <c r="Z1170" s="19">
        <v>-1950</v>
      </c>
      <c r="AA1170" s="19">
        <v>-1700</v>
      </c>
      <c r="AB1170" s="19">
        <v>-1500</v>
      </c>
      <c r="AC1170" s="19">
        <v>-1300</v>
      </c>
      <c r="AD1170" s="19">
        <v>-1100</v>
      </c>
      <c r="AE1170" s="19">
        <v>-900</v>
      </c>
      <c r="AF1170" s="19">
        <v>-700</v>
      </c>
      <c r="AG1170" s="19">
        <v>-500</v>
      </c>
      <c r="AH1170" s="19">
        <v>-300</v>
      </c>
      <c r="AI1170" s="19">
        <v>-100</v>
      </c>
      <c r="AJ1170" s="19">
        <v>100</v>
      </c>
      <c r="AK1170" s="19">
        <v>300</v>
      </c>
      <c r="AL1170" s="19">
        <v>500</v>
      </c>
      <c r="AM1170" s="19">
        <v>700</v>
      </c>
      <c r="AN1170" s="19">
        <v>900</v>
      </c>
      <c r="AO1170" s="19">
        <v>1100</v>
      </c>
      <c r="AP1170" s="19">
        <v>1300</v>
      </c>
      <c r="AQ1170" s="19">
        <v>1300</v>
      </c>
      <c r="AR1170" s="19">
        <v>1300</v>
      </c>
      <c r="AS1170" s="19">
        <v>1300</v>
      </c>
      <c r="AT1170" s="2"/>
      <c r="AU1170" s="2"/>
    </row>
    <row r="1171" spans="1:47" hidden="1" outlineLevel="1">
      <c r="A1171" s="2"/>
      <c r="B1171" s="2" t="s">
        <v>224</v>
      </c>
      <c r="C1171" s="38" t="s">
        <v>733</v>
      </c>
      <c r="D1171" s="38"/>
      <c r="E1171" s="38"/>
      <c r="F1171" s="38"/>
      <c r="G1171" s="38"/>
      <c r="H1171" s="38"/>
      <c r="I1171" s="38"/>
      <c r="J1171" s="38"/>
      <c r="K1171" s="80"/>
      <c r="L1171" s="80"/>
      <c r="M1171" s="165"/>
      <c r="N1171" s="80"/>
      <c r="O1171" s="805">
        <v>0.05</v>
      </c>
      <c r="P1171" s="80">
        <v>0.05</v>
      </c>
      <c r="Q1171" s="80">
        <v>0.05</v>
      </c>
      <c r="R1171" s="80">
        <v>0.05</v>
      </c>
      <c r="S1171" s="805">
        <v>0.06</v>
      </c>
      <c r="T1171" s="805">
        <v>0.06</v>
      </c>
      <c r="U1171" s="805">
        <v>7.0000000000000007E-2</v>
      </c>
      <c r="V1171" s="80">
        <v>7.0000000000000007E-2</v>
      </c>
      <c r="W1171" s="80">
        <v>7.0000000000000007E-2</v>
      </c>
      <c r="X1171" s="80">
        <v>7.0000000000000007E-2</v>
      </c>
      <c r="Y1171" s="80">
        <v>7.0000000000000007E-2</v>
      </c>
      <c r="Z1171" s="80">
        <v>7.0000000000000007E-2</v>
      </c>
      <c r="AA1171" s="80">
        <v>7.0000000000000007E-2</v>
      </c>
      <c r="AB1171" s="80">
        <v>7.0000000000000007E-2</v>
      </c>
      <c r="AC1171" s="80">
        <v>7.0000000000000007E-2</v>
      </c>
      <c r="AD1171" s="80">
        <v>7.0000000000000007E-2</v>
      </c>
      <c r="AE1171" s="80">
        <v>7.0000000000000007E-2</v>
      </c>
      <c r="AF1171" s="80">
        <v>7.0000000000000007E-2</v>
      </c>
      <c r="AG1171" s="80">
        <v>7.0000000000000007E-2</v>
      </c>
      <c r="AH1171" s="80">
        <v>7.0000000000000007E-2</v>
      </c>
      <c r="AI1171" s="80">
        <v>7.0000000000000007E-2</v>
      </c>
      <c r="AJ1171" s="80">
        <v>7.0000000000000007E-2</v>
      </c>
      <c r="AK1171" s="80">
        <v>7.0000000000000007E-2</v>
      </c>
      <c r="AL1171" s="80">
        <v>7.0000000000000007E-2</v>
      </c>
      <c r="AM1171" s="80">
        <v>7.0000000000000007E-2</v>
      </c>
      <c r="AN1171" s="80">
        <v>7.0000000000000007E-2</v>
      </c>
      <c r="AO1171" s="80">
        <v>7.0000000000000007E-2</v>
      </c>
      <c r="AP1171" s="80">
        <v>7.0000000000000007E-2</v>
      </c>
      <c r="AQ1171" s="80">
        <v>7.0000000000000007E-2</v>
      </c>
      <c r="AR1171" s="80">
        <v>7.0000000000000007E-2</v>
      </c>
      <c r="AS1171" s="80">
        <v>7.0000000000000007E-2</v>
      </c>
      <c r="AT1171" s="2"/>
      <c r="AU1171" s="2"/>
    </row>
    <row r="1172" spans="1:47" hidden="1" outlineLevel="1">
      <c r="A1172" s="2"/>
      <c r="B1172" s="2" t="s">
        <v>168</v>
      </c>
      <c r="C1172" s="38" t="s">
        <v>733</v>
      </c>
      <c r="D1172" s="38"/>
      <c r="E1172" s="38"/>
      <c r="F1172" s="38"/>
      <c r="G1172" s="38"/>
      <c r="H1172" s="38"/>
      <c r="I1172" s="38"/>
      <c r="J1172" s="38"/>
      <c r="K1172" s="111"/>
      <c r="L1172" s="111"/>
      <c r="M1172" s="111"/>
      <c r="N1172" s="111"/>
      <c r="O1172" s="547">
        <v>0.03</v>
      </c>
      <c r="P1172" s="547">
        <v>4.7500000000000001E-2</v>
      </c>
      <c r="Q1172" s="547">
        <v>0.02</v>
      </c>
      <c r="R1172" s="547">
        <v>1.9400000000000001E-2</v>
      </c>
      <c r="S1172" s="547">
        <v>0.01</v>
      </c>
      <c r="T1172" s="547">
        <v>-1.0999999999999999E-2</v>
      </c>
      <c r="U1172" s="111">
        <v>-1.0999999999999999E-2</v>
      </c>
      <c r="V1172" s="111">
        <v>-1.0999999999999999E-2</v>
      </c>
      <c r="W1172" s="111">
        <v>-1.0999999999999999E-2</v>
      </c>
      <c r="X1172" s="111">
        <v>-1.0999999999999999E-2</v>
      </c>
      <c r="Y1172" s="111">
        <v>-1.0999999999999999E-2</v>
      </c>
      <c r="Z1172" s="111">
        <v>-1.0999999999999999E-2</v>
      </c>
      <c r="AA1172" s="111">
        <v>-1.0999999999999999E-2</v>
      </c>
      <c r="AB1172" s="111">
        <v>-1.0999999999999999E-2</v>
      </c>
      <c r="AC1172" s="111">
        <v>-1.0999999999999999E-2</v>
      </c>
      <c r="AD1172" s="111">
        <v>-1.0999999999999999E-2</v>
      </c>
      <c r="AE1172" s="111">
        <v>-1.0999999999999999E-2</v>
      </c>
      <c r="AF1172" s="111">
        <v>-1.0999999999999999E-2</v>
      </c>
      <c r="AG1172" s="111">
        <v>-1.0999999999999999E-2</v>
      </c>
      <c r="AH1172" s="111">
        <v>-1.0999999999999999E-2</v>
      </c>
      <c r="AI1172" s="111">
        <v>-1.0999999999999999E-2</v>
      </c>
      <c r="AJ1172" s="111">
        <v>-1.0999999999999999E-2</v>
      </c>
      <c r="AK1172" s="111">
        <v>-1.0999999999999999E-2</v>
      </c>
      <c r="AL1172" s="111">
        <v>-1.0999999999999999E-2</v>
      </c>
      <c r="AM1172" s="111">
        <v>-1.0999999999999999E-2</v>
      </c>
      <c r="AN1172" s="111">
        <v>-1.0999999999999999E-2</v>
      </c>
      <c r="AO1172" s="111">
        <v>-1.0999999999999999E-2</v>
      </c>
      <c r="AP1172" s="111">
        <v>-1.0999999999999999E-2</v>
      </c>
      <c r="AQ1172" s="111">
        <v>-1.0999999999999999E-2</v>
      </c>
      <c r="AR1172" s="111">
        <v>-1.0999999999999999E-2</v>
      </c>
      <c r="AS1172" s="111">
        <v>-1.0999999999999999E-2</v>
      </c>
      <c r="AT1172" s="2"/>
      <c r="AU1172" s="2"/>
    </row>
    <row r="1173" spans="1:47" hidden="1" outlineLevel="1">
      <c r="A1173" s="2"/>
      <c r="B1173" s="2" t="s">
        <v>169</v>
      </c>
      <c r="C1173" s="38" t="s">
        <v>733</v>
      </c>
      <c r="D1173" s="38"/>
      <c r="E1173" s="38"/>
      <c r="F1173" s="38"/>
      <c r="G1173" s="38"/>
      <c r="H1173" s="38"/>
      <c r="I1173" s="38"/>
      <c r="J1173" s="38"/>
      <c r="K1173" s="111"/>
      <c r="L1173" s="118"/>
      <c r="M1173" s="118"/>
      <c r="N1173" s="119"/>
      <c r="O1173" s="547">
        <v>0.1</v>
      </c>
      <c r="P1173" s="118">
        <v>9.7500000000000003E-2</v>
      </c>
      <c r="Q1173" s="118">
        <v>7.0000000000000007E-2</v>
      </c>
      <c r="R1173" s="118">
        <v>6.9400000000000003E-2</v>
      </c>
      <c r="S1173" s="118">
        <v>6.9999999999999993E-2</v>
      </c>
      <c r="T1173" s="118">
        <v>4.9000000000000002E-2</v>
      </c>
      <c r="U1173" s="806">
        <v>0.06</v>
      </c>
      <c r="V1173" s="806">
        <v>7.0000000000000007E-2</v>
      </c>
      <c r="W1173" s="118">
        <v>7.8926241134751773E-2</v>
      </c>
      <c r="X1173" s="127">
        <v>0.10662857142857143</v>
      </c>
      <c r="Y1173" s="807">
        <v>0.09</v>
      </c>
      <c r="Z1173" s="807">
        <v>0.08</v>
      </c>
      <c r="AA1173" s="808">
        <v>0.08</v>
      </c>
      <c r="AB1173" s="808">
        <v>0.08</v>
      </c>
      <c r="AC1173" s="808">
        <v>0.08</v>
      </c>
      <c r="AD1173" s="808">
        <v>0.08</v>
      </c>
      <c r="AE1173" s="808">
        <v>0.08</v>
      </c>
      <c r="AF1173" s="808">
        <v>0.08</v>
      </c>
      <c r="AG1173" s="808">
        <v>0.08</v>
      </c>
      <c r="AH1173" s="808">
        <v>0.08</v>
      </c>
      <c r="AI1173" s="808">
        <v>0.08</v>
      </c>
      <c r="AJ1173" s="808">
        <v>0.08</v>
      </c>
      <c r="AK1173" s="808">
        <v>0.08</v>
      </c>
      <c r="AL1173" s="808">
        <v>0.08</v>
      </c>
      <c r="AM1173" s="808">
        <v>0.08</v>
      </c>
      <c r="AN1173" s="808">
        <v>0.08</v>
      </c>
      <c r="AO1173" s="809">
        <v>0.08</v>
      </c>
      <c r="AP1173" s="809">
        <v>0.08</v>
      </c>
      <c r="AQ1173" s="809">
        <v>0.08</v>
      </c>
      <c r="AR1173" s="809">
        <v>0.08</v>
      </c>
      <c r="AS1173" s="809">
        <v>0.08</v>
      </c>
      <c r="AT1173" s="2"/>
      <c r="AU1173" s="2"/>
    </row>
    <row r="1174" spans="1:47" hidden="1" outlineLevel="1">
      <c r="A1174" s="2"/>
      <c r="B1174" s="2" t="s">
        <v>225</v>
      </c>
      <c r="C1174" s="18" t="s">
        <v>732</v>
      </c>
      <c r="D1174" s="18"/>
      <c r="E1174" s="18"/>
      <c r="F1174" s="18"/>
      <c r="G1174" s="18"/>
      <c r="H1174" s="18"/>
      <c r="I1174" s="18"/>
      <c r="J1174" s="18"/>
      <c r="K1174" s="6"/>
      <c r="L1174" s="6"/>
      <c r="M1174" s="6"/>
      <c r="N1174" s="2"/>
      <c r="O1174" s="3">
        <v>0</v>
      </c>
      <c r="P1174" s="3">
        <v>-53.625</v>
      </c>
      <c r="Q1174" s="3">
        <v>-47.862778569908755</v>
      </c>
      <c r="R1174" s="3">
        <v>-38.864000000000004</v>
      </c>
      <c r="S1174" s="3">
        <v>-49.769999999999996</v>
      </c>
      <c r="T1174" s="3">
        <v>-35.928650552266241</v>
      </c>
      <c r="U1174" s="3">
        <v>-42.951712468840306</v>
      </c>
      <c r="V1174" s="3">
        <v>-43.400000000000006</v>
      </c>
      <c r="W1174" s="566">
        <v>-111.286</v>
      </c>
      <c r="X1174" s="3">
        <v>-223.92000000000002</v>
      </c>
      <c r="Y1174" s="3">
        <v>-184.5</v>
      </c>
      <c r="Z1174" s="3">
        <v>-156</v>
      </c>
      <c r="AA1174" s="3">
        <v>-136</v>
      </c>
      <c r="AB1174" s="3">
        <v>-120</v>
      </c>
      <c r="AC1174" s="3">
        <v>-104</v>
      </c>
      <c r="AD1174" s="3">
        <v>-88</v>
      </c>
      <c r="AE1174" s="3">
        <v>-72</v>
      </c>
      <c r="AF1174" s="3">
        <v>-56</v>
      </c>
      <c r="AG1174" s="3">
        <v>-40</v>
      </c>
      <c r="AH1174" s="3">
        <v>-24</v>
      </c>
      <c r="AI1174" s="3">
        <v>-8</v>
      </c>
      <c r="AJ1174" s="3">
        <v>8</v>
      </c>
      <c r="AK1174" s="3">
        <v>24</v>
      </c>
      <c r="AL1174" s="3">
        <v>40</v>
      </c>
      <c r="AM1174" s="3">
        <v>56</v>
      </c>
      <c r="AN1174" s="3">
        <v>72</v>
      </c>
      <c r="AO1174" s="3">
        <v>88</v>
      </c>
      <c r="AP1174" s="3">
        <v>104</v>
      </c>
      <c r="AQ1174" s="3">
        <v>104</v>
      </c>
      <c r="AR1174" s="3">
        <v>104</v>
      </c>
      <c r="AS1174" s="3">
        <v>104</v>
      </c>
      <c r="AT1174" s="2"/>
      <c r="AU1174" s="2"/>
    </row>
    <row r="1175" spans="1:47" hidden="1" outlineLevel="1">
      <c r="A1175" s="2"/>
      <c r="B1175" s="2" t="s">
        <v>226</v>
      </c>
      <c r="C1175" s="18"/>
      <c r="D1175" s="18"/>
      <c r="E1175" s="18"/>
      <c r="F1175" s="18"/>
      <c r="G1175" s="18"/>
      <c r="H1175" s="18"/>
      <c r="I1175" s="18"/>
      <c r="J1175" s="18"/>
      <c r="K1175" s="6"/>
      <c r="L1175" s="6"/>
      <c r="M1175" s="6"/>
      <c r="N1175" s="2"/>
      <c r="O1175" s="2"/>
      <c r="P1175" s="2"/>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row>
    <row r="1176" spans="1:47" hidden="1" outlineLevel="1">
      <c r="A1176" s="2"/>
      <c r="B1176" s="2" t="s">
        <v>734</v>
      </c>
      <c r="C1176" s="38" t="s">
        <v>732</v>
      </c>
      <c r="D1176" s="38"/>
      <c r="E1176" s="38"/>
      <c r="F1176" s="38"/>
      <c r="G1176" s="38"/>
      <c r="H1176" s="38"/>
      <c r="I1176" s="38"/>
      <c r="J1176" s="38"/>
      <c r="K1176" s="6"/>
      <c r="L1176" s="6"/>
      <c r="M1176" s="6"/>
      <c r="N1176" s="2"/>
      <c r="O1176" s="570">
        <v>0</v>
      </c>
      <c r="P1176" s="457">
        <v>140.80124873228556</v>
      </c>
      <c r="Q1176" s="457">
        <v>263.83398820721266</v>
      </c>
      <c r="R1176" s="457">
        <v>357.79166713976133</v>
      </c>
      <c r="S1176" s="457">
        <v>479.07422631327609</v>
      </c>
      <c r="T1176" s="457">
        <v>521.95903709307458</v>
      </c>
      <c r="U1176" s="457">
        <v>607.50937606940101</v>
      </c>
      <c r="V1176" s="457">
        <v>558.64699999999993</v>
      </c>
      <c r="W1176" s="457">
        <v>659.85200000000009</v>
      </c>
      <c r="X1176" s="457">
        <v>907.88399999999956</v>
      </c>
      <c r="Y1176" s="457">
        <v>981</v>
      </c>
      <c r="Z1176" s="457">
        <v>900</v>
      </c>
      <c r="AA1176" s="457">
        <v>833.18273700000009</v>
      </c>
      <c r="AB1176" s="457">
        <v>757.13372200000003</v>
      </c>
      <c r="AC1176" s="457">
        <v>706.16881465254619</v>
      </c>
      <c r="AD1176" s="457">
        <v>592.83667081759359</v>
      </c>
      <c r="AE1176" s="457">
        <v>564.94370610558008</v>
      </c>
      <c r="AF1176" s="457">
        <v>540.09734792212657</v>
      </c>
      <c r="AG1176" s="457">
        <v>518.36981910368263</v>
      </c>
      <c r="AH1176" s="457">
        <v>499.76328007237157</v>
      </c>
      <c r="AI1176" s="457">
        <v>484.22764783701996</v>
      </c>
      <c r="AJ1176" s="457">
        <v>471.67489078814197</v>
      </c>
      <c r="AK1176" s="457">
        <v>461.99042968475169</v>
      </c>
      <c r="AL1176" s="457">
        <v>455.04216818208806</v>
      </c>
      <c r="AM1176" s="457">
        <v>450.68758684333852</v>
      </c>
      <c r="AN1176" s="457">
        <v>448.77925996137787</v>
      </c>
      <c r="AO1176" s="457">
        <v>449.16909229049656</v>
      </c>
      <c r="AP1176" s="457">
        <v>0</v>
      </c>
      <c r="AQ1176" s="457">
        <v>0</v>
      </c>
      <c r="AR1176" s="457">
        <v>0</v>
      </c>
      <c r="AS1176" s="457">
        <v>0</v>
      </c>
      <c r="AT1176" s="2"/>
      <c r="AU1176" s="2"/>
    </row>
    <row r="1177" spans="1:47" hidden="1" outlineLevel="1">
      <c r="A1177" s="298"/>
      <c r="B1177" s="2" t="s">
        <v>213</v>
      </c>
      <c r="C1177" s="38" t="s">
        <v>732</v>
      </c>
      <c r="D1177" s="38"/>
      <c r="E1177" s="38"/>
      <c r="F1177" s="38"/>
      <c r="G1177" s="38"/>
      <c r="H1177" s="38"/>
      <c r="I1177" s="38"/>
      <c r="J1177" s="38"/>
      <c r="K1177" s="6"/>
      <c r="L1177" s="6"/>
      <c r="M1177" s="6"/>
      <c r="N1177" s="6"/>
      <c r="O1177" s="19"/>
      <c r="P1177" s="19">
        <v>-53.625</v>
      </c>
      <c r="Q1177" s="19">
        <v>-47.862778569908755</v>
      </c>
      <c r="R1177" s="19">
        <v>-38.864000000000004</v>
      </c>
      <c r="S1177" s="19">
        <v>-49.769999999999996</v>
      </c>
      <c r="T1177" s="19">
        <v>-35.928650552266241</v>
      </c>
      <c r="U1177" s="19">
        <v>-42.951712468840306</v>
      </c>
      <c r="V1177" s="19">
        <v>-43.400000000000006</v>
      </c>
      <c r="W1177" s="19">
        <v>-111.286</v>
      </c>
      <c r="X1177" s="19">
        <v>-223.92000000000002</v>
      </c>
      <c r="Y1177" s="19">
        <v>-184.5</v>
      </c>
      <c r="Z1177" s="19">
        <v>-156</v>
      </c>
      <c r="AA1177" s="19">
        <v>-136</v>
      </c>
      <c r="AB1177" s="19">
        <v>-120</v>
      </c>
      <c r="AC1177" s="19">
        <v>-104</v>
      </c>
      <c r="AD1177" s="19">
        <v>-88</v>
      </c>
      <c r="AE1177" s="19">
        <v>-72</v>
      </c>
      <c r="AF1177" s="19">
        <v>-56</v>
      </c>
      <c r="AG1177" s="19">
        <v>-40</v>
      </c>
      <c r="AH1177" s="19">
        <v>-24</v>
      </c>
      <c r="AI1177" s="19">
        <v>-8</v>
      </c>
      <c r="AJ1177" s="19">
        <v>8</v>
      </c>
      <c r="AK1177" s="19">
        <v>24</v>
      </c>
      <c r="AL1177" s="19">
        <v>40</v>
      </c>
      <c r="AM1177" s="19">
        <v>56</v>
      </c>
      <c r="AN1177" s="19">
        <v>72</v>
      </c>
      <c r="AO1177" s="19">
        <v>88</v>
      </c>
      <c r="AP1177" s="19">
        <v>104</v>
      </c>
      <c r="AQ1177" s="19">
        <v>104</v>
      </c>
      <c r="AR1177" s="19">
        <v>104</v>
      </c>
      <c r="AS1177" s="19">
        <v>104</v>
      </c>
      <c r="AT1177" s="2"/>
      <c r="AU1177" s="2"/>
    </row>
    <row r="1178" spans="1:47" hidden="1" outlineLevel="1">
      <c r="A1178" s="298"/>
      <c r="B1178" s="2" t="s">
        <v>806</v>
      </c>
      <c r="C1178" s="38" t="s">
        <v>732</v>
      </c>
      <c r="D1178" s="38"/>
      <c r="E1178" s="38"/>
      <c r="F1178" s="38"/>
      <c r="G1178" s="38"/>
      <c r="H1178" s="38"/>
      <c r="I1178" s="38"/>
      <c r="J1178" s="38"/>
      <c r="K1178" s="6"/>
      <c r="L1178" s="6"/>
      <c r="M1178" s="6"/>
      <c r="N1178" s="6"/>
      <c r="O1178" s="570">
        <v>0</v>
      </c>
      <c r="P1178" s="19"/>
      <c r="Q1178" s="19"/>
      <c r="R1178" s="19"/>
      <c r="S1178" s="19"/>
      <c r="T1178" s="19"/>
      <c r="U1178" s="19"/>
      <c r="V1178" s="19"/>
      <c r="W1178" s="19"/>
      <c r="X1178" s="19"/>
      <c r="Y1178" s="19"/>
      <c r="Z1178" s="19"/>
      <c r="AA1178" s="19"/>
      <c r="AB1178" s="19"/>
      <c r="AC1178" s="19"/>
      <c r="AD1178" s="19"/>
      <c r="AE1178" s="19"/>
      <c r="AF1178" s="19"/>
      <c r="AG1178" s="19"/>
      <c r="AH1178" s="19"/>
      <c r="AI1178" s="19"/>
      <c r="AJ1178" s="19"/>
      <c r="AK1178" s="19"/>
      <c r="AL1178" s="19"/>
      <c r="AM1178" s="19"/>
      <c r="AN1178" s="19"/>
      <c r="AO1178" s="19"/>
      <c r="AP1178" s="19"/>
      <c r="AQ1178" s="19"/>
      <c r="AR1178" s="19"/>
      <c r="AS1178" s="19"/>
      <c r="AT1178" s="2"/>
      <c r="AU1178" s="2"/>
    </row>
    <row r="1179" spans="1:47" hidden="1" outlineLevel="1">
      <c r="A1179" s="298"/>
      <c r="B1179" s="2" t="s">
        <v>227</v>
      </c>
      <c r="C1179" s="38" t="s">
        <v>732</v>
      </c>
      <c r="D1179" s="38"/>
      <c r="E1179" s="38"/>
      <c r="F1179" s="38"/>
      <c r="G1179" s="38"/>
      <c r="H1179" s="38"/>
      <c r="I1179" s="38"/>
      <c r="J1179" s="38"/>
      <c r="K1179" s="6"/>
      <c r="L1179" s="6"/>
      <c r="M1179" s="6"/>
      <c r="N1179" s="6"/>
      <c r="O1179" s="570">
        <v>0</v>
      </c>
      <c r="P1179" s="570">
        <v>0</v>
      </c>
      <c r="Q1179" s="19">
        <v>-60</v>
      </c>
      <c r="R1179" s="19">
        <v>-64</v>
      </c>
      <c r="S1179" s="19">
        <v>-76.8</v>
      </c>
      <c r="T1179" s="19">
        <v>-116.73599999999999</v>
      </c>
      <c r="U1179" s="19">
        <v>-152.16537599999998</v>
      </c>
      <c r="V1179" s="19">
        <v>-181.07679743999998</v>
      </c>
      <c r="W1179" s="19">
        <v>-192.57517407743995</v>
      </c>
      <c r="X1179" s="19">
        <v>-202.20393278131195</v>
      </c>
      <c r="Y1179" s="19">
        <v>-212.31412942037755</v>
      </c>
      <c r="Z1179" s="19">
        <v>-222.92983589139644</v>
      </c>
      <c r="AA1179" s="19">
        <v>-234.07632768596628</v>
      </c>
      <c r="AB1179" s="19">
        <v>-245.78014407026461</v>
      </c>
      <c r="AC1179" s="19">
        <v>-258.06915127377783</v>
      </c>
      <c r="AD1179" s="19">
        <v>-270.97260883746674</v>
      </c>
      <c r="AE1179" s="19">
        <v>-289.94069145608944</v>
      </c>
      <c r="AF1179" s="19">
        <v>-310.2365398580157</v>
      </c>
      <c r="AG1179" s="19">
        <v>-331.95309764807683</v>
      </c>
      <c r="AH1179" s="19">
        <v>-355.18981448344221</v>
      </c>
      <c r="AI1179" s="19">
        <v>-380.05310149728319</v>
      </c>
      <c r="AJ1179" s="19">
        <v>-406.65681860209304</v>
      </c>
      <c r="AK1179" s="19">
        <v>-435.12279590423958</v>
      </c>
      <c r="AL1179" s="19">
        <v>-465.58139161753638</v>
      </c>
      <c r="AM1179" s="19">
        <v>-498.17208903076397</v>
      </c>
      <c r="AN1179" s="19">
        <v>-533.04413526291751</v>
      </c>
      <c r="AO1179" s="19">
        <v>-570.35722473132182</v>
      </c>
      <c r="AP1179" s="19">
        <v>-610.28223046251435</v>
      </c>
      <c r="AQ1179" s="19">
        <v>-610.28223046251435</v>
      </c>
      <c r="AR1179" s="19">
        <v>-610.28223046251435</v>
      </c>
      <c r="AS1179" s="19">
        <v>-610.28223046251435</v>
      </c>
      <c r="AT1179" s="2"/>
      <c r="AU1179" s="2"/>
    </row>
    <row r="1180" spans="1:47" hidden="1" outlineLevel="1">
      <c r="A1180" s="298"/>
      <c r="B1180" s="2" t="s">
        <v>495</v>
      </c>
      <c r="C1180" s="38" t="s">
        <v>732</v>
      </c>
      <c r="D1180" s="38"/>
      <c r="E1180" s="38"/>
      <c r="F1180" s="38"/>
      <c r="G1180" s="38"/>
      <c r="H1180" s="38"/>
      <c r="I1180" s="38"/>
      <c r="J1180" s="38"/>
      <c r="K1180" s="6"/>
      <c r="L1180" s="6"/>
      <c r="M1180" s="6"/>
      <c r="N1180" s="6"/>
      <c r="O1180" s="570">
        <v>0</v>
      </c>
      <c r="P1180" s="570">
        <v>0</v>
      </c>
      <c r="Q1180" s="570">
        <v>-200</v>
      </c>
      <c r="R1180" s="570">
        <v>-50</v>
      </c>
      <c r="S1180" s="570">
        <v>-252</v>
      </c>
      <c r="T1180" s="570">
        <v>-250</v>
      </c>
      <c r="U1180" s="570">
        <v>-264</v>
      </c>
      <c r="V1180" s="570">
        <v>-320</v>
      </c>
      <c r="W1180" s="570">
        <v>-319</v>
      </c>
      <c r="X1180" s="570">
        <v>-100</v>
      </c>
      <c r="Y1180" s="570">
        <v>-50</v>
      </c>
      <c r="Z1180" s="570">
        <v>-50</v>
      </c>
      <c r="AA1180" s="570">
        <v>-50</v>
      </c>
      <c r="AB1180" s="570">
        <v>-50</v>
      </c>
      <c r="AC1180" s="570">
        <v>-50</v>
      </c>
      <c r="AD1180" s="570">
        <v>-50</v>
      </c>
      <c r="AE1180" s="570">
        <v>-50</v>
      </c>
      <c r="AF1180" s="570">
        <v>-49</v>
      </c>
      <c r="AG1180" s="570">
        <v>-48</v>
      </c>
      <c r="AH1180" s="570">
        <v>-47</v>
      </c>
      <c r="AI1180" s="570">
        <v>-46</v>
      </c>
      <c r="AJ1180" s="570">
        <v>-46</v>
      </c>
      <c r="AK1180" s="570">
        <v>-46</v>
      </c>
      <c r="AL1180" s="570">
        <v>-46</v>
      </c>
      <c r="AM1180" s="570">
        <v>-46</v>
      </c>
      <c r="AN1180" s="570">
        <v>-46</v>
      </c>
      <c r="AO1180" s="570">
        <v>-46</v>
      </c>
      <c r="AP1180" s="570">
        <v>-46</v>
      </c>
      <c r="AQ1180" s="570">
        <v>-46</v>
      </c>
      <c r="AR1180" s="570">
        <v>-46</v>
      </c>
      <c r="AS1180" s="570">
        <v>-46</v>
      </c>
      <c r="AT1180" s="2"/>
      <c r="AU1180" s="2"/>
    </row>
    <row r="1181" spans="1:47" hidden="1" outlineLevel="1">
      <c r="A1181" s="298"/>
      <c r="B1181" s="2" t="s">
        <v>3</v>
      </c>
      <c r="C1181" s="38" t="s">
        <v>732</v>
      </c>
      <c r="D1181" s="38"/>
      <c r="E1181" s="38"/>
      <c r="F1181" s="38"/>
      <c r="G1181" s="38"/>
      <c r="H1181" s="38"/>
      <c r="I1181" s="38"/>
      <c r="J1181" s="38"/>
      <c r="K1181" s="6"/>
      <c r="L1181" s="6"/>
      <c r="M1181" s="6"/>
      <c r="N1181" s="6"/>
      <c r="O1181" s="19">
        <v>0</v>
      </c>
      <c r="P1181" s="19">
        <v>87.176248732285558</v>
      </c>
      <c r="Q1181" s="19">
        <v>-44.0287903626961</v>
      </c>
      <c r="R1181" s="19">
        <v>204.9276671397613</v>
      </c>
      <c r="S1181" s="19">
        <v>100.50422631327609</v>
      </c>
      <c r="T1181" s="19">
        <v>119.29438654080838</v>
      </c>
      <c r="U1181" s="19">
        <v>148.39228760056068</v>
      </c>
      <c r="V1181" s="19">
        <v>14.170202560000007</v>
      </c>
      <c r="W1181" s="19">
        <v>36.990825922560077</v>
      </c>
      <c r="X1181" s="19">
        <v>381.76006721868754</v>
      </c>
      <c r="Y1181" s="19">
        <v>534.18587057962247</v>
      </c>
      <c r="Z1181" s="19">
        <v>471.07016410860354</v>
      </c>
      <c r="AA1181" s="19">
        <v>413.10640931403384</v>
      </c>
      <c r="AB1181" s="19">
        <v>341.35357792973542</v>
      </c>
      <c r="AC1181" s="19">
        <v>294.09966337876835</v>
      </c>
      <c r="AD1181" s="19">
        <v>183.86406198012685</v>
      </c>
      <c r="AE1181" s="19">
        <v>153.00301464949064</v>
      </c>
      <c r="AF1181" s="19">
        <v>124.86080806411087</v>
      </c>
      <c r="AG1181" s="19">
        <v>98.416721455605796</v>
      </c>
      <c r="AH1181" s="19">
        <v>73.573465588929366</v>
      </c>
      <c r="AI1181" s="19">
        <v>50.174546339736764</v>
      </c>
      <c r="AJ1181" s="19">
        <v>27.018072186048926</v>
      </c>
      <c r="AK1181" s="19">
        <v>4.8676337805121079</v>
      </c>
      <c r="AL1181" s="19">
        <v>-16.539223435448321</v>
      </c>
      <c r="AM1181" s="19">
        <v>-37.484502187425448</v>
      </c>
      <c r="AN1181" s="19">
        <v>-58.264875301539632</v>
      </c>
      <c r="AO1181" s="19">
        <v>-79.188132440825257</v>
      </c>
      <c r="AP1181" s="19">
        <v>-552.28223046251435</v>
      </c>
      <c r="AQ1181" s="19">
        <v>-552.28223046251435</v>
      </c>
      <c r="AR1181" s="19">
        <v>-552.28223046251435</v>
      </c>
      <c r="AS1181" s="19">
        <v>-552.28223046251435</v>
      </c>
      <c r="AT1181" s="2"/>
      <c r="AU1181" s="2"/>
    </row>
    <row r="1182" spans="1:47" hidden="1" outlineLevel="1">
      <c r="A1182" s="298"/>
      <c r="B1182" s="2"/>
      <c r="C1182" s="18"/>
      <c r="D1182" s="18"/>
      <c r="E1182" s="18"/>
      <c r="F1182" s="18"/>
      <c r="G1182" s="18"/>
      <c r="H1182" s="18"/>
      <c r="I1182" s="18"/>
      <c r="J1182" s="18"/>
      <c r="K1182" s="6"/>
      <c r="L1182" s="6"/>
      <c r="M1182" s="6"/>
      <c r="N1182" s="6"/>
      <c r="O1182" s="6"/>
      <c r="P1182" s="6"/>
      <c r="Q1182" s="6"/>
      <c r="R1182" s="6"/>
      <c r="S1182" s="6"/>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row>
    <row r="1183" spans="1:47" ht="18" hidden="1" outlineLevel="1">
      <c r="A1183" s="299" t="s">
        <v>1163</v>
      </c>
      <c r="B1183" s="740" t="s">
        <v>1302</v>
      </c>
      <c r="C1183" s="741"/>
      <c r="D1183" s="742"/>
      <c r="E1183" s="742"/>
      <c r="F1183" s="742"/>
      <c r="G1183" s="742"/>
      <c r="H1183" s="742"/>
      <c r="I1183" s="742"/>
      <c r="J1183" s="742"/>
      <c r="K1183" s="742"/>
      <c r="L1183" s="742"/>
      <c r="M1183" s="742"/>
      <c r="N1183" s="742"/>
      <c r="O1183" s="742"/>
      <c r="P1183" s="742"/>
      <c r="Q1183" s="742"/>
      <c r="R1183" s="742"/>
      <c r="S1183" s="742"/>
      <c r="T1183" s="742"/>
      <c r="U1183" s="742"/>
      <c r="V1183" s="742"/>
      <c r="W1183" s="742"/>
      <c r="X1183" s="742"/>
      <c r="Y1183" s="742"/>
      <c r="Z1183" s="742"/>
      <c r="AA1183" s="742"/>
      <c r="AB1183" s="742"/>
      <c r="AC1183" s="742"/>
      <c r="AD1183" s="742"/>
      <c r="AE1183" s="742"/>
      <c r="AF1183" s="742"/>
      <c r="AG1183" s="742"/>
      <c r="AH1183" s="742"/>
      <c r="AI1183" s="742"/>
      <c r="AJ1183" s="742"/>
      <c r="AK1183" s="742"/>
      <c r="AL1183" s="742"/>
      <c r="AM1183" s="742"/>
      <c r="AN1183" s="742"/>
      <c r="AO1183" s="742"/>
      <c r="AP1183" s="742"/>
      <c r="AQ1183" s="742"/>
      <c r="AR1183" s="742"/>
      <c r="AS1183" s="742"/>
      <c r="AT1183" s="2"/>
      <c r="AU1183" s="2"/>
    </row>
    <row r="1184" spans="1:47" hidden="1" outlineLevel="1">
      <c r="A1184" s="298"/>
      <c r="B1184" s="4"/>
      <c r="C1184" s="112"/>
      <c r="D1184" s="3"/>
      <c r="E1184" s="3"/>
      <c r="F1184" s="3"/>
      <c r="G1184" s="3"/>
      <c r="H1184" s="3"/>
      <c r="I1184" s="3"/>
      <c r="J1184" s="3"/>
      <c r="K1184" s="3"/>
      <c r="L1184" s="3"/>
      <c r="M1184" s="3"/>
      <c r="N1184" s="3"/>
      <c r="O1184" s="3"/>
      <c r="P1184" s="3"/>
      <c r="Q1184" s="3"/>
      <c r="R1184" s="3"/>
      <c r="S1184" s="3"/>
      <c r="T1184" s="3"/>
      <c r="U1184" s="3"/>
      <c r="V1184" s="3"/>
      <c r="W1184" s="3"/>
      <c r="X1184" s="3"/>
      <c r="Y1184" s="3"/>
      <c r="Z1184" s="3"/>
      <c r="AA1184" s="3"/>
      <c r="AB1184" s="3"/>
      <c r="AC1184" s="2"/>
      <c r="AD1184" s="2"/>
      <c r="AE1184" s="2"/>
      <c r="AF1184" s="2"/>
      <c r="AG1184" s="2"/>
      <c r="AH1184" s="2"/>
      <c r="AI1184" s="2"/>
      <c r="AJ1184" s="2"/>
      <c r="AK1184" s="2"/>
      <c r="AL1184" s="2"/>
      <c r="AM1184" s="2"/>
      <c r="AN1184" s="2"/>
      <c r="AO1184" s="2"/>
      <c r="AP1184" s="2"/>
      <c r="AQ1184" s="2"/>
      <c r="AR1184" s="2"/>
      <c r="AS1184" s="2"/>
      <c r="AT1184" s="2"/>
      <c r="AU1184" s="2"/>
    </row>
    <row r="1185" spans="1:47" hidden="1" outlineLevel="1">
      <c r="A1185" s="298"/>
      <c r="B1185" s="4" t="s">
        <v>731</v>
      </c>
      <c r="C1185" s="112"/>
      <c r="D1185" s="3"/>
      <c r="E1185" s="3"/>
      <c r="F1185" s="3"/>
      <c r="G1185" s="3"/>
      <c r="H1185" s="3"/>
      <c r="I1185" s="3"/>
      <c r="J1185" s="3"/>
      <c r="K1185" s="3"/>
      <c r="L1185" s="3"/>
      <c r="M1185" s="3"/>
      <c r="N1185" s="3"/>
      <c r="O1185" s="3"/>
      <c r="P1185" s="3"/>
      <c r="Q1185" s="3"/>
      <c r="R1185" s="3"/>
      <c r="S1185" s="3"/>
      <c r="T1185" s="3"/>
      <c r="U1185" s="3"/>
      <c r="V1185" s="3"/>
      <c r="W1185" s="3"/>
      <c r="X1185" s="3"/>
      <c r="Y1185" s="3"/>
      <c r="Z1185" s="3"/>
      <c r="AA1185" s="3"/>
      <c r="AB1185" s="3"/>
      <c r="AC1185" s="2"/>
      <c r="AD1185" s="2"/>
      <c r="AE1185" s="2"/>
      <c r="AF1185" s="2"/>
      <c r="AG1185" s="2"/>
      <c r="AH1185" s="2"/>
      <c r="AI1185" s="2"/>
      <c r="AJ1185" s="2"/>
      <c r="AK1185" s="2"/>
      <c r="AL1185" s="2"/>
      <c r="AM1185" s="2"/>
      <c r="AN1185" s="2"/>
      <c r="AO1185" s="2"/>
      <c r="AP1185" s="2"/>
      <c r="AQ1185" s="2"/>
      <c r="AR1185" s="2"/>
      <c r="AS1185" s="2"/>
      <c r="AT1185" s="2"/>
      <c r="AU1185" s="2" t="s">
        <v>898</v>
      </c>
    </row>
    <row r="1186" spans="1:47" hidden="1" outlineLevel="1">
      <c r="A1186" s="298"/>
      <c r="B1186" s="2" t="s">
        <v>12</v>
      </c>
      <c r="C1186" s="18" t="s">
        <v>192</v>
      </c>
      <c r="D1186" s="18"/>
      <c r="E1186" s="18"/>
      <c r="F1186" s="18"/>
      <c r="G1186" s="18"/>
      <c r="H1186" s="18"/>
      <c r="I1186" s="18"/>
      <c r="J1186" s="18"/>
      <c r="K1186" s="3">
        <v>7.2499000000000002</v>
      </c>
      <c r="L1186" s="3">
        <v>7.3929999999999998</v>
      </c>
      <c r="M1186" s="3">
        <v>7.5101000000000004</v>
      </c>
      <c r="N1186" s="3">
        <v>7.6449999999999996</v>
      </c>
      <c r="O1186" s="3">
        <v>7.7830000000000004</v>
      </c>
      <c r="P1186" s="3">
        <v>7.92</v>
      </c>
      <c r="Q1186" s="3">
        <v>8.0579999999999998</v>
      </c>
      <c r="R1186" s="3">
        <v>8.1859999999999999</v>
      </c>
      <c r="S1186" s="3">
        <v>8.3149999999999995</v>
      </c>
      <c r="T1186" s="3">
        <v>8.4450000000000003</v>
      </c>
      <c r="U1186" s="3">
        <v>8.5749999999999993</v>
      </c>
      <c r="V1186" s="3">
        <v>8.7059999999999995</v>
      </c>
      <c r="W1186" s="3">
        <v>8.8191779999999991</v>
      </c>
      <c r="X1186" s="3">
        <v>8.9338273139999984</v>
      </c>
      <c r="Y1186" s="3">
        <v>9.0499670690819976</v>
      </c>
      <c r="Z1186" s="3">
        <v>9.1676166409800626</v>
      </c>
      <c r="AA1186" s="3">
        <v>9.286795657312803</v>
      </c>
      <c r="AB1186" s="3">
        <v>9.4075240008578689</v>
      </c>
      <c r="AC1186" s="3">
        <v>9.5298218128690202</v>
      </c>
      <c r="AD1186" s="3">
        <v>9.653709496436317</v>
      </c>
      <c r="AE1186" s="3">
        <v>9.7792077198899889</v>
      </c>
      <c r="AF1186" s="3">
        <v>9.9063374202485583</v>
      </c>
      <c r="AG1186" s="3">
        <v>10.035119806711789</v>
      </c>
      <c r="AH1186" s="3">
        <v>10.16557636419904</v>
      </c>
      <c r="AI1186" s="3">
        <v>10.297728856933627</v>
      </c>
      <c r="AJ1186" s="3">
        <v>10.431599332073764</v>
      </c>
      <c r="AK1186" s="3">
        <v>10.567210123390723</v>
      </c>
      <c r="AL1186" s="3">
        <v>10.704583854994802</v>
      </c>
      <c r="AM1186" s="3">
        <v>10.843743445109732</v>
      </c>
      <c r="AN1186" s="3">
        <v>10.984712109896158</v>
      </c>
      <c r="AO1186" s="3">
        <v>11.127513367324807</v>
      </c>
      <c r="AP1186" s="3">
        <v>11.272171041100028</v>
      </c>
      <c r="AQ1186" s="3">
        <v>11.272171041100028</v>
      </c>
      <c r="AR1186" s="3">
        <v>11.272171041100028</v>
      </c>
      <c r="AS1186" s="3">
        <v>11.272171041100028</v>
      </c>
      <c r="AT1186" s="2"/>
      <c r="AU1186" s="2"/>
    </row>
    <row r="1187" spans="1:47" hidden="1" outlineLevel="1">
      <c r="A1187" s="298"/>
      <c r="B1187" s="241" t="s">
        <v>1099</v>
      </c>
      <c r="C1187" s="38" t="s">
        <v>733</v>
      </c>
      <c r="D1187" s="18"/>
      <c r="E1187" s="18"/>
      <c r="F1187" s="18"/>
      <c r="G1187" s="18"/>
      <c r="H1187" s="18"/>
      <c r="I1187" s="18"/>
      <c r="J1187" s="18"/>
      <c r="K1187" s="3"/>
      <c r="L1187" s="3"/>
      <c r="M1187" s="3"/>
      <c r="N1187" s="3"/>
      <c r="O1187" s="3"/>
      <c r="P1187" s="3"/>
      <c r="Q1187" s="3"/>
      <c r="R1187" s="3"/>
      <c r="S1187" s="3"/>
      <c r="T1187" s="3"/>
      <c r="U1187" s="2">
        <v>1.5393724097098715E-2</v>
      </c>
      <c r="V1187" s="2">
        <v>1.5276967930029084E-2</v>
      </c>
      <c r="W1187" s="2">
        <v>1.2999999999999901E-2</v>
      </c>
      <c r="X1187" s="2">
        <v>1.2999999999999901E-2</v>
      </c>
      <c r="Y1187" s="2">
        <v>1.2999999999999901E-2</v>
      </c>
      <c r="Z1187" s="2">
        <v>1.2999999999999901E-2</v>
      </c>
      <c r="AA1187" s="2">
        <v>1.2999999999999901E-2</v>
      </c>
      <c r="AB1187" s="2">
        <v>1.2999999999999901E-2</v>
      </c>
      <c r="AC1187" s="2">
        <v>1.2999999999999901E-2</v>
      </c>
      <c r="AD1187" s="2">
        <v>1.2999999999999901E-2</v>
      </c>
      <c r="AE1187" s="2">
        <v>1.2999999999999901E-2</v>
      </c>
      <c r="AF1187" s="2">
        <v>1.2999999999999901E-2</v>
      </c>
      <c r="AG1187" s="2">
        <v>1.2999999999999901E-2</v>
      </c>
      <c r="AH1187" s="2">
        <v>1.2999999999999901E-2</v>
      </c>
      <c r="AI1187" s="2">
        <v>1.2999999999999901E-2</v>
      </c>
      <c r="AJ1187" s="2">
        <v>1.2999999999999901E-2</v>
      </c>
      <c r="AK1187" s="2">
        <v>1.2999999999999901E-2</v>
      </c>
      <c r="AL1187" s="2">
        <v>1.2999999999999901E-2</v>
      </c>
      <c r="AM1187" s="2">
        <v>1.2999999999999901E-2</v>
      </c>
      <c r="AN1187" s="2">
        <v>1.2999999999999901E-2</v>
      </c>
      <c r="AO1187" s="2">
        <v>1.2999999999999901E-2</v>
      </c>
      <c r="AP1187" s="2">
        <v>1.2999999999999901E-2</v>
      </c>
      <c r="AQ1187" s="2">
        <v>1.2999999999999901E-2</v>
      </c>
      <c r="AR1187" s="2">
        <v>1.2999999999999901E-2</v>
      </c>
      <c r="AS1187" s="2">
        <v>1.2999999999999901E-2</v>
      </c>
      <c r="AT1187" s="2"/>
      <c r="AU1187" s="2"/>
    </row>
    <row r="1188" spans="1:47" hidden="1" outlineLevel="1">
      <c r="A1188" s="308"/>
      <c r="B1188" s="810" t="s">
        <v>1164</v>
      </c>
      <c r="C1188" s="310" t="s">
        <v>733</v>
      </c>
      <c r="D1188" s="308"/>
      <c r="E1188" s="308"/>
      <c r="F1188" s="308"/>
      <c r="G1188" s="308"/>
      <c r="H1188" s="308"/>
      <c r="I1188" s="308"/>
      <c r="J1188" s="308"/>
      <c r="K1188" s="514"/>
      <c r="L1188" s="514"/>
      <c r="M1188" s="514"/>
      <c r="N1188" s="514"/>
      <c r="O1188" s="514"/>
      <c r="P1188" s="514"/>
      <c r="Q1188" s="514"/>
      <c r="R1188" s="514"/>
      <c r="S1188" s="514"/>
      <c r="T1188" s="514"/>
      <c r="U1188" s="312">
        <v>0.27742451602242163</v>
      </c>
      <c r="V1188" s="312">
        <v>0.27749920630275693</v>
      </c>
      <c r="W1188" s="312">
        <v>0.29150672189197713</v>
      </c>
      <c r="X1188" s="312">
        <v>0.2682568836463628</v>
      </c>
      <c r="Y1188" s="312">
        <v>0.28950381587032287</v>
      </c>
      <c r="Z1188" s="312">
        <v>0.30618645062583227</v>
      </c>
      <c r="AA1188" s="312">
        <v>0.30441070357501665</v>
      </c>
      <c r="AB1188" s="312">
        <v>0.29508295697644327</v>
      </c>
      <c r="AC1188" s="312">
        <v>0.28563800598287353</v>
      </c>
      <c r="AD1188" s="312">
        <v>0.27561106121767914</v>
      </c>
      <c r="AE1188" s="312">
        <v>0.26519185063380313</v>
      </c>
      <c r="AF1188" s="312">
        <v>0.2545381448947085</v>
      </c>
      <c r="AG1188" s="312">
        <v>0.24378039143114077</v>
      </c>
      <c r="AH1188" s="312">
        <v>0.23302571282036205</v>
      </c>
      <c r="AI1188" s="312">
        <v>0.22236135464316825</v>
      </c>
      <c r="AJ1188" s="312">
        <v>0.21185765668826106</v>
      </c>
      <c r="AK1188" s="312">
        <v>0.2015706115761077</v>
      </c>
      <c r="AL1188" s="312">
        <v>0.19154406636946389</v>
      </c>
      <c r="AM1188" s="312">
        <v>0.18181161535519247</v>
      </c>
      <c r="AN1188" s="312">
        <v>0.17239822577414671</v>
      </c>
      <c r="AO1188" s="312">
        <v>0.16332163271441114</v>
      </c>
      <c r="AP1188" s="312">
        <v>0.15459353455664862</v>
      </c>
      <c r="AQ1188" s="312">
        <v>0.15459353455664862</v>
      </c>
      <c r="AR1188" s="312">
        <v>0.15459353455664862</v>
      </c>
      <c r="AS1188" s="312">
        <v>0.15459353455664862</v>
      </c>
      <c r="AT1188" s="312"/>
      <c r="AU1188" s="514"/>
    </row>
    <row r="1189" spans="1:47" hidden="1" outlineLevel="1">
      <c r="A1189" s="298"/>
      <c r="B1189" s="3" t="s">
        <v>902</v>
      </c>
      <c r="C1189" s="38" t="s">
        <v>912</v>
      </c>
      <c r="D1189" s="3"/>
      <c r="E1189" s="3"/>
      <c r="F1189" s="3"/>
      <c r="G1189" s="3"/>
      <c r="H1189" s="3"/>
      <c r="I1189" s="3"/>
      <c r="J1189" s="3"/>
      <c r="K1189" s="3"/>
      <c r="L1189" s="3"/>
      <c r="M1189" s="3"/>
      <c r="N1189" s="3"/>
      <c r="O1189" s="3"/>
      <c r="P1189" s="3"/>
      <c r="Q1189" s="3"/>
      <c r="R1189" s="3"/>
      <c r="S1189" s="3"/>
      <c r="T1189" s="3">
        <v>0</v>
      </c>
      <c r="U1189" s="3">
        <v>2358.6500479631181</v>
      </c>
      <c r="V1189" s="3">
        <v>2378.9152248922655</v>
      </c>
      <c r="W1189" s="3">
        <v>2415.9080900718018</v>
      </c>
      <c r="X1189" s="3">
        <v>2570.8496685618429</v>
      </c>
      <c r="Y1189" s="566">
        <v>2481</v>
      </c>
      <c r="Z1189" s="3">
        <v>2620</v>
      </c>
      <c r="AA1189" s="3">
        <v>2807</v>
      </c>
      <c r="AB1189" s="3">
        <v>2827</v>
      </c>
      <c r="AC1189" s="3">
        <v>2776</v>
      </c>
      <c r="AD1189" s="3">
        <v>2722.0793000000003</v>
      </c>
      <c r="AE1189" s="3">
        <v>2660.6691190000006</v>
      </c>
      <c r="AF1189" s="3">
        <v>2593.3661929700006</v>
      </c>
      <c r="AG1189" s="3">
        <v>2521.5407496511007</v>
      </c>
      <c r="AH1189" s="3">
        <v>2446.3654345385935</v>
      </c>
      <c r="AI1189" s="3">
        <v>2368.8406784973058</v>
      </c>
      <c r="AJ1189" s="3">
        <v>2289.8169383758059</v>
      </c>
      <c r="AK1189" s="3">
        <v>2210.0141900039771</v>
      </c>
      <c r="AL1189" s="3">
        <v>2130.0390072251043</v>
      </c>
      <c r="AM1189" s="3">
        <v>2050.3995203786158</v>
      </c>
      <c r="AN1189" s="3">
        <v>1971.51851225268</v>
      </c>
      <c r="AO1189" s="3">
        <v>1893.7448783858813</v>
      </c>
      <c r="AP1189" s="3">
        <v>1817.3636512029225</v>
      </c>
      <c r="AQ1189" s="3">
        <v>1817.3636512029225</v>
      </c>
      <c r="AR1189" s="3">
        <v>1817.3636512029225</v>
      </c>
      <c r="AS1189" s="3">
        <v>1817.3636512029225</v>
      </c>
      <c r="AT1189" s="2"/>
      <c r="AU1189" s="2"/>
    </row>
    <row r="1190" spans="1:47" hidden="1" outlineLevel="1">
      <c r="A1190" s="308"/>
      <c r="B1190" s="810" t="s">
        <v>1099</v>
      </c>
      <c r="C1190" s="811" t="s">
        <v>733</v>
      </c>
      <c r="D1190" s="312"/>
      <c r="E1190" s="312"/>
      <c r="F1190" s="312"/>
      <c r="G1190" s="312"/>
      <c r="H1190" s="312"/>
      <c r="I1190" s="312"/>
      <c r="J1190" s="312"/>
      <c r="K1190" s="312"/>
      <c r="L1190" s="312"/>
      <c r="M1190" s="312"/>
      <c r="N1190" s="312"/>
      <c r="O1190" s="312"/>
      <c r="P1190" s="312"/>
      <c r="Q1190" s="312"/>
      <c r="R1190" s="312"/>
      <c r="S1190" s="312"/>
      <c r="T1190" s="313"/>
      <c r="U1190" s="312"/>
      <c r="V1190" s="312">
        <v>8.591854033898727E-3</v>
      </c>
      <c r="W1190" s="312">
        <v>1.555030830542159E-2</v>
      </c>
      <c r="X1190" s="312">
        <v>6.4133887843984994E-2</v>
      </c>
      <c r="Y1190" s="312">
        <v>-3.4949405895096763E-2</v>
      </c>
      <c r="Z1190" s="312">
        <v>5.6025796049979926E-2</v>
      </c>
      <c r="AA1190" s="312">
        <v>7.137404580152662E-2</v>
      </c>
      <c r="AB1190" s="312">
        <v>7.1250445315282906E-3</v>
      </c>
      <c r="AC1190" s="312">
        <v>-1.8040325433321569E-2</v>
      </c>
      <c r="AD1190" s="312">
        <v>-1.9423883285302423E-2</v>
      </c>
      <c r="AE1190" s="312">
        <v>-2.2560026447429271E-2</v>
      </c>
      <c r="AF1190" s="312">
        <v>-2.5295488848795844E-2</v>
      </c>
      <c r="AG1190" s="312">
        <v>-2.7695835441057914E-2</v>
      </c>
      <c r="AH1190" s="312">
        <v>-2.9813246176136121E-2</v>
      </c>
      <c r="AI1190" s="312">
        <v>-3.1689769217128294E-2</v>
      </c>
      <c r="AJ1190" s="312">
        <v>-3.3359668650923879E-2</v>
      </c>
      <c r="AK1190" s="312">
        <v>-3.4851147720321163E-2</v>
      </c>
      <c r="AL1190" s="312">
        <v>-3.6187633156658072E-2</v>
      </c>
      <c r="AM1190" s="312">
        <v>-3.7388745734867279E-2</v>
      </c>
      <c r="AN1190" s="312">
        <v>-3.8471043005009142E-2</v>
      </c>
      <c r="AO1190" s="312">
        <v>-3.944859426043823E-2</v>
      </c>
      <c r="AP1190" s="312">
        <v>-4.0333430365795508E-2</v>
      </c>
      <c r="AQ1190" s="312">
        <v>-4.0333430365795508E-2</v>
      </c>
      <c r="AR1190" s="312">
        <v>-4.0333430365795508E-2</v>
      </c>
      <c r="AS1190" s="312">
        <v>-4.0333430365795508E-2</v>
      </c>
      <c r="AT1190" s="312"/>
      <c r="AU1190" s="514"/>
    </row>
    <row r="1191" spans="1:47" hidden="1" outlineLevel="1">
      <c r="A1191" s="298"/>
      <c r="B1191" s="3" t="s">
        <v>903</v>
      </c>
      <c r="C1191" s="38" t="s">
        <v>912</v>
      </c>
      <c r="D1191" s="3"/>
      <c r="E1191" s="3"/>
      <c r="F1191" s="3"/>
      <c r="G1191" s="3"/>
      <c r="H1191" s="3"/>
      <c r="I1191" s="3"/>
      <c r="J1191" s="3"/>
      <c r="K1191" s="3"/>
      <c r="L1191" s="3"/>
      <c r="M1191" s="3"/>
      <c r="N1191" s="3"/>
      <c r="O1191" s="3"/>
      <c r="P1191" s="3"/>
      <c r="Q1191" s="3"/>
      <c r="R1191" s="3"/>
      <c r="S1191" s="3"/>
      <c r="T1191" s="3"/>
      <c r="U1191" s="3"/>
      <c r="V1191" s="3"/>
      <c r="W1191" s="3"/>
      <c r="X1191" s="3"/>
      <c r="Y1191" s="3">
        <v>449.125</v>
      </c>
      <c r="Z1191" s="3">
        <v>472.58</v>
      </c>
      <c r="AA1191" s="3">
        <v>362.45400000000001</v>
      </c>
      <c r="AB1191" s="3">
        <v>293.89400000000001</v>
      </c>
      <c r="AC1191" s="3">
        <v>279.19929999999999</v>
      </c>
      <c r="AD1191" s="3">
        <v>265.23933499999998</v>
      </c>
      <c r="AE1191" s="3">
        <v>251.97736824999998</v>
      </c>
      <c r="AF1191" s="3">
        <v>239.37849983749999</v>
      </c>
      <c r="AG1191" s="3">
        <v>227.40957484562497</v>
      </c>
      <c r="AH1191" s="3">
        <v>216.03909610334372</v>
      </c>
      <c r="AI1191" s="3">
        <v>205.23714129817654</v>
      </c>
      <c r="AJ1191" s="3">
        <v>194.9752842332677</v>
      </c>
      <c r="AK1191" s="3">
        <v>185.2265200216043</v>
      </c>
      <c r="AL1191" s="3">
        <v>175.96519402052408</v>
      </c>
      <c r="AM1191" s="3">
        <v>167.16693431949787</v>
      </c>
      <c r="AN1191" s="3">
        <v>158.80858760352297</v>
      </c>
      <c r="AO1191" s="3">
        <v>150.86815822334682</v>
      </c>
      <c r="AP1191" s="3">
        <v>143.32475031217948</v>
      </c>
      <c r="AQ1191" s="3">
        <v>143.32475031217948</v>
      </c>
      <c r="AR1191" s="3">
        <v>143.32475031217948</v>
      </c>
      <c r="AS1191" s="3">
        <v>143.32475031217948</v>
      </c>
      <c r="AT1191" s="2"/>
      <c r="AU1191" s="2"/>
    </row>
    <row r="1192" spans="1:47" hidden="1" outlineLevel="1">
      <c r="A1192" s="308"/>
      <c r="B1192" s="810" t="s">
        <v>1099</v>
      </c>
      <c r="C1192" s="811" t="s">
        <v>733</v>
      </c>
      <c r="D1192" s="308"/>
      <c r="E1192" s="308"/>
      <c r="F1192" s="308"/>
      <c r="G1192" s="308"/>
      <c r="H1192" s="308"/>
      <c r="I1192" s="308"/>
      <c r="J1192" s="308"/>
      <c r="K1192" s="514"/>
      <c r="L1192" s="514"/>
      <c r="M1192" s="514"/>
      <c r="N1192" s="514"/>
      <c r="O1192" s="514"/>
      <c r="P1192" s="514"/>
      <c r="Q1192" s="514"/>
      <c r="R1192" s="514"/>
      <c r="S1192" s="514"/>
      <c r="T1192" s="514"/>
      <c r="U1192" s="514"/>
      <c r="V1192" s="514"/>
      <c r="W1192" s="514"/>
      <c r="X1192" s="312"/>
      <c r="Y1192" s="759">
        <v>0.18</v>
      </c>
      <c r="Z1192" s="312">
        <v>5.2223768438630636E-2</v>
      </c>
      <c r="AA1192" s="312">
        <v>-0.23303144441152812</v>
      </c>
      <c r="AB1192" s="312">
        <v>-0.18915503760477193</v>
      </c>
      <c r="AC1192" s="812">
        <v>-0.05</v>
      </c>
      <c r="AD1192" s="813">
        <v>-0.05</v>
      </c>
      <c r="AE1192" s="813">
        <v>-0.05</v>
      </c>
      <c r="AF1192" s="813">
        <v>-0.05</v>
      </c>
      <c r="AG1192" s="813">
        <v>-0.05</v>
      </c>
      <c r="AH1192" s="813">
        <v>-0.05</v>
      </c>
      <c r="AI1192" s="813">
        <v>-0.05</v>
      </c>
      <c r="AJ1192" s="813">
        <v>-0.05</v>
      </c>
      <c r="AK1192" s="813">
        <v>-0.05</v>
      </c>
      <c r="AL1192" s="813">
        <v>-0.05</v>
      </c>
      <c r="AM1192" s="813">
        <v>-0.05</v>
      </c>
      <c r="AN1192" s="813">
        <v>-0.05</v>
      </c>
      <c r="AO1192" s="813">
        <v>-0.05</v>
      </c>
      <c r="AP1192" s="813">
        <v>-0.05</v>
      </c>
      <c r="AQ1192" s="813">
        <v>-0.05</v>
      </c>
      <c r="AR1192" s="813">
        <v>-0.05</v>
      </c>
      <c r="AS1192" s="813">
        <v>-0.05</v>
      </c>
      <c r="AT1192" s="312"/>
      <c r="AU1192" s="514"/>
    </row>
    <row r="1193" spans="1:47" hidden="1" outlineLevel="1">
      <c r="A1193" s="298"/>
      <c r="B1193" s="3" t="s">
        <v>901</v>
      </c>
      <c r="C1193" s="38" t="s">
        <v>912</v>
      </c>
      <c r="D1193" s="3"/>
      <c r="E1193" s="3"/>
      <c r="F1193" s="3"/>
      <c r="G1193" s="3"/>
      <c r="H1193" s="3"/>
      <c r="I1193" s="3"/>
      <c r="J1193" s="3"/>
      <c r="K1193" s="3"/>
      <c r="L1193" s="3"/>
      <c r="M1193" s="3"/>
      <c r="N1193" s="3"/>
      <c r="O1193" s="3"/>
      <c r="P1193" s="3"/>
      <c r="Q1193" s="3"/>
      <c r="R1193" s="3"/>
      <c r="S1193" s="3"/>
      <c r="T1193" s="3"/>
      <c r="U1193" s="3"/>
      <c r="V1193" s="3"/>
      <c r="W1193" s="3"/>
      <c r="X1193" s="3"/>
      <c r="Y1193" s="3">
        <v>-310.125</v>
      </c>
      <c r="Z1193" s="3">
        <v>-285.58</v>
      </c>
      <c r="AA1193" s="3">
        <v>-342.45400000000001</v>
      </c>
      <c r="AB1193" s="3">
        <v>-344.89400000000001</v>
      </c>
      <c r="AC1193" s="3">
        <v>-333.12</v>
      </c>
      <c r="AD1193" s="3">
        <v>-326.64951600000001</v>
      </c>
      <c r="AE1193" s="3">
        <v>-319.28029428000008</v>
      </c>
      <c r="AF1193" s="3">
        <v>-311.20394315640004</v>
      </c>
      <c r="AG1193" s="3">
        <v>-302.58488995813207</v>
      </c>
      <c r="AH1193" s="3">
        <v>-293.5638521446312</v>
      </c>
      <c r="AI1193" s="3">
        <v>-284.26088141967671</v>
      </c>
      <c r="AJ1193" s="3">
        <v>-274.77803260509671</v>
      </c>
      <c r="AK1193" s="3">
        <v>-265.20170280047722</v>
      </c>
      <c r="AL1193" s="3">
        <v>-255.60468086701252</v>
      </c>
      <c r="AM1193" s="3">
        <v>-246.04794244543388</v>
      </c>
      <c r="AN1193" s="3">
        <v>-236.5822214703216</v>
      </c>
      <c r="AO1193" s="3">
        <v>-227.24938540630575</v>
      </c>
      <c r="AP1193" s="3">
        <v>-218.08363814435069</v>
      </c>
      <c r="AQ1193" s="3">
        <v>-218.08363814435069</v>
      </c>
      <c r="AR1193" s="3">
        <v>-218.08363814435069</v>
      </c>
      <c r="AS1193" s="3">
        <v>-218.08363814435069</v>
      </c>
      <c r="AT1193" s="2"/>
      <c r="AU1193" s="2"/>
    </row>
    <row r="1194" spans="1:47" hidden="1" outlineLevel="1">
      <c r="A1194" s="308"/>
      <c r="B1194" s="810" t="s">
        <v>1099</v>
      </c>
      <c r="C1194" s="811" t="s">
        <v>733</v>
      </c>
      <c r="D1194" s="312"/>
      <c r="E1194" s="312"/>
      <c r="F1194" s="312"/>
      <c r="G1194" s="312"/>
      <c r="H1194" s="312"/>
      <c r="I1194" s="312"/>
      <c r="J1194" s="312"/>
      <c r="K1194" s="312"/>
      <c r="L1194" s="312"/>
      <c r="M1194" s="312"/>
      <c r="N1194" s="312"/>
      <c r="O1194" s="312"/>
      <c r="P1194" s="312"/>
      <c r="Q1194" s="312"/>
      <c r="R1194" s="312"/>
      <c r="S1194" s="312"/>
      <c r="T1194" s="313"/>
      <c r="U1194" s="313"/>
      <c r="V1194" s="313"/>
      <c r="W1194" s="313"/>
      <c r="X1194" s="564">
        <v>-0.14199999999999999</v>
      </c>
      <c r="Y1194" s="564">
        <v>-0.125</v>
      </c>
      <c r="Z1194" s="564">
        <v>-0.109</v>
      </c>
      <c r="AA1194" s="564">
        <v>-0.122</v>
      </c>
      <c r="AB1194" s="565">
        <v>-0.122</v>
      </c>
      <c r="AC1194" s="812">
        <v>-0.12</v>
      </c>
      <c r="AD1194" s="813">
        <v>-0.12</v>
      </c>
      <c r="AE1194" s="813">
        <v>-0.12</v>
      </c>
      <c r="AF1194" s="813">
        <v>-0.12</v>
      </c>
      <c r="AG1194" s="813">
        <v>-0.12</v>
      </c>
      <c r="AH1194" s="813">
        <v>-0.12</v>
      </c>
      <c r="AI1194" s="813">
        <v>-0.12</v>
      </c>
      <c r="AJ1194" s="813">
        <v>-0.12</v>
      </c>
      <c r="AK1194" s="813">
        <v>-0.12</v>
      </c>
      <c r="AL1194" s="813">
        <v>-0.12</v>
      </c>
      <c r="AM1194" s="813">
        <v>-0.12</v>
      </c>
      <c r="AN1194" s="813">
        <v>-0.12</v>
      </c>
      <c r="AO1194" s="814">
        <v>-0.12</v>
      </c>
      <c r="AP1194" s="814">
        <v>-0.12</v>
      </c>
      <c r="AQ1194" s="814">
        <v>-0.12</v>
      </c>
      <c r="AR1194" s="814">
        <v>-0.12</v>
      </c>
      <c r="AS1194" s="814">
        <v>-0.12</v>
      </c>
      <c r="AT1194" s="312"/>
      <c r="AU1194" s="514"/>
    </row>
    <row r="1195" spans="1:47" hidden="1" outlineLevel="1">
      <c r="A1195" s="298"/>
      <c r="B1195" s="3" t="s">
        <v>900</v>
      </c>
      <c r="C1195" s="38" t="s">
        <v>912</v>
      </c>
      <c r="D1195" s="3"/>
      <c r="E1195" s="3"/>
      <c r="F1195" s="3"/>
      <c r="G1195" s="3"/>
      <c r="H1195" s="3"/>
      <c r="I1195" s="3"/>
      <c r="J1195" s="3"/>
      <c r="K1195" s="3"/>
      <c r="L1195" s="3"/>
      <c r="M1195" s="3"/>
      <c r="N1195" s="3"/>
      <c r="O1195" s="3"/>
      <c r="P1195" s="3"/>
      <c r="Q1195" s="3"/>
      <c r="R1195" s="3"/>
      <c r="S1195" s="3"/>
      <c r="T1195" s="3">
        <v>2358.6500479631181</v>
      </c>
      <c r="U1195" s="3">
        <v>2378.9152248922655</v>
      </c>
      <c r="V1195" s="3">
        <v>2415.9080900718018</v>
      </c>
      <c r="W1195" s="3">
        <v>2570.8496685618429</v>
      </c>
      <c r="X1195" s="3">
        <v>2396.5606742883951</v>
      </c>
      <c r="Y1195" s="566">
        <v>2620</v>
      </c>
      <c r="Z1195" s="566">
        <v>2807</v>
      </c>
      <c r="AA1195" s="566">
        <v>2827</v>
      </c>
      <c r="AB1195" s="566">
        <v>2776</v>
      </c>
      <c r="AC1195" s="3">
        <v>2722.0793000000003</v>
      </c>
      <c r="AD1195" s="3">
        <v>2660.6691190000006</v>
      </c>
      <c r="AE1195" s="3">
        <v>2593.3661929700006</v>
      </c>
      <c r="AF1195" s="3">
        <v>2521.5407496511007</v>
      </c>
      <c r="AG1195" s="3">
        <v>2446.3654345385935</v>
      </c>
      <c r="AH1195" s="3">
        <v>2368.8406784973058</v>
      </c>
      <c r="AI1195" s="3">
        <v>2289.8169383758059</v>
      </c>
      <c r="AJ1195" s="3">
        <v>2210.0141900039771</v>
      </c>
      <c r="AK1195" s="3">
        <v>2130.0390072251043</v>
      </c>
      <c r="AL1195" s="3">
        <v>2050.3995203786158</v>
      </c>
      <c r="AM1195" s="3">
        <v>1971.51851225268</v>
      </c>
      <c r="AN1195" s="3">
        <v>1893.7448783858813</v>
      </c>
      <c r="AO1195" s="3">
        <v>1817.3636512029225</v>
      </c>
      <c r="AP1195" s="3">
        <v>1742.6047633707512</v>
      </c>
      <c r="AQ1195" s="3">
        <v>1742.6047633707512</v>
      </c>
      <c r="AR1195" s="3">
        <v>1742.6047633707512</v>
      </c>
      <c r="AS1195" s="3">
        <v>1742.6047633707512</v>
      </c>
      <c r="AT1195" s="2"/>
      <c r="AU1195" s="2"/>
    </row>
    <row r="1196" spans="1:47" hidden="1" outlineLevel="1">
      <c r="A1196" s="308"/>
      <c r="B1196" s="810" t="s">
        <v>1099</v>
      </c>
      <c r="C1196" s="811" t="s">
        <v>733</v>
      </c>
      <c r="D1196" s="312"/>
      <c r="E1196" s="312"/>
      <c r="F1196" s="312"/>
      <c r="G1196" s="312"/>
      <c r="H1196" s="312"/>
      <c r="I1196" s="312"/>
      <c r="J1196" s="312"/>
      <c r="K1196" s="312"/>
      <c r="L1196" s="312"/>
      <c r="M1196" s="312"/>
      <c r="N1196" s="312"/>
      <c r="O1196" s="312"/>
      <c r="P1196" s="312"/>
      <c r="Q1196" s="312"/>
      <c r="R1196" s="312"/>
      <c r="S1196" s="312"/>
      <c r="T1196" s="313"/>
      <c r="U1196" s="312">
        <v>8.591854033898727E-3</v>
      </c>
      <c r="V1196" s="312">
        <v>1.555030830542159E-2</v>
      </c>
      <c r="W1196" s="312">
        <v>6.4133887843984994E-2</v>
      </c>
      <c r="X1196" s="312">
        <v>-6.779431578780204E-2</v>
      </c>
      <c r="Y1196" s="312">
        <v>9.3233327288052115E-2</v>
      </c>
      <c r="Z1196" s="312">
        <v>7.137404580152662E-2</v>
      </c>
      <c r="AA1196" s="312">
        <v>7.1250445315282906E-3</v>
      </c>
      <c r="AB1196" s="312">
        <v>-1.8040325433321569E-2</v>
      </c>
      <c r="AC1196" s="312">
        <v>-1.9423883285302423E-2</v>
      </c>
      <c r="AD1196" s="312">
        <v>-2.2560026447429271E-2</v>
      </c>
      <c r="AE1196" s="312">
        <v>-2.5295488848795844E-2</v>
      </c>
      <c r="AF1196" s="312">
        <v>-2.7695835441057914E-2</v>
      </c>
      <c r="AG1196" s="312">
        <v>-2.9813246176136121E-2</v>
      </c>
      <c r="AH1196" s="312">
        <v>-3.1689769217128294E-2</v>
      </c>
      <c r="AI1196" s="312">
        <v>-3.3359668650923879E-2</v>
      </c>
      <c r="AJ1196" s="312">
        <v>-3.4851147720321163E-2</v>
      </c>
      <c r="AK1196" s="312">
        <v>-3.6187633156658072E-2</v>
      </c>
      <c r="AL1196" s="312">
        <v>-3.7388745734867279E-2</v>
      </c>
      <c r="AM1196" s="312">
        <v>-3.8471043005009142E-2</v>
      </c>
      <c r="AN1196" s="312">
        <v>-3.944859426043823E-2</v>
      </c>
      <c r="AO1196" s="312">
        <v>-4.0333430365795508E-2</v>
      </c>
      <c r="AP1196" s="312">
        <v>-4.1135899126566122E-2</v>
      </c>
      <c r="AQ1196" s="312">
        <v>-4.1135899126566122E-2</v>
      </c>
      <c r="AR1196" s="312">
        <v>-4.1135899126566122E-2</v>
      </c>
      <c r="AS1196" s="312">
        <v>-4.1135899126566122E-2</v>
      </c>
      <c r="AT1196" s="312"/>
      <c r="AU1196" s="514"/>
    </row>
    <row r="1197" spans="1:47" hidden="1" outlineLevel="1">
      <c r="A1197" s="301"/>
      <c r="B1197" s="4" t="s">
        <v>129</v>
      </c>
      <c r="C1197" s="38" t="s">
        <v>912</v>
      </c>
      <c r="D1197" s="4"/>
      <c r="E1197" s="4"/>
      <c r="F1197" s="4"/>
      <c r="G1197" s="4"/>
      <c r="H1197" s="4"/>
      <c r="I1197" s="4"/>
      <c r="J1197" s="4"/>
      <c r="K1197" s="4"/>
      <c r="L1197" s="4"/>
      <c r="M1197" s="4"/>
      <c r="N1197" s="4"/>
      <c r="O1197" s="4"/>
      <c r="P1197" s="4"/>
      <c r="Q1197" s="4"/>
      <c r="R1197" s="4"/>
      <c r="S1197" s="4"/>
      <c r="T1197" s="4">
        <v>1585.7497757531917</v>
      </c>
      <c r="U1197" s="4">
        <v>1630.8491364276917</v>
      </c>
      <c r="V1197" s="4">
        <v>1641.7126574820336</v>
      </c>
      <c r="W1197" s="4">
        <v>1721.4863793168224</v>
      </c>
      <c r="X1197" s="4">
        <v>2384.1368313865087</v>
      </c>
      <c r="Y1197" s="4">
        <v>2508.2803371441978</v>
      </c>
      <c r="Z1197" s="4">
        <v>2713.5</v>
      </c>
      <c r="AA1197" s="4">
        <v>2817</v>
      </c>
      <c r="AB1197" s="4">
        <v>2801.5</v>
      </c>
      <c r="AC1197" s="4">
        <v>2749.0396500000002</v>
      </c>
      <c r="AD1197" s="4">
        <v>2691.3742095000007</v>
      </c>
      <c r="AE1197" s="4">
        <v>2627.0176559850006</v>
      </c>
      <c r="AF1197" s="4">
        <v>2557.4534713105504</v>
      </c>
      <c r="AG1197" s="4">
        <v>2483.9530920948473</v>
      </c>
      <c r="AH1197" s="4">
        <v>2407.6030565179499</v>
      </c>
      <c r="AI1197" s="4">
        <v>2329.3288084365558</v>
      </c>
      <c r="AJ1197" s="4">
        <v>2249.9155641898915</v>
      </c>
      <c r="AK1197" s="4">
        <v>2170.0265986145405</v>
      </c>
      <c r="AL1197" s="4">
        <v>2090.2192638018601</v>
      </c>
      <c r="AM1197" s="4">
        <v>2010.9590163156479</v>
      </c>
      <c r="AN1197" s="4">
        <v>1932.6316953192807</v>
      </c>
      <c r="AO1197" s="4">
        <v>1855.5542647944019</v>
      </c>
      <c r="AP1197" s="4">
        <v>1779.9842072868369</v>
      </c>
      <c r="AQ1197" s="4">
        <v>1779.9842072868369</v>
      </c>
      <c r="AR1197" s="4">
        <v>1779.9842072868369</v>
      </c>
      <c r="AS1197" s="4">
        <v>1779.9842072868369</v>
      </c>
      <c r="AT1197" s="6"/>
      <c r="AU1197" s="6"/>
    </row>
    <row r="1198" spans="1:47" hidden="1" outlineLevel="1">
      <c r="A1198" s="308"/>
      <c r="B1198" s="810" t="s">
        <v>1099</v>
      </c>
      <c r="C1198" s="811" t="s">
        <v>733</v>
      </c>
      <c r="D1198" s="312"/>
      <c r="E1198" s="312"/>
      <c r="F1198" s="312"/>
      <c r="G1198" s="312"/>
      <c r="H1198" s="312"/>
      <c r="I1198" s="312"/>
      <c r="J1198" s="312"/>
      <c r="K1198" s="312"/>
      <c r="L1198" s="312"/>
      <c r="M1198" s="312"/>
      <c r="N1198" s="312"/>
      <c r="O1198" s="312"/>
      <c r="P1198" s="312"/>
      <c r="Q1198" s="312"/>
      <c r="R1198" s="312"/>
      <c r="S1198" s="312"/>
      <c r="T1198" s="313"/>
      <c r="U1198" s="312">
        <v>2.8440401735563281E-2</v>
      </c>
      <c r="V1198" s="312">
        <v>6.6612667055996333E-3</v>
      </c>
      <c r="W1198" s="312">
        <v>4.8591768767344057E-2</v>
      </c>
      <c r="X1198" s="312">
        <v>0.38492924488467994</v>
      </c>
      <c r="Y1198" s="312">
        <v>5.2070629555893699E-2</v>
      </c>
      <c r="Z1198" s="312">
        <v>8.1816876613343359E-2</v>
      </c>
      <c r="AA1198" s="312">
        <v>3.8142620232172408E-2</v>
      </c>
      <c r="AB1198" s="312">
        <v>-5.5023074192402932E-3</v>
      </c>
      <c r="AC1198" s="312">
        <v>-1.8725807603069744E-2</v>
      </c>
      <c r="AD1198" s="312">
        <v>-2.0976576492812482E-2</v>
      </c>
      <c r="AE1198" s="312">
        <v>-2.3912153608307118E-2</v>
      </c>
      <c r="AF1198" s="312">
        <v>-2.6480288214266734E-2</v>
      </c>
      <c r="AG1198" s="312">
        <v>-2.8739674070409671E-2</v>
      </c>
      <c r="AH1198" s="312">
        <v>-3.0737309742233321E-2</v>
      </c>
      <c r="AI1198" s="312">
        <v>-3.2511276254400423E-2</v>
      </c>
      <c r="AJ1198" s="312">
        <v>-3.4092758377022081E-2</v>
      </c>
      <c r="AK1198" s="312">
        <v>-3.5507539414758371E-2</v>
      </c>
      <c r="AL1198" s="312">
        <v>-3.6777122853532629E-2</v>
      </c>
      <c r="AM1198" s="312">
        <v>-3.79195852123414E-2</v>
      </c>
      <c r="AN1198" s="312">
        <v>-3.8950232382096828E-2</v>
      </c>
      <c r="AO1198" s="312">
        <v>-3.9882110342884136E-2</v>
      </c>
      <c r="AP1198" s="312">
        <v>-4.0726406627584311E-2</v>
      </c>
      <c r="AQ1198" s="312">
        <v>-4.0726406627584311E-2</v>
      </c>
      <c r="AR1198" s="312">
        <v>-4.0726406627584311E-2</v>
      </c>
      <c r="AS1198" s="312">
        <v>-4.0726406627584311E-2</v>
      </c>
      <c r="AT1198" s="312"/>
      <c r="AU1198" s="514" t="s">
        <v>897</v>
      </c>
    </row>
    <row r="1199" spans="1:47" hidden="1" outlineLevel="1">
      <c r="A1199" s="298"/>
      <c r="B1199" s="3" t="s">
        <v>684</v>
      </c>
      <c r="C1199" s="112" t="s">
        <v>911</v>
      </c>
      <c r="D1199" s="3"/>
      <c r="E1199" s="3"/>
      <c r="F1199" s="3"/>
      <c r="G1199" s="3"/>
      <c r="H1199" s="3"/>
      <c r="I1199" s="3"/>
      <c r="J1199" s="3"/>
      <c r="K1199" s="3"/>
      <c r="L1199" s="3"/>
      <c r="M1199" s="3"/>
      <c r="N1199" s="3"/>
      <c r="O1199" s="3"/>
      <c r="P1199" s="3"/>
      <c r="Q1199" s="3"/>
      <c r="R1199" s="3"/>
      <c r="S1199" s="3"/>
      <c r="T1199" s="3">
        <v>84.632497593276412</v>
      </c>
      <c r="U1199" s="3">
        <v>88.2512428542706</v>
      </c>
      <c r="V1199" s="3">
        <v>92.469211090402638</v>
      </c>
      <c r="W1199" s="3">
        <v>95.935544270672011</v>
      </c>
      <c r="X1199" s="566">
        <v>97</v>
      </c>
      <c r="Y1199" s="566">
        <v>96</v>
      </c>
      <c r="Z1199" s="566">
        <v>93</v>
      </c>
      <c r="AA1199" s="566">
        <v>89</v>
      </c>
      <c r="AB1199" s="566">
        <v>86</v>
      </c>
      <c r="AC1199" s="3">
        <v>83.42</v>
      </c>
      <c r="AD1199" s="3">
        <v>80.917400000000001</v>
      </c>
      <c r="AE1199" s="3">
        <v>78.489878000000004</v>
      </c>
      <c r="AF1199" s="3">
        <v>76.135181660000001</v>
      </c>
      <c r="AG1199" s="3">
        <v>73.851126210199993</v>
      </c>
      <c r="AH1199" s="3">
        <v>71.635592423893996</v>
      </c>
      <c r="AI1199" s="3">
        <v>69.486524651177177</v>
      </c>
      <c r="AJ1199" s="3">
        <v>67.401928911641861</v>
      </c>
      <c r="AK1199" s="3">
        <v>65.379871044292599</v>
      </c>
      <c r="AL1199" s="3">
        <v>63.418474912963816</v>
      </c>
      <c r="AM1199" s="3">
        <v>61.515920665574903</v>
      </c>
      <c r="AN1199" s="3">
        <v>59.670443045607655</v>
      </c>
      <c r="AO1199" s="3">
        <v>57.880329754239426</v>
      </c>
      <c r="AP1199" s="3">
        <v>56.14391986161224</v>
      </c>
      <c r="AQ1199" s="3">
        <v>56.14391986161224</v>
      </c>
      <c r="AR1199" s="3">
        <v>56.14391986161224</v>
      </c>
      <c r="AS1199" s="3">
        <v>56.14391986161224</v>
      </c>
      <c r="AT1199" s="2"/>
      <c r="AU1199" s="2"/>
    </row>
    <row r="1200" spans="1:47" hidden="1" outlineLevel="1">
      <c r="A1200" s="308"/>
      <c r="B1200" s="810" t="s">
        <v>1099</v>
      </c>
      <c r="C1200" s="811" t="s">
        <v>733</v>
      </c>
      <c r="D1200" s="312"/>
      <c r="E1200" s="312"/>
      <c r="F1200" s="312"/>
      <c r="G1200" s="312"/>
      <c r="H1200" s="312"/>
      <c r="I1200" s="312"/>
      <c r="J1200" s="312"/>
      <c r="K1200" s="312"/>
      <c r="L1200" s="312"/>
      <c r="M1200" s="312"/>
      <c r="N1200" s="312"/>
      <c r="O1200" s="312"/>
      <c r="P1200" s="312"/>
      <c r="Q1200" s="312"/>
      <c r="R1200" s="312"/>
      <c r="S1200" s="312"/>
      <c r="T1200" s="313"/>
      <c r="U1200" s="312">
        <v>4.275834181787963E-2</v>
      </c>
      <c r="V1200" s="312">
        <v>4.7795000950832778E-2</v>
      </c>
      <c r="W1200" s="312">
        <v>3.7486349665949881E-2</v>
      </c>
      <c r="X1200" s="312">
        <v>1.1095530206455484E-2</v>
      </c>
      <c r="Y1200" s="312">
        <v>-1.0309278350515427E-2</v>
      </c>
      <c r="Z1200" s="313">
        <v>-3.125E-2</v>
      </c>
      <c r="AA1200" s="313">
        <v>-4.3010752688172005E-2</v>
      </c>
      <c r="AB1200" s="313">
        <v>-3.3707865168539297E-2</v>
      </c>
      <c r="AC1200" s="815">
        <v>-0.03</v>
      </c>
      <c r="AD1200" s="813">
        <v>-0.03</v>
      </c>
      <c r="AE1200" s="813">
        <v>-0.03</v>
      </c>
      <c r="AF1200" s="813">
        <v>-0.03</v>
      </c>
      <c r="AG1200" s="813">
        <v>-0.03</v>
      </c>
      <c r="AH1200" s="813">
        <v>-0.03</v>
      </c>
      <c r="AI1200" s="813">
        <v>-0.03</v>
      </c>
      <c r="AJ1200" s="813">
        <v>-0.03</v>
      </c>
      <c r="AK1200" s="813">
        <v>-0.03</v>
      </c>
      <c r="AL1200" s="813">
        <v>-0.03</v>
      </c>
      <c r="AM1200" s="813">
        <v>-0.03</v>
      </c>
      <c r="AN1200" s="813">
        <v>-0.03</v>
      </c>
      <c r="AO1200" s="813">
        <v>-0.03</v>
      </c>
      <c r="AP1200" s="813">
        <v>-0.03</v>
      </c>
      <c r="AQ1200" s="813">
        <v>-0.03</v>
      </c>
      <c r="AR1200" s="813">
        <v>-0.03</v>
      </c>
      <c r="AS1200" s="813">
        <v>-0.03</v>
      </c>
      <c r="AT1200" s="312"/>
      <c r="AU1200" s="514"/>
    </row>
    <row r="1201" spans="1:47" hidden="1" outlineLevel="1">
      <c r="A1201" s="301"/>
      <c r="B1201" s="4" t="s">
        <v>447</v>
      </c>
      <c r="C1201" s="21" t="s">
        <v>732</v>
      </c>
      <c r="D1201" s="816">
        <v>0</v>
      </c>
      <c r="E1201" s="816">
        <v>0</v>
      </c>
      <c r="F1201" s="816">
        <v>0</v>
      </c>
      <c r="G1201" s="816">
        <v>0</v>
      </c>
      <c r="H1201" s="816">
        <v>0</v>
      </c>
      <c r="I1201" s="816">
        <v>0</v>
      </c>
      <c r="J1201" s="816">
        <v>0</v>
      </c>
      <c r="K1201" s="816">
        <v>361.30706686869161</v>
      </c>
      <c r="L1201" s="816">
        <v>427.30592024258306</v>
      </c>
      <c r="M1201" s="816">
        <v>494.43660251703437</v>
      </c>
      <c r="N1201" s="816">
        <v>601.45057115250734</v>
      </c>
      <c r="O1201" s="816">
        <v>717.75739974521593</v>
      </c>
      <c r="P1201" s="816">
        <v>951.96662815501804</v>
      </c>
      <c r="Q1201" s="816">
        <v>1109.9811613831553</v>
      </c>
      <c r="R1201" s="816">
        <v>1242.844371601547</v>
      </c>
      <c r="S1201" s="816">
        <v>1480.7075467572154</v>
      </c>
      <c r="T1201" s="816">
        <v>1610.4715689596474</v>
      </c>
      <c r="U1201" s="816">
        <v>1727.0935583706928</v>
      </c>
      <c r="V1201" s="816">
        <v>1821.6944912939045</v>
      </c>
      <c r="W1201" s="816">
        <v>1981.8207930516946</v>
      </c>
      <c r="X1201" s="4">
        <v>2775.1352717338959</v>
      </c>
      <c r="Y1201" s="4">
        <v>2889.5389483901158</v>
      </c>
      <c r="Z1201" s="4">
        <v>3028.2660000000001</v>
      </c>
      <c r="AA1201" s="4">
        <v>3008.556</v>
      </c>
      <c r="AB1201" s="4">
        <v>2891.1480000000001</v>
      </c>
      <c r="AC1201" s="4">
        <v>2751.8986512360002</v>
      </c>
      <c r="AD1201" s="4">
        <v>2613.3480415175441</v>
      </c>
      <c r="AE1201" s="4">
        <v>2474.331543865304</v>
      </c>
      <c r="AF1201" s="4">
        <v>2336.5462155027167</v>
      </c>
      <c r="AG1201" s="4">
        <v>2201.3127996541571</v>
      </c>
      <c r="AH1201" s="4">
        <v>2069.640855302895</v>
      </c>
      <c r="AI1201" s="4">
        <v>1942.2835640174867</v>
      </c>
      <c r="AJ1201" s="4">
        <v>1819.7837869766838</v>
      </c>
      <c r="AK1201" s="4">
        <v>1702.5127101612427</v>
      </c>
      <c r="AL1201" s="4">
        <v>1590.7022153281434</v>
      </c>
      <c r="AM1201" s="4">
        <v>1484.4719437127515</v>
      </c>
      <c r="AN1201" s="4">
        <v>1383.8518740442237</v>
      </c>
      <c r="AO1201" s="4">
        <v>1288.8011126782233</v>
      </c>
      <c r="AP1201" s="4">
        <v>1199.2234882661708</v>
      </c>
      <c r="AQ1201" s="4">
        <v>1199.2234882661708</v>
      </c>
      <c r="AR1201" s="4">
        <v>1199.2234882661708</v>
      </c>
      <c r="AS1201" s="4">
        <v>1199.2234882661708</v>
      </c>
      <c r="AT1201" s="6"/>
      <c r="AU1201" s="6"/>
    </row>
    <row r="1202" spans="1:47" hidden="1" outlineLevel="1">
      <c r="A1202" s="326"/>
      <c r="B1202" s="327"/>
      <c r="C1202" s="323"/>
      <c r="D1202" s="327"/>
      <c r="E1202" s="327"/>
      <c r="F1202" s="327"/>
      <c r="G1202" s="327"/>
      <c r="H1202" s="327"/>
      <c r="I1202" s="327"/>
      <c r="J1202" s="327"/>
      <c r="K1202" s="327"/>
      <c r="L1202" s="327"/>
      <c r="M1202" s="327"/>
      <c r="N1202" s="327"/>
      <c r="O1202" s="327"/>
      <c r="P1202" s="327"/>
      <c r="Q1202" s="327"/>
      <c r="R1202" s="327"/>
      <c r="S1202" s="327"/>
      <c r="T1202" s="327"/>
      <c r="U1202" s="312">
        <v>7.2414807972289941E-2</v>
      </c>
      <c r="V1202" s="312">
        <v>5.4774642904960258E-2</v>
      </c>
      <c r="W1202" s="312">
        <v>8.7899646468193593E-2</v>
      </c>
      <c r="X1202" s="312">
        <v>0.40029576915510146</v>
      </c>
      <c r="Y1202" s="312">
        <v>4.1224540591400016E-2</v>
      </c>
      <c r="Z1202" s="312">
        <v>4.8010099219176539E-2</v>
      </c>
      <c r="AA1202" s="312">
        <v>-6.5086752616844157E-3</v>
      </c>
      <c r="AB1202" s="312">
        <v>-3.9024701551175989E-2</v>
      </c>
      <c r="AC1202" s="312">
        <v>-4.8164033374977655E-2</v>
      </c>
      <c r="AD1202" s="312">
        <v>-5.0347279198028172E-2</v>
      </c>
      <c r="AE1202" s="312">
        <v>-5.3194789000057807E-2</v>
      </c>
      <c r="AF1202" s="312">
        <v>-5.5685879567838548E-2</v>
      </c>
      <c r="AG1202" s="312">
        <v>-5.7877483848297717E-2</v>
      </c>
      <c r="AH1202" s="312">
        <v>-5.9815190449966305E-2</v>
      </c>
      <c r="AI1202" s="312">
        <v>-6.1535937966768373E-2</v>
      </c>
      <c r="AJ1202" s="312">
        <v>-6.3069975625711483E-2</v>
      </c>
      <c r="AK1202" s="312">
        <v>-6.4442313232315751E-2</v>
      </c>
      <c r="AL1202" s="312">
        <v>-6.5673809167926755E-2</v>
      </c>
      <c r="AM1202" s="312">
        <v>-6.6781997655971037E-2</v>
      </c>
      <c r="AN1202" s="312">
        <v>-6.7781725410633986E-2</v>
      </c>
      <c r="AO1202" s="312">
        <v>-6.8685647032597719E-2</v>
      </c>
      <c r="AP1202" s="312">
        <v>-6.9504614428756661E-2</v>
      </c>
      <c r="AQ1202" s="312">
        <v>-6.9504614428756661E-2</v>
      </c>
      <c r="AR1202" s="312">
        <v>-6.9504614428756661E-2</v>
      </c>
      <c r="AS1202" s="312">
        <v>-6.9504614428756661E-2</v>
      </c>
      <c r="AT1202" s="327"/>
      <c r="AU1202" s="517"/>
    </row>
    <row r="1203" spans="1:47" hidden="1" outlineLevel="1">
      <c r="A1203" s="301"/>
      <c r="B1203" s="3" t="s">
        <v>971</v>
      </c>
      <c r="C1203" s="38" t="s">
        <v>912</v>
      </c>
      <c r="D1203" s="4"/>
      <c r="E1203" s="4"/>
      <c r="F1203" s="4"/>
      <c r="G1203" s="4"/>
      <c r="H1203" s="4"/>
      <c r="I1203" s="4"/>
      <c r="J1203" s="4"/>
      <c r="K1203" s="4"/>
      <c r="L1203" s="4"/>
      <c r="M1203" s="4"/>
      <c r="N1203" s="4"/>
      <c r="O1203" s="4"/>
      <c r="P1203" s="4"/>
      <c r="Q1203" s="4"/>
      <c r="R1203" s="4"/>
      <c r="S1203" s="4"/>
      <c r="T1203" s="4"/>
      <c r="U1203" s="2"/>
      <c r="V1203" s="2"/>
      <c r="W1203" s="2"/>
      <c r="X1203" s="2"/>
      <c r="Y1203" s="2"/>
      <c r="Z1203" s="566">
        <v>97</v>
      </c>
      <c r="AA1203" s="566">
        <v>146</v>
      </c>
      <c r="AB1203" s="566">
        <v>0</v>
      </c>
      <c r="AC1203" s="566">
        <v>0</v>
      </c>
      <c r="AD1203" s="3">
        <v>0</v>
      </c>
      <c r="AE1203" s="3">
        <v>0</v>
      </c>
      <c r="AF1203" s="3">
        <v>0</v>
      </c>
      <c r="AG1203" s="3">
        <v>0</v>
      </c>
      <c r="AH1203" s="3">
        <v>0</v>
      </c>
      <c r="AI1203" s="3">
        <v>0</v>
      </c>
      <c r="AJ1203" s="3">
        <v>0</v>
      </c>
      <c r="AK1203" s="3">
        <v>0</v>
      </c>
      <c r="AL1203" s="3">
        <v>0</v>
      </c>
      <c r="AM1203" s="3">
        <v>0</v>
      </c>
      <c r="AN1203" s="3">
        <v>0</v>
      </c>
      <c r="AO1203" s="3">
        <v>0</v>
      </c>
      <c r="AP1203" s="3">
        <v>0</v>
      </c>
      <c r="AQ1203" s="3">
        <v>0</v>
      </c>
      <c r="AR1203" s="3">
        <v>0</v>
      </c>
      <c r="AS1203" s="3">
        <v>0</v>
      </c>
      <c r="AT1203" s="6"/>
      <c r="AU1203" s="6"/>
    </row>
    <row r="1204" spans="1:47" hidden="1" outlineLevel="1">
      <c r="A1204" s="326"/>
      <c r="B1204" s="327"/>
      <c r="C1204" s="811" t="s">
        <v>733</v>
      </c>
      <c r="D1204" s="327"/>
      <c r="E1204" s="327"/>
      <c r="F1204" s="327"/>
      <c r="G1204" s="327"/>
      <c r="H1204" s="327"/>
      <c r="I1204" s="327"/>
      <c r="J1204" s="327"/>
      <c r="K1204" s="327"/>
      <c r="L1204" s="327"/>
      <c r="M1204" s="327"/>
      <c r="N1204" s="327"/>
      <c r="O1204" s="327"/>
      <c r="P1204" s="327"/>
      <c r="Q1204" s="327"/>
      <c r="R1204" s="327"/>
      <c r="S1204" s="327"/>
      <c r="T1204" s="327"/>
      <c r="U1204" s="312"/>
      <c r="V1204" s="312"/>
      <c r="W1204" s="312"/>
      <c r="X1204" s="312"/>
      <c r="Y1204" s="312"/>
      <c r="Z1204" s="312"/>
      <c r="AA1204" s="312">
        <v>0.50515463917525771</v>
      </c>
      <c r="AB1204" s="312">
        <v>-1</v>
      </c>
      <c r="AC1204" s="815">
        <v>0</v>
      </c>
      <c r="AD1204" s="813">
        <v>0</v>
      </c>
      <c r="AE1204" s="813">
        <v>0</v>
      </c>
      <c r="AF1204" s="813">
        <v>0</v>
      </c>
      <c r="AG1204" s="813">
        <v>0</v>
      </c>
      <c r="AH1204" s="813">
        <v>0</v>
      </c>
      <c r="AI1204" s="813">
        <v>0</v>
      </c>
      <c r="AJ1204" s="813">
        <v>0</v>
      </c>
      <c r="AK1204" s="813">
        <v>0</v>
      </c>
      <c r="AL1204" s="813">
        <v>0</v>
      </c>
      <c r="AM1204" s="813">
        <v>0</v>
      </c>
      <c r="AN1204" s="813">
        <v>0</v>
      </c>
      <c r="AO1204" s="813">
        <v>0</v>
      </c>
      <c r="AP1204" s="813">
        <v>0</v>
      </c>
      <c r="AQ1204" s="813">
        <v>0</v>
      </c>
      <c r="AR1204" s="813">
        <v>0</v>
      </c>
      <c r="AS1204" s="813">
        <v>0</v>
      </c>
      <c r="AT1204" s="327"/>
      <c r="AU1204" s="517"/>
    </row>
    <row r="1205" spans="1:47" hidden="1" outlineLevel="1">
      <c r="A1205" s="301"/>
      <c r="B1205" s="3" t="s">
        <v>970</v>
      </c>
      <c r="C1205" s="21"/>
      <c r="D1205" s="4"/>
      <c r="E1205" s="4"/>
      <c r="F1205" s="4"/>
      <c r="G1205" s="4"/>
      <c r="H1205" s="4"/>
      <c r="I1205" s="4"/>
      <c r="J1205" s="4"/>
      <c r="K1205" s="4"/>
      <c r="L1205" s="4"/>
      <c r="M1205" s="4"/>
      <c r="N1205" s="4"/>
      <c r="O1205" s="4"/>
      <c r="P1205" s="4"/>
      <c r="Q1205" s="4"/>
      <c r="R1205" s="4"/>
      <c r="S1205" s="4"/>
      <c r="T1205" s="4"/>
      <c r="U1205" s="2"/>
      <c r="V1205" s="2"/>
      <c r="W1205" s="2"/>
      <c r="X1205" s="2"/>
      <c r="Y1205" s="2"/>
      <c r="Z1205" s="80"/>
      <c r="AA1205" s="3">
        <v>121.5</v>
      </c>
      <c r="AB1205" s="3">
        <v>73</v>
      </c>
      <c r="AC1205" s="3">
        <v>0</v>
      </c>
      <c r="AD1205" s="3">
        <v>0</v>
      </c>
      <c r="AE1205" s="3">
        <v>0</v>
      </c>
      <c r="AF1205" s="3">
        <v>0</v>
      </c>
      <c r="AG1205" s="3">
        <v>0</v>
      </c>
      <c r="AH1205" s="3">
        <v>0</v>
      </c>
      <c r="AI1205" s="3">
        <v>0</v>
      </c>
      <c r="AJ1205" s="3">
        <v>0</v>
      </c>
      <c r="AK1205" s="3">
        <v>0</v>
      </c>
      <c r="AL1205" s="3">
        <v>0</v>
      </c>
      <c r="AM1205" s="3">
        <v>0</v>
      </c>
      <c r="AN1205" s="3">
        <v>0</v>
      </c>
      <c r="AO1205" s="3">
        <v>0</v>
      </c>
      <c r="AP1205" s="3">
        <v>0</v>
      </c>
      <c r="AQ1205" s="3">
        <v>0</v>
      </c>
      <c r="AR1205" s="3">
        <v>0</v>
      </c>
      <c r="AS1205" s="3">
        <v>0</v>
      </c>
      <c r="AT1205" s="6"/>
      <c r="AU1205" s="6"/>
    </row>
    <row r="1206" spans="1:47" hidden="1" outlineLevel="1">
      <c r="A1206" s="301"/>
      <c r="B1206" s="3" t="s">
        <v>972</v>
      </c>
      <c r="C1206" s="21"/>
      <c r="D1206" s="4"/>
      <c r="E1206" s="4"/>
      <c r="F1206" s="4"/>
      <c r="G1206" s="4"/>
      <c r="H1206" s="4"/>
      <c r="I1206" s="4"/>
      <c r="J1206" s="4"/>
      <c r="K1206" s="4"/>
      <c r="L1206" s="4"/>
      <c r="M1206" s="4"/>
      <c r="N1206" s="4"/>
      <c r="O1206" s="4"/>
      <c r="P1206" s="4"/>
      <c r="Q1206" s="4"/>
      <c r="R1206" s="4"/>
      <c r="S1206" s="4"/>
      <c r="T1206" s="4"/>
      <c r="U1206" s="2"/>
      <c r="V1206" s="2"/>
      <c r="W1206" s="2"/>
      <c r="X1206" s="2"/>
      <c r="Y1206" s="2"/>
      <c r="Z1206" s="80"/>
      <c r="AA1206" s="566">
        <v>10</v>
      </c>
      <c r="AB1206" s="566">
        <v>10</v>
      </c>
      <c r="AC1206" s="566">
        <v>10</v>
      </c>
      <c r="AD1206" s="566">
        <v>10</v>
      </c>
      <c r="AE1206" s="566">
        <v>10</v>
      </c>
      <c r="AF1206" s="566">
        <v>10</v>
      </c>
      <c r="AG1206" s="566">
        <v>10</v>
      </c>
      <c r="AH1206" s="566">
        <v>10</v>
      </c>
      <c r="AI1206" s="566">
        <v>10</v>
      </c>
      <c r="AJ1206" s="566">
        <v>10</v>
      </c>
      <c r="AK1206" s="566">
        <v>10</v>
      </c>
      <c r="AL1206" s="566">
        <v>10</v>
      </c>
      <c r="AM1206" s="566">
        <v>10</v>
      </c>
      <c r="AN1206" s="566">
        <v>10</v>
      </c>
      <c r="AO1206" s="566">
        <v>10</v>
      </c>
      <c r="AP1206" s="566">
        <v>10</v>
      </c>
      <c r="AQ1206" s="566">
        <v>10</v>
      </c>
      <c r="AR1206" s="566">
        <v>10</v>
      </c>
      <c r="AS1206" s="566">
        <v>10</v>
      </c>
      <c r="AT1206" s="6"/>
      <c r="AU1206" s="6"/>
    </row>
    <row r="1207" spans="1:47" hidden="1" outlineLevel="1">
      <c r="A1207" s="301"/>
      <c r="B1207" s="3"/>
      <c r="C1207" s="21"/>
      <c r="D1207" s="4"/>
      <c r="E1207" s="4"/>
      <c r="F1207" s="4"/>
      <c r="G1207" s="4"/>
      <c r="H1207" s="4"/>
      <c r="I1207" s="4"/>
      <c r="J1207" s="4"/>
      <c r="K1207" s="4"/>
      <c r="L1207" s="4"/>
      <c r="M1207" s="4"/>
      <c r="N1207" s="4"/>
      <c r="O1207" s="4"/>
      <c r="P1207" s="4"/>
      <c r="Q1207" s="4"/>
      <c r="R1207" s="4"/>
      <c r="S1207" s="4"/>
      <c r="T1207" s="4"/>
      <c r="U1207" s="2"/>
      <c r="V1207" s="2"/>
      <c r="W1207" s="2"/>
      <c r="X1207" s="2"/>
      <c r="Y1207" s="2"/>
      <c r="Z1207" s="80"/>
      <c r="AA1207" s="3">
        <v>14.58</v>
      </c>
      <c r="AB1207" s="3">
        <v>8.76</v>
      </c>
      <c r="AC1207" s="3">
        <v>0</v>
      </c>
      <c r="AD1207" s="3">
        <v>0</v>
      </c>
      <c r="AE1207" s="3">
        <v>0</v>
      </c>
      <c r="AF1207" s="3">
        <v>0</v>
      </c>
      <c r="AG1207" s="3">
        <v>0</v>
      </c>
      <c r="AH1207" s="3">
        <v>0</v>
      </c>
      <c r="AI1207" s="3">
        <v>0</v>
      </c>
      <c r="AJ1207" s="3">
        <v>0</v>
      </c>
      <c r="AK1207" s="3">
        <v>0</v>
      </c>
      <c r="AL1207" s="3">
        <v>0</v>
      </c>
      <c r="AM1207" s="3">
        <v>0</v>
      </c>
      <c r="AN1207" s="3">
        <v>0</v>
      </c>
      <c r="AO1207" s="3">
        <v>0</v>
      </c>
      <c r="AP1207" s="3">
        <v>0</v>
      </c>
      <c r="AQ1207" s="3">
        <v>0</v>
      </c>
      <c r="AR1207" s="3">
        <v>0</v>
      </c>
      <c r="AS1207" s="3">
        <v>0</v>
      </c>
      <c r="AT1207" s="6"/>
      <c r="AU1207" s="6"/>
    </row>
    <row r="1208" spans="1:47" hidden="1" outlineLevel="1">
      <c r="A1208" s="301"/>
      <c r="B1208" s="4"/>
      <c r="C1208" s="21"/>
      <c r="D1208" s="4"/>
      <c r="E1208" s="4"/>
      <c r="F1208" s="4"/>
      <c r="G1208" s="4"/>
      <c r="H1208" s="4"/>
      <c r="I1208" s="4"/>
      <c r="J1208" s="4"/>
      <c r="K1208" s="4"/>
      <c r="L1208" s="4"/>
      <c r="M1208" s="4"/>
      <c r="N1208" s="4"/>
      <c r="O1208" s="4"/>
      <c r="P1208" s="4"/>
      <c r="Q1208" s="4"/>
      <c r="R1208" s="4"/>
      <c r="S1208" s="4"/>
      <c r="T1208" s="4"/>
      <c r="U1208" s="4"/>
      <c r="V1208" s="4"/>
      <c r="W1208" s="4"/>
      <c r="X1208" s="4"/>
      <c r="Y1208" s="4"/>
      <c r="Z1208" s="4"/>
      <c r="AA1208" s="4"/>
      <c r="AB1208" s="4"/>
      <c r="AC1208" s="4"/>
      <c r="AD1208" s="4"/>
      <c r="AE1208" s="4"/>
      <c r="AF1208" s="4"/>
      <c r="AG1208" s="4"/>
      <c r="AH1208" s="4"/>
      <c r="AI1208" s="4"/>
      <c r="AJ1208" s="4"/>
      <c r="AK1208" s="4"/>
      <c r="AL1208" s="4"/>
      <c r="AM1208" s="4"/>
      <c r="AN1208" s="4"/>
      <c r="AO1208" s="4"/>
      <c r="AP1208" s="4"/>
      <c r="AQ1208" s="4"/>
      <c r="AR1208" s="4"/>
      <c r="AS1208" s="4"/>
      <c r="AT1208" s="6"/>
      <c r="AU1208" s="4"/>
    </row>
    <row r="1209" spans="1:47" hidden="1" outlineLevel="1">
      <c r="A1209" s="301"/>
      <c r="B1209" s="4" t="s">
        <v>448</v>
      </c>
      <c r="C1209" s="21" t="s">
        <v>732</v>
      </c>
      <c r="D1209" s="816">
        <v>0</v>
      </c>
      <c r="E1209" s="816">
        <v>0</v>
      </c>
      <c r="F1209" s="816">
        <v>0</v>
      </c>
      <c r="G1209" s="816">
        <v>0</v>
      </c>
      <c r="H1209" s="816">
        <v>0</v>
      </c>
      <c r="I1209" s="816">
        <v>0</v>
      </c>
      <c r="J1209" s="816">
        <v>0</v>
      </c>
      <c r="K1209" s="816">
        <v>11.923133206666824</v>
      </c>
      <c r="L1209" s="816">
        <v>17.092236809703323</v>
      </c>
      <c r="M1209" s="816">
        <v>24.721830125851721</v>
      </c>
      <c r="N1209" s="816">
        <v>40.898638838370502</v>
      </c>
      <c r="O1209" s="816">
        <v>50.243017982165121</v>
      </c>
      <c r="P1209" s="816">
        <v>95.19666281550181</v>
      </c>
      <c r="Q1209" s="816">
        <v>133.19773936597863</v>
      </c>
      <c r="R1209" s="816">
        <v>189.53376666923592</v>
      </c>
      <c r="S1209" s="816">
        <v>222.10613201358231</v>
      </c>
      <c r="T1209" s="816">
        <v>225.46601965435065</v>
      </c>
      <c r="U1209" s="816">
        <v>276.33496933931087</v>
      </c>
      <c r="V1209" s="4">
        <v>387.48550870609529</v>
      </c>
      <c r="W1209" s="4">
        <v>375.41320694830529</v>
      </c>
      <c r="X1209" s="4">
        <v>328.28672826610409</v>
      </c>
      <c r="Y1209" s="4">
        <v>217.46105160988418</v>
      </c>
      <c r="Z1209" s="4">
        <v>136.73399999999992</v>
      </c>
      <c r="AA1209" s="4">
        <v>301.44399999999996</v>
      </c>
      <c r="AB1209" s="4">
        <v>314.85199999999986</v>
      </c>
      <c r="AC1209" s="4">
        <v>324.29755999999986</v>
      </c>
      <c r="AD1209" s="4">
        <v>334.02648679999987</v>
      </c>
      <c r="AE1209" s="4">
        <v>344.04728140399988</v>
      </c>
      <c r="AF1209" s="4">
        <v>354.36869984611985</v>
      </c>
      <c r="AG1209" s="4">
        <v>364.99976084150347</v>
      </c>
      <c r="AH1209" s="4">
        <v>375.94975366674856</v>
      </c>
      <c r="AI1209" s="4">
        <v>387.22824627675101</v>
      </c>
      <c r="AJ1209" s="4">
        <v>398.84509366505353</v>
      </c>
      <c r="AK1209" s="4">
        <v>410.81044647500516</v>
      </c>
      <c r="AL1209" s="4">
        <v>423.13475986925533</v>
      </c>
      <c r="AM1209" s="4">
        <v>435.828802665333</v>
      </c>
      <c r="AN1209" s="4">
        <v>448.90366674529298</v>
      </c>
      <c r="AO1209" s="4">
        <v>462.3707767476518</v>
      </c>
      <c r="AP1209" s="4">
        <v>476.24190005008137</v>
      </c>
      <c r="AQ1209" s="4">
        <v>476.24190005008137</v>
      </c>
      <c r="AR1209" s="4">
        <v>476.24190005008137</v>
      </c>
      <c r="AS1209" s="4">
        <v>476.24190005008137</v>
      </c>
      <c r="AT1209" s="6"/>
      <c r="AU1209" s="6"/>
    </row>
    <row r="1210" spans="1:47" hidden="1" outlineLevel="1">
      <c r="A1210" s="308"/>
      <c r="B1210" s="817" t="s">
        <v>130</v>
      </c>
      <c r="C1210" s="310" t="s">
        <v>733</v>
      </c>
      <c r="D1210" s="312"/>
      <c r="E1210" s="312"/>
      <c r="F1210" s="312"/>
      <c r="G1210" s="312"/>
      <c r="H1210" s="312"/>
      <c r="I1210" s="312"/>
      <c r="J1210" s="312"/>
      <c r="K1210" s="312"/>
      <c r="L1210" s="312"/>
      <c r="M1210" s="312"/>
      <c r="N1210" s="312"/>
      <c r="O1210" s="312"/>
      <c r="P1210" s="312"/>
      <c r="Q1210" s="312"/>
      <c r="R1210" s="312"/>
      <c r="S1210" s="312"/>
      <c r="T1210" s="312">
        <v>0.14000000000000001</v>
      </c>
      <c r="U1210" s="312">
        <v>0.16</v>
      </c>
      <c r="V1210" s="312">
        <v>0.21270608796257265</v>
      </c>
      <c r="W1210" s="312">
        <v>0.18942843281517274</v>
      </c>
      <c r="X1210" s="312">
        <v>0.11829575718699707</v>
      </c>
      <c r="Y1210" s="312">
        <v>7.5258044793284726E-2</v>
      </c>
      <c r="Z1210" s="312">
        <v>4.5152572462260551E-2</v>
      </c>
      <c r="AA1210" s="312">
        <v>0.10019557555185941</v>
      </c>
      <c r="AB1210" s="312">
        <v>0.10890206935099823</v>
      </c>
      <c r="AC1210" s="815">
        <v>0.03</v>
      </c>
      <c r="AD1210" s="813">
        <v>0.03</v>
      </c>
      <c r="AE1210" s="813">
        <v>0.03</v>
      </c>
      <c r="AF1210" s="813">
        <v>0.03</v>
      </c>
      <c r="AG1210" s="813">
        <v>0.03</v>
      </c>
      <c r="AH1210" s="813">
        <v>0.03</v>
      </c>
      <c r="AI1210" s="813">
        <v>0.03</v>
      </c>
      <c r="AJ1210" s="813">
        <v>0.03</v>
      </c>
      <c r="AK1210" s="813">
        <v>0.03</v>
      </c>
      <c r="AL1210" s="813">
        <v>0.03</v>
      </c>
      <c r="AM1210" s="813">
        <v>0.03</v>
      </c>
      <c r="AN1210" s="813">
        <v>0.03</v>
      </c>
      <c r="AO1210" s="813">
        <v>0.03</v>
      </c>
      <c r="AP1210" s="813">
        <v>0.03</v>
      </c>
      <c r="AQ1210" s="813">
        <v>0.03</v>
      </c>
      <c r="AR1210" s="813">
        <v>0.03</v>
      </c>
      <c r="AS1210" s="813">
        <v>0.03</v>
      </c>
      <c r="AT1210" s="312"/>
      <c r="AU1210" s="514" t="s">
        <v>899</v>
      </c>
    </row>
    <row r="1211" spans="1:47" hidden="1" outlineLevel="1">
      <c r="A1211" s="308"/>
      <c r="B1211" s="810" t="s">
        <v>1099</v>
      </c>
      <c r="C1211" s="750" t="s">
        <v>733</v>
      </c>
      <c r="D1211" s="750"/>
      <c r="E1211" s="750"/>
      <c r="F1211" s="750"/>
      <c r="G1211" s="750"/>
      <c r="H1211" s="750"/>
      <c r="I1211" s="750"/>
      <c r="J1211" s="750"/>
      <c r="K1211" s="312"/>
      <c r="L1211" s="312"/>
      <c r="M1211" s="312"/>
      <c r="N1211" s="514"/>
      <c r="O1211" s="312"/>
      <c r="P1211" s="312">
        <v>0.89472421519929379</v>
      </c>
      <c r="Q1211" s="312">
        <v>0.39918496538188242</v>
      </c>
      <c r="R1211" s="312">
        <v>0.42295032611977379</v>
      </c>
      <c r="S1211" s="312">
        <v>0.17185521037625939</v>
      </c>
      <c r="T1211" s="312">
        <v>1.5127397025503475E-2</v>
      </c>
      <c r="U1211" s="312">
        <v>0.22561692339690298</v>
      </c>
      <c r="V1211" s="313">
        <v>0.40223117484020987</v>
      </c>
      <c r="W1211" s="313">
        <v>-3.1155492235315441E-2</v>
      </c>
      <c r="X1211" s="312">
        <v>-0.125532287649887</v>
      </c>
      <c r="Y1211" s="312">
        <v>-0.33758805067010311</v>
      </c>
      <c r="Z1211" s="313">
        <v>-0.37122533443232464</v>
      </c>
      <c r="AA1211" s="313">
        <v>1.2046016352918816</v>
      </c>
      <c r="AB1211" s="313">
        <v>4.4479239925159897E-2</v>
      </c>
      <c r="AC1211" s="313">
        <v>3.0000000000000027E-2</v>
      </c>
      <c r="AD1211" s="313">
        <v>3.0000000000000027E-2</v>
      </c>
      <c r="AE1211" s="313">
        <v>3.0000000000000027E-2</v>
      </c>
      <c r="AF1211" s="313">
        <v>3.0000000000000027E-2</v>
      </c>
      <c r="AG1211" s="313">
        <v>3.0000000000000027E-2</v>
      </c>
      <c r="AH1211" s="313">
        <v>3.0000000000000027E-2</v>
      </c>
      <c r="AI1211" s="313">
        <v>3.0000000000000027E-2</v>
      </c>
      <c r="AJ1211" s="313">
        <v>3.0000000000000027E-2</v>
      </c>
      <c r="AK1211" s="313">
        <v>3.0000000000000027E-2</v>
      </c>
      <c r="AL1211" s="313">
        <v>3.0000000000000027E-2</v>
      </c>
      <c r="AM1211" s="313">
        <v>3.0000000000000027E-2</v>
      </c>
      <c r="AN1211" s="313">
        <v>3.0000000000000027E-2</v>
      </c>
      <c r="AO1211" s="313">
        <v>3.0000000000000027E-2</v>
      </c>
      <c r="AP1211" s="313">
        <v>3.0000000000000027E-2</v>
      </c>
      <c r="AQ1211" s="313">
        <v>3.0000000000000027E-2</v>
      </c>
      <c r="AR1211" s="313">
        <v>3.0000000000000027E-2</v>
      </c>
      <c r="AS1211" s="313">
        <v>3.0000000000000027E-2</v>
      </c>
      <c r="AT1211" s="312"/>
      <c r="AU1211" s="514"/>
    </row>
    <row r="1212" spans="1:47" hidden="1" outlineLevel="1">
      <c r="A1212" s="298"/>
      <c r="B1212" s="55"/>
      <c r="C1212" s="38"/>
      <c r="D1212" s="38"/>
      <c r="E1212" s="38"/>
      <c r="F1212" s="38"/>
      <c r="G1212" s="38"/>
      <c r="H1212" s="38"/>
      <c r="I1212" s="38"/>
      <c r="J1212" s="38"/>
      <c r="K1212" s="2"/>
      <c r="L1212" s="2"/>
      <c r="M1212" s="2"/>
      <c r="N1212" s="3"/>
      <c r="O1212" s="2"/>
      <c r="P1212" s="2"/>
      <c r="Q1212" s="2"/>
      <c r="R1212" s="2"/>
      <c r="S1212" s="2"/>
      <c r="T1212" s="2"/>
      <c r="U1212" s="2"/>
      <c r="V1212" s="2"/>
      <c r="W1212" s="2"/>
      <c r="X1212" s="768"/>
      <c r="Y1212" s="768"/>
      <c r="Z1212" s="768"/>
      <c r="AA1212" s="768"/>
      <c r="AB1212" s="768"/>
      <c r="AC1212" s="768"/>
      <c r="AD1212" s="2"/>
      <c r="AE1212" s="2"/>
      <c r="AF1212" s="2"/>
      <c r="AG1212" s="2"/>
      <c r="AH1212" s="2"/>
      <c r="AI1212" s="2"/>
      <c r="AJ1212" s="2"/>
      <c r="AK1212" s="2"/>
      <c r="AL1212" s="2"/>
      <c r="AM1212" s="2"/>
      <c r="AN1212" s="2"/>
      <c r="AO1212" s="2"/>
      <c r="AP1212" s="2"/>
      <c r="AQ1212" s="2"/>
      <c r="AR1212" s="2"/>
      <c r="AS1212" s="2"/>
      <c r="AT1212" s="2"/>
      <c r="AU1212" s="2"/>
    </row>
    <row r="1213" spans="1:47" hidden="1" outlineLevel="1">
      <c r="A1213" s="298"/>
      <c r="B1213" s="818" t="s">
        <v>974</v>
      </c>
      <c r="C1213" s="38"/>
      <c r="D1213" s="38"/>
      <c r="E1213" s="38"/>
      <c r="F1213" s="38"/>
      <c r="G1213" s="38"/>
      <c r="H1213" s="38"/>
      <c r="I1213" s="38"/>
      <c r="J1213" s="38"/>
      <c r="K1213" s="2"/>
      <c r="L1213" s="2"/>
      <c r="M1213" s="2"/>
      <c r="N1213" s="3"/>
      <c r="O1213" s="2"/>
      <c r="P1213" s="2"/>
      <c r="Q1213" s="2"/>
      <c r="R1213" s="2"/>
      <c r="S1213" s="2"/>
      <c r="T1213" s="2"/>
      <c r="U1213" s="2"/>
      <c r="V1213" s="2"/>
      <c r="W1213" s="2"/>
      <c r="X1213" s="768"/>
      <c r="Y1213" s="768"/>
      <c r="Z1213" s="153">
        <v>3165</v>
      </c>
      <c r="AA1213" s="153">
        <v>3310</v>
      </c>
      <c r="AB1213" s="153">
        <v>3206</v>
      </c>
      <c r="AC1213" s="768"/>
      <c r="AD1213" s="2"/>
      <c r="AE1213" s="2"/>
      <c r="AF1213" s="2"/>
      <c r="AG1213" s="2"/>
      <c r="AH1213" s="2"/>
      <c r="AI1213" s="2"/>
      <c r="AJ1213" s="2"/>
      <c r="AK1213" s="2"/>
      <c r="AL1213" s="2"/>
      <c r="AM1213" s="2"/>
      <c r="AN1213" s="2"/>
      <c r="AO1213" s="2"/>
      <c r="AP1213" s="2"/>
      <c r="AQ1213" s="2"/>
      <c r="AR1213" s="2"/>
      <c r="AS1213" s="2"/>
      <c r="AT1213" s="2"/>
      <c r="AU1213" s="2"/>
    </row>
    <row r="1214" spans="1:47" hidden="1" outlineLevel="1">
      <c r="A1214" s="298"/>
      <c r="B1214" s="4" t="s">
        <v>480</v>
      </c>
      <c r="C1214" s="21" t="s">
        <v>732</v>
      </c>
      <c r="D1214" s="4">
        <v>0</v>
      </c>
      <c r="E1214" s="4">
        <v>0</v>
      </c>
      <c r="F1214" s="4">
        <v>0</v>
      </c>
      <c r="G1214" s="4">
        <v>0</v>
      </c>
      <c r="H1214" s="4">
        <v>0</v>
      </c>
      <c r="I1214" s="4">
        <v>0</v>
      </c>
      <c r="J1214" s="4">
        <v>0</v>
      </c>
      <c r="K1214" s="4">
        <v>373.23020007535843</v>
      </c>
      <c r="L1214" s="4">
        <v>444.39815705228636</v>
      </c>
      <c r="M1214" s="4">
        <v>519.15843264288605</v>
      </c>
      <c r="N1214" s="4">
        <v>642.34920999087785</v>
      </c>
      <c r="O1214" s="4">
        <v>768.00041772738109</v>
      </c>
      <c r="P1214" s="4">
        <v>1047.1632909705199</v>
      </c>
      <c r="Q1214" s="4">
        <v>1243.1789007491338</v>
      </c>
      <c r="R1214" s="4">
        <v>1432.378138270783</v>
      </c>
      <c r="S1214" s="4">
        <v>1702.8136787707977</v>
      </c>
      <c r="T1214" s="4">
        <v>1835.9375886139981</v>
      </c>
      <c r="U1214" s="4">
        <v>2003.4285277100037</v>
      </c>
      <c r="V1214" s="768">
        <v>2209.1799999999998</v>
      </c>
      <c r="W1214" s="768">
        <v>2357.2339999999999</v>
      </c>
      <c r="X1214" s="768">
        <v>3103.422</v>
      </c>
      <c r="Y1214" s="768">
        <v>3107</v>
      </c>
      <c r="Z1214" s="768">
        <v>3165</v>
      </c>
      <c r="AA1214" s="768">
        <v>3310</v>
      </c>
      <c r="AB1214" s="768">
        <v>3206</v>
      </c>
      <c r="AC1214" s="4">
        <v>3076.1962112360002</v>
      </c>
      <c r="AD1214" s="4">
        <v>2947.374528317544</v>
      </c>
      <c r="AE1214" s="4">
        <v>2818.3788252693039</v>
      </c>
      <c r="AF1214" s="4">
        <v>2690.9149153488365</v>
      </c>
      <c r="AG1214" s="4">
        <v>2566.3125604956604</v>
      </c>
      <c r="AH1214" s="4">
        <v>2445.5906089696437</v>
      </c>
      <c r="AI1214" s="4">
        <v>2329.5118102942379</v>
      </c>
      <c r="AJ1214" s="4">
        <v>2218.6288806417374</v>
      </c>
      <c r="AK1214" s="4">
        <v>2113.3231566362479</v>
      </c>
      <c r="AL1214" s="4">
        <v>2013.8369751973987</v>
      </c>
      <c r="AM1214" s="4">
        <v>1920.3007463780846</v>
      </c>
      <c r="AN1214" s="4">
        <v>1832.7555407895165</v>
      </c>
      <c r="AO1214" s="4">
        <v>1751.1718894258752</v>
      </c>
      <c r="AP1214" s="4">
        <v>1675.4653883162521</v>
      </c>
      <c r="AQ1214" s="4">
        <v>1675.4653883162521</v>
      </c>
      <c r="AR1214" s="4">
        <v>1675.4653883162521</v>
      </c>
      <c r="AS1214" s="4">
        <v>1675.4653883162521</v>
      </c>
      <c r="AT1214" s="2"/>
      <c r="AU1214" s="3"/>
    </row>
    <row r="1215" spans="1:47" hidden="1" outlineLevel="1">
      <c r="A1215" s="308"/>
      <c r="B1215" s="810" t="s">
        <v>1099</v>
      </c>
      <c r="C1215" s="811" t="s">
        <v>733</v>
      </c>
      <c r="D1215" s="312"/>
      <c r="E1215" s="759">
        <v>0.17312114049601468</v>
      </c>
      <c r="F1215" s="759">
        <v>0.15499102854367353</v>
      </c>
      <c r="G1215" s="759">
        <v>0.23087927748333037</v>
      </c>
      <c r="H1215" s="759">
        <v>0.18957794538749617</v>
      </c>
      <c r="I1215" s="759">
        <v>0.38401809437192824</v>
      </c>
      <c r="J1215" s="759">
        <v>0.18906614945771083</v>
      </c>
      <c r="K1215" s="759">
        <v>0.13483780748841312</v>
      </c>
      <c r="L1215" s="759">
        <v>0.18661971160636326</v>
      </c>
      <c r="M1215" s="759">
        <v>7.7717841538218702E-2</v>
      </c>
      <c r="N1215" s="759">
        <v>8.9733996789852499E-2</v>
      </c>
      <c r="O1215" s="759">
        <v>6.6307014377627205E-2</v>
      </c>
      <c r="P1215" s="759">
        <v>0.10049931294344905</v>
      </c>
      <c r="Q1215" s="759">
        <v>0.31641664945620307</v>
      </c>
      <c r="R1215" s="759">
        <v>5.0052199133114428E-2</v>
      </c>
      <c r="S1215" s="759">
        <v>2.8389184677933832E-2</v>
      </c>
      <c r="T1215" s="312">
        <v>7.8178788145099931E-2</v>
      </c>
      <c r="U1215" s="312">
        <v>9.1229102848996879E-2</v>
      </c>
      <c r="V1215" s="312">
        <v>0.10269968179258093</v>
      </c>
      <c r="W1215" s="312">
        <v>6.7017626449632939E-2</v>
      </c>
      <c r="X1215" s="312">
        <v>0.31655236603578607</v>
      </c>
      <c r="Y1215" s="312">
        <v>1.1529208725078455E-3</v>
      </c>
      <c r="Z1215" s="312">
        <v>1.8667524943675629E-2</v>
      </c>
      <c r="AA1215" s="312">
        <v>4.5813586097946279E-2</v>
      </c>
      <c r="AB1215" s="312">
        <v>-3.1419939577039258E-2</v>
      </c>
      <c r="AC1215" s="312">
        <v>-4.0487769421085451E-2</v>
      </c>
      <c r="AD1215" s="312">
        <v>-4.1876939594401308E-2</v>
      </c>
      <c r="AE1215" s="312">
        <v>-4.3766308560003409E-2</v>
      </c>
      <c r="AF1215" s="312">
        <v>-4.5225967771840514E-2</v>
      </c>
      <c r="AG1215" s="312">
        <v>-4.6304828942175358E-2</v>
      </c>
      <c r="AH1215" s="312">
        <v>-4.7041016509189459E-2</v>
      </c>
      <c r="AI1215" s="312">
        <v>-4.7464525848956884E-2</v>
      </c>
      <c r="AJ1215" s="312">
        <v>-4.7599213346978031E-2</v>
      </c>
      <c r="AK1215" s="312">
        <v>-4.7464325793428741E-2</v>
      </c>
      <c r="AL1215" s="312">
        <v>-4.7075706867850786E-2</v>
      </c>
      <c r="AM1215" s="312">
        <v>-4.6446772986748597E-2</v>
      </c>
      <c r="AN1215" s="312">
        <v>-4.5589320190438265E-2</v>
      </c>
      <c r="AO1215" s="312">
        <v>-4.4514202547982329E-2</v>
      </c>
      <c r="AP1215" s="312">
        <v>-4.3231907482505161E-2</v>
      </c>
      <c r="AQ1215" s="312">
        <v>-4.3231907482505161E-2</v>
      </c>
      <c r="AR1215" s="312">
        <v>-4.3231907482505161E-2</v>
      </c>
      <c r="AS1215" s="312">
        <v>-4.3231907482505161E-2</v>
      </c>
      <c r="AT1215" s="312"/>
      <c r="AU1215" s="514"/>
    </row>
    <row r="1216" spans="1:47" hidden="1" outlineLevel="1">
      <c r="A1216" s="298"/>
      <c r="B1216" s="3"/>
      <c r="C1216" s="112"/>
      <c r="D1216" s="3"/>
      <c r="E1216" s="3"/>
      <c r="F1216" s="3"/>
      <c r="G1216" s="3"/>
      <c r="H1216" s="3"/>
      <c r="I1216" s="3"/>
      <c r="J1216" s="3"/>
      <c r="K1216" s="3"/>
      <c r="L1216" s="3"/>
      <c r="M1216" s="3"/>
      <c r="N1216" s="3"/>
      <c r="O1216" s="3"/>
      <c r="P1216" s="3"/>
      <c r="Q1216" s="3"/>
      <c r="R1216" s="3"/>
      <c r="S1216" s="3"/>
      <c r="T1216" s="3"/>
      <c r="U1216" s="3"/>
      <c r="V1216" s="3"/>
      <c r="W1216" s="3"/>
      <c r="X1216" s="3"/>
      <c r="Y1216" s="3"/>
      <c r="Z1216" s="3"/>
      <c r="AA1216" s="3"/>
      <c r="AB1216" s="3"/>
      <c r="AC1216" s="3"/>
      <c r="AD1216" s="3"/>
      <c r="AE1216" s="3"/>
      <c r="AF1216" s="3"/>
      <c r="AG1216" s="3"/>
      <c r="AH1216" s="3"/>
      <c r="AI1216" s="3"/>
      <c r="AJ1216" s="3"/>
      <c r="AK1216" s="3"/>
      <c r="AL1216" s="3"/>
      <c r="AM1216" s="3"/>
      <c r="AN1216" s="3"/>
      <c r="AO1216" s="3"/>
      <c r="AP1216" s="3"/>
      <c r="AQ1216" s="3"/>
      <c r="AR1216" s="3"/>
      <c r="AS1216" s="3"/>
      <c r="AT1216" s="2"/>
      <c r="AU1216" s="2"/>
    </row>
    <row r="1217" spans="1:47" hidden="1" outlineLevel="1">
      <c r="A1217" s="298"/>
      <c r="B1217" s="4" t="s">
        <v>329</v>
      </c>
      <c r="C1217" s="112"/>
      <c r="D1217" s="3"/>
      <c r="E1217" s="3"/>
      <c r="F1217" s="3"/>
      <c r="G1217" s="3"/>
      <c r="H1217" s="3"/>
      <c r="I1217" s="3"/>
      <c r="J1217" s="3"/>
      <c r="K1217" s="3"/>
      <c r="L1217" s="3"/>
      <c r="M1217" s="3"/>
      <c r="N1217" s="3"/>
      <c r="O1217" s="3"/>
      <c r="P1217" s="3"/>
      <c r="Q1217" s="3"/>
      <c r="R1217" s="3"/>
      <c r="S1217" s="3"/>
      <c r="T1217" s="3"/>
      <c r="U1217" s="3"/>
      <c r="V1217" s="3"/>
      <c r="W1217" s="3"/>
      <c r="X1217" s="3"/>
      <c r="Y1217" s="3"/>
      <c r="Z1217" s="3"/>
      <c r="AA1217" s="3"/>
      <c r="AB1217" s="3"/>
      <c r="AC1217" s="2"/>
      <c r="AD1217" s="2"/>
      <c r="AE1217" s="2"/>
      <c r="AF1217" s="2"/>
      <c r="AG1217" s="2"/>
      <c r="AH1217" s="2"/>
      <c r="AI1217" s="2"/>
      <c r="AJ1217" s="2"/>
      <c r="AK1217" s="2"/>
      <c r="AL1217" s="2"/>
      <c r="AM1217" s="2"/>
      <c r="AN1217" s="2"/>
      <c r="AO1217" s="2"/>
      <c r="AP1217" s="2"/>
      <c r="AQ1217" s="2"/>
      <c r="AR1217" s="2"/>
      <c r="AS1217" s="2"/>
      <c r="AT1217" s="2"/>
      <c r="AU1217" s="2"/>
    </row>
    <row r="1218" spans="1:47" hidden="1" outlineLevel="1">
      <c r="A1218" s="298"/>
      <c r="B1218" s="3" t="s">
        <v>620</v>
      </c>
      <c r="C1218" s="18" t="s">
        <v>732</v>
      </c>
      <c r="D1218" s="2"/>
      <c r="E1218" s="2"/>
      <c r="F1218" s="2"/>
      <c r="G1218" s="2"/>
      <c r="H1218" s="2"/>
      <c r="I1218" s="2"/>
      <c r="J1218" s="2"/>
      <c r="K1218" s="566">
        <v>194.43489370550432</v>
      </c>
      <c r="L1218" s="566">
        <v>241.43017472826028</v>
      </c>
      <c r="M1218" s="566">
        <v>319.15508098269675</v>
      </c>
      <c r="N1218" s="566">
        <v>417.63924505917413</v>
      </c>
      <c r="O1218" s="566">
        <v>483.88187021620547</v>
      </c>
      <c r="P1218" s="566">
        <v>593.99444041226877</v>
      </c>
      <c r="Q1218" s="566">
        <v>644.32247303490681</v>
      </c>
      <c r="R1218" s="566">
        <v>706.77337330857449</v>
      </c>
      <c r="S1218" s="566">
        <v>840.97072406891243</v>
      </c>
      <c r="T1218" s="3">
        <v>905.28201732168293</v>
      </c>
      <c r="U1218" s="3">
        <v>964.70772259852072</v>
      </c>
      <c r="V1218" s="3">
        <v>995.9071461724817</v>
      </c>
      <c r="W1218" s="3">
        <v>1086.7899228037961</v>
      </c>
      <c r="X1218" s="3">
        <v>1628.1630743800533</v>
      </c>
      <c r="Y1218" s="3">
        <v>1695.2833491292527</v>
      </c>
      <c r="Z1218" s="3">
        <v>1877.5249200000001</v>
      </c>
      <c r="AA1218" s="3">
        <v>2013.476103</v>
      </c>
      <c r="AB1218" s="3">
        <v>2010.7934340000002</v>
      </c>
      <c r="AC1218" s="3">
        <v>1953.84804237756</v>
      </c>
      <c r="AD1218" s="3">
        <v>1960.0110311381582</v>
      </c>
      <c r="AE1218" s="3">
        <v>1880.491973337631</v>
      </c>
      <c r="AF1218" s="3">
        <v>1799.1405859370918</v>
      </c>
      <c r="AG1218" s="3">
        <v>1717.0239837302427</v>
      </c>
      <c r="AH1218" s="3">
        <v>1635.0162756892871</v>
      </c>
      <c r="AI1218" s="3">
        <v>1553.8268512139894</v>
      </c>
      <c r="AJ1218" s="3">
        <v>1474.024867451114</v>
      </c>
      <c r="AK1218" s="3">
        <v>1396.0604223322191</v>
      </c>
      <c r="AL1218" s="3">
        <v>1320.2828387223592</v>
      </c>
      <c r="AM1218" s="3">
        <v>1246.9564327187113</v>
      </c>
      <c r="AN1218" s="3">
        <v>1176.2740929375902</v>
      </c>
      <c r="AO1218" s="3">
        <v>1108.3689569032722</v>
      </c>
      <c r="AP1218" s="3">
        <v>1043.3244347915686</v>
      </c>
      <c r="AQ1218" s="3">
        <v>1043.3244347915686</v>
      </c>
      <c r="AR1218" s="3">
        <v>1043.3244347915686</v>
      </c>
      <c r="AS1218" s="3">
        <v>1043.3244347915686</v>
      </c>
      <c r="AT1218" s="2"/>
      <c r="AU1218" s="2"/>
    </row>
    <row r="1219" spans="1:47" hidden="1" outlineLevel="1">
      <c r="A1219" s="308"/>
      <c r="B1219" s="312" t="s">
        <v>131</v>
      </c>
      <c r="C1219" s="310"/>
      <c r="D1219" s="312"/>
      <c r="E1219" s="312"/>
      <c r="F1219" s="312"/>
      <c r="G1219" s="312"/>
      <c r="H1219" s="312"/>
      <c r="I1219" s="312"/>
      <c r="J1219" s="312"/>
      <c r="K1219" s="312">
        <v>0.53814306869388473</v>
      </c>
      <c r="L1219" s="312">
        <v>0.56500545227924648</v>
      </c>
      <c r="M1219" s="312">
        <v>0.64549242381727023</v>
      </c>
      <c r="N1219" s="312">
        <v>0.69438664636877545</v>
      </c>
      <c r="O1219" s="312">
        <v>0.67415796812122064</v>
      </c>
      <c r="P1219" s="312">
        <v>0.62396561270585094</v>
      </c>
      <c r="Q1219" s="312">
        <v>0.58048054818517103</v>
      </c>
      <c r="R1219" s="312">
        <v>0.56867407493491418</v>
      </c>
      <c r="S1219" s="312">
        <v>0.56795194021308137</v>
      </c>
      <c r="T1219" s="759">
        <v>0.56212232166662113</v>
      </c>
      <c r="U1219" s="759">
        <v>0.55857293770964422</v>
      </c>
      <c r="V1219" s="759">
        <v>0.54669273631338344</v>
      </c>
      <c r="W1219" s="759">
        <v>0.54837951373509874</v>
      </c>
      <c r="X1219" s="759">
        <v>0.58669683275034812</v>
      </c>
      <c r="Y1219" s="313">
        <v>0.58669683275034812</v>
      </c>
      <c r="Z1219" s="708">
        <v>0.62</v>
      </c>
      <c r="AA1219" s="708">
        <v>0.66925000000000001</v>
      </c>
      <c r="AB1219" s="754">
        <v>0.69550000000000001</v>
      </c>
      <c r="AC1219" s="812">
        <v>0.71</v>
      </c>
      <c r="AD1219" s="813">
        <v>0.75</v>
      </c>
      <c r="AE1219" s="813">
        <v>0.76</v>
      </c>
      <c r="AF1219" s="813">
        <v>0.77</v>
      </c>
      <c r="AG1219" s="813">
        <v>0.78</v>
      </c>
      <c r="AH1219" s="813">
        <v>0.79</v>
      </c>
      <c r="AI1219" s="813">
        <v>0.8</v>
      </c>
      <c r="AJ1219" s="813">
        <v>0.81</v>
      </c>
      <c r="AK1219" s="813">
        <v>0.82000000000000006</v>
      </c>
      <c r="AL1219" s="813">
        <v>0.83000000000000007</v>
      </c>
      <c r="AM1219" s="813">
        <v>0.84000000000000008</v>
      </c>
      <c r="AN1219" s="813">
        <v>0.85000000000000009</v>
      </c>
      <c r="AO1219" s="814">
        <v>0.8600000000000001</v>
      </c>
      <c r="AP1219" s="814">
        <v>0.87000000000000011</v>
      </c>
      <c r="AQ1219" s="814">
        <v>0.87000000000000011</v>
      </c>
      <c r="AR1219" s="814">
        <v>0.87000000000000011</v>
      </c>
      <c r="AS1219" s="814">
        <v>0.87000000000000011</v>
      </c>
      <c r="AT1219" s="312"/>
      <c r="AU1219" s="514"/>
    </row>
    <row r="1220" spans="1:47" hidden="1" outlineLevel="1">
      <c r="A1220" s="298"/>
      <c r="B1220" s="3" t="s">
        <v>290</v>
      </c>
      <c r="C1220" s="18" t="s">
        <v>732</v>
      </c>
      <c r="D1220" s="2"/>
      <c r="E1220" s="2"/>
      <c r="F1220" s="2"/>
      <c r="G1220" s="2"/>
      <c r="H1220" s="2"/>
      <c r="I1220" s="2"/>
      <c r="J1220" s="2"/>
      <c r="K1220" s="566">
        <v>41.919892472874992</v>
      </c>
      <c r="L1220" s="566">
        <v>46.004229648526156</v>
      </c>
      <c r="M1220" s="566">
        <v>48.196755540521842</v>
      </c>
      <c r="N1220" s="566">
        <v>65.669231312941449</v>
      </c>
      <c r="O1220" s="566">
        <v>91.217416869913336</v>
      </c>
      <c r="P1220" s="566">
        <v>124.11116753408116</v>
      </c>
      <c r="Q1220" s="566">
        <v>132.93580135774536</v>
      </c>
      <c r="R1220" s="566">
        <v>142.20214751479079</v>
      </c>
      <c r="S1220" s="566">
        <v>153.8761593167647</v>
      </c>
      <c r="T1220" s="3">
        <v>167.8097114166078</v>
      </c>
      <c r="U1220" s="3">
        <v>181.61718340631376</v>
      </c>
      <c r="V1220" s="3">
        <v>193.27436225239188</v>
      </c>
      <c r="W1220" s="3">
        <v>203.29054915532004</v>
      </c>
      <c r="X1220" s="3">
        <v>212.43143438378721</v>
      </c>
      <c r="Y1220" s="3">
        <v>221.18882267343099</v>
      </c>
      <c r="Z1220" s="3">
        <v>227.11994999999999</v>
      </c>
      <c r="AA1220" s="3">
        <v>240.68448000000001</v>
      </c>
      <c r="AB1220" s="3">
        <v>260.20332000000002</v>
      </c>
      <c r="AC1220" s="3">
        <v>247.67087861124</v>
      </c>
      <c r="AD1220" s="3">
        <v>235.20132373657896</v>
      </c>
      <c r="AE1220" s="3">
        <v>222.68983894787735</v>
      </c>
      <c r="AF1220" s="3">
        <v>210.2891593952445</v>
      </c>
      <c r="AG1220" s="3">
        <v>198.11815196887412</v>
      </c>
      <c r="AH1220" s="3">
        <v>186.26767697726055</v>
      </c>
      <c r="AI1220" s="3">
        <v>174.8055207615738</v>
      </c>
      <c r="AJ1220" s="3">
        <v>163.78054082790155</v>
      </c>
      <c r="AK1220" s="3">
        <v>153.22614391451182</v>
      </c>
      <c r="AL1220" s="3">
        <v>143.1631993795329</v>
      </c>
      <c r="AM1220" s="3">
        <v>133.60247493414764</v>
      </c>
      <c r="AN1220" s="3">
        <v>124.54666866398013</v>
      </c>
      <c r="AO1220" s="3">
        <v>115.99210014104008</v>
      </c>
      <c r="AP1220" s="3">
        <v>107.93011394395536</v>
      </c>
      <c r="AQ1220" s="3">
        <v>107.93011394395536</v>
      </c>
      <c r="AR1220" s="3">
        <v>107.93011394395536</v>
      </c>
      <c r="AS1220" s="3">
        <v>107.93011394395536</v>
      </c>
      <c r="AT1220" s="2"/>
      <c r="AU1220" s="2"/>
    </row>
    <row r="1221" spans="1:47" hidden="1" outlineLevel="1">
      <c r="A1221" s="308"/>
      <c r="B1221" s="312" t="s">
        <v>131</v>
      </c>
      <c r="C1221" s="310"/>
      <c r="D1221" s="312"/>
      <c r="E1221" s="312"/>
      <c r="F1221" s="312"/>
      <c r="G1221" s="312"/>
      <c r="H1221" s="312"/>
      <c r="I1221" s="312"/>
      <c r="J1221" s="312"/>
      <c r="K1221" s="312">
        <v>0.11602289663520413</v>
      </c>
      <c r="L1221" s="312">
        <v>0.107661109919585</v>
      </c>
      <c r="M1221" s="312">
        <v>9.7478130249997755E-2</v>
      </c>
      <c r="N1221" s="312">
        <v>0.10918475176955143</v>
      </c>
      <c r="O1221" s="312">
        <v>0.12708669656668534</v>
      </c>
      <c r="P1221" s="312">
        <v>0.13037344363070563</v>
      </c>
      <c r="Q1221" s="312">
        <v>0.11976401580734319</v>
      </c>
      <c r="R1221" s="312">
        <v>0.11441669670318182</v>
      </c>
      <c r="S1221" s="312">
        <v>0.10392069632775029</v>
      </c>
      <c r="T1221" s="759">
        <v>0.10419911450222721</v>
      </c>
      <c r="U1221" s="759">
        <v>0.10515769833433225</v>
      </c>
      <c r="V1221" s="759">
        <v>0.10609592507199925</v>
      </c>
      <c r="W1221" s="759">
        <v>0.10257766487669369</v>
      </c>
      <c r="X1221" s="759">
        <v>7.6548136787242343E-2</v>
      </c>
      <c r="Y1221" s="313">
        <v>7.6548136787242343E-2</v>
      </c>
      <c r="Z1221" s="708">
        <v>7.4999999999999997E-2</v>
      </c>
      <c r="AA1221" s="708">
        <v>0.08</v>
      </c>
      <c r="AB1221" s="754">
        <v>0.09</v>
      </c>
      <c r="AC1221" s="813">
        <v>0.09</v>
      </c>
      <c r="AD1221" s="813">
        <v>0.09</v>
      </c>
      <c r="AE1221" s="813">
        <v>0.09</v>
      </c>
      <c r="AF1221" s="813">
        <v>0.09</v>
      </c>
      <c r="AG1221" s="813">
        <v>0.09</v>
      </c>
      <c r="AH1221" s="813">
        <v>0.09</v>
      </c>
      <c r="AI1221" s="813">
        <v>0.09</v>
      </c>
      <c r="AJ1221" s="813">
        <v>0.09</v>
      </c>
      <c r="AK1221" s="813">
        <v>0.09</v>
      </c>
      <c r="AL1221" s="813">
        <v>0.09</v>
      </c>
      <c r="AM1221" s="813">
        <v>0.09</v>
      </c>
      <c r="AN1221" s="813">
        <v>0.09</v>
      </c>
      <c r="AO1221" s="814">
        <v>0.09</v>
      </c>
      <c r="AP1221" s="814">
        <v>0.09</v>
      </c>
      <c r="AQ1221" s="814">
        <v>0.09</v>
      </c>
      <c r="AR1221" s="814">
        <v>0.09</v>
      </c>
      <c r="AS1221" s="814">
        <v>0.09</v>
      </c>
      <c r="AT1221" s="312"/>
      <c r="AU1221" s="514"/>
    </row>
    <row r="1222" spans="1:47" hidden="1" outlineLevel="1">
      <c r="A1222" s="298"/>
      <c r="B1222" s="3" t="s">
        <v>128</v>
      </c>
      <c r="C1222" s="18" t="s">
        <v>732</v>
      </c>
      <c r="D1222" s="2"/>
      <c r="E1222" s="2"/>
      <c r="F1222" s="2"/>
      <c r="G1222" s="2"/>
      <c r="H1222" s="2"/>
      <c r="I1222" s="2"/>
      <c r="J1222" s="2"/>
      <c r="K1222" s="566">
        <v>46.467728292196874</v>
      </c>
      <c r="L1222" s="566">
        <v>47.837226025089663</v>
      </c>
      <c r="M1222" s="566">
        <v>35.306438892946169</v>
      </c>
      <c r="N1222" s="566">
        <v>34.3277877332565</v>
      </c>
      <c r="O1222" s="566">
        <v>69.374935988794661</v>
      </c>
      <c r="P1222" s="566">
        <v>90.646826998517412</v>
      </c>
      <c r="Q1222" s="566">
        <v>94.948273710811605</v>
      </c>
      <c r="R1222" s="566">
        <v>117.17437204796487</v>
      </c>
      <c r="S1222" s="566">
        <v>103.89129008060912</v>
      </c>
      <c r="T1222" s="3">
        <v>114.67664925351261</v>
      </c>
      <c r="U1222" s="3">
        <v>111.5785708353507</v>
      </c>
      <c r="V1222" s="3">
        <v>105.19485971216558</v>
      </c>
      <c r="W1222" s="3">
        <v>100.42887286067199</v>
      </c>
      <c r="X1222" s="3">
        <v>75.951937157231129</v>
      </c>
      <c r="Y1222" s="3">
        <v>79.083020873564863</v>
      </c>
      <c r="Z1222" s="3">
        <v>84.791448000000003</v>
      </c>
      <c r="AA1222" s="3">
        <v>90.256680000000003</v>
      </c>
      <c r="AB1222" s="3">
        <v>80.952144000000004</v>
      </c>
      <c r="AC1222" s="3">
        <v>77.05316223460801</v>
      </c>
      <c r="AD1222" s="3">
        <v>73.17374516249123</v>
      </c>
      <c r="AE1222" s="3">
        <v>69.281283228228517</v>
      </c>
      <c r="AF1222" s="3">
        <v>65.423294034076065</v>
      </c>
      <c r="AG1222" s="3">
        <v>61.636758390316402</v>
      </c>
      <c r="AH1222" s="3">
        <v>57.949943948481064</v>
      </c>
      <c r="AI1222" s="3">
        <v>54.383939792489628</v>
      </c>
      <c r="AJ1222" s="3">
        <v>50.953946035347151</v>
      </c>
      <c r="AK1222" s="3">
        <v>47.670355884514798</v>
      </c>
      <c r="AL1222" s="3">
        <v>44.539662029188015</v>
      </c>
      <c r="AM1222" s="3">
        <v>41.565214423957045</v>
      </c>
      <c r="AN1222" s="3">
        <v>38.747852473238261</v>
      </c>
      <c r="AO1222" s="3">
        <v>36.086431154990251</v>
      </c>
      <c r="AP1222" s="3">
        <v>33.578257671452782</v>
      </c>
      <c r="AQ1222" s="3">
        <v>33.578257671452782</v>
      </c>
      <c r="AR1222" s="3">
        <v>33.578257671452782</v>
      </c>
      <c r="AS1222" s="3">
        <v>33.578257671452782</v>
      </c>
      <c r="AT1222" s="2"/>
      <c r="AU1222" s="2"/>
    </row>
    <row r="1223" spans="1:47" hidden="1" outlineLevel="1">
      <c r="A1223" s="308"/>
      <c r="B1223" s="312" t="s">
        <v>131</v>
      </c>
      <c r="C1223" s="310"/>
      <c r="D1223" s="312"/>
      <c r="E1223" s="312"/>
      <c r="F1223" s="312"/>
      <c r="G1223" s="312"/>
      <c r="H1223" s="312"/>
      <c r="I1223" s="312"/>
      <c r="J1223" s="312"/>
      <c r="K1223" s="312">
        <v>0.12861007312952574</v>
      </c>
      <c r="L1223" s="312">
        <v>0.11195076819420686</v>
      </c>
      <c r="M1223" s="312">
        <v>7.1407413434222411E-2</v>
      </c>
      <c r="N1223" s="312">
        <v>5.7074993989077359E-2</v>
      </c>
      <c r="O1223" s="312">
        <v>9.6655131682962581E-2</v>
      </c>
      <c r="P1223" s="312">
        <v>9.5220593156923675E-2</v>
      </c>
      <c r="Q1223" s="312">
        <v>8.5540437093991673E-2</v>
      </c>
      <c r="R1223" s="312">
        <v>9.4279199170345274E-2</v>
      </c>
      <c r="S1223" s="312">
        <v>7.0163274515709403E-2</v>
      </c>
      <c r="T1223" s="759">
        <v>7.1206875963412922E-2</v>
      </c>
      <c r="U1223" s="759">
        <v>6.4604821374362492E-2</v>
      </c>
      <c r="V1223" s="759">
        <v>5.7745610043234127E-2</v>
      </c>
      <c r="W1223" s="759">
        <v>5.0675052564176197E-2</v>
      </c>
      <c r="X1223" s="759">
        <v>2.7368733312151877E-2</v>
      </c>
      <c r="Y1223" s="313">
        <v>2.7368733312151877E-2</v>
      </c>
      <c r="Z1223" s="708">
        <v>2.8000000000000001E-2</v>
      </c>
      <c r="AA1223" s="708">
        <v>0.03</v>
      </c>
      <c r="AB1223" s="754">
        <v>2.8000000000000001E-2</v>
      </c>
      <c r="AC1223" s="813">
        <v>2.8000000000000001E-2</v>
      </c>
      <c r="AD1223" s="813">
        <v>2.8000000000000001E-2</v>
      </c>
      <c r="AE1223" s="813">
        <v>2.8000000000000001E-2</v>
      </c>
      <c r="AF1223" s="813">
        <v>2.8000000000000001E-2</v>
      </c>
      <c r="AG1223" s="813">
        <v>2.8000000000000001E-2</v>
      </c>
      <c r="AH1223" s="813">
        <v>2.8000000000000001E-2</v>
      </c>
      <c r="AI1223" s="813">
        <v>2.8000000000000001E-2</v>
      </c>
      <c r="AJ1223" s="813">
        <v>2.8000000000000001E-2</v>
      </c>
      <c r="AK1223" s="813">
        <v>2.8000000000000001E-2</v>
      </c>
      <c r="AL1223" s="813">
        <v>2.8000000000000001E-2</v>
      </c>
      <c r="AM1223" s="813">
        <v>2.8000000000000001E-2</v>
      </c>
      <c r="AN1223" s="813">
        <v>2.8000000000000001E-2</v>
      </c>
      <c r="AO1223" s="814">
        <v>2.8000000000000001E-2</v>
      </c>
      <c r="AP1223" s="814">
        <v>2.8000000000000001E-2</v>
      </c>
      <c r="AQ1223" s="814">
        <v>2.8000000000000001E-2</v>
      </c>
      <c r="AR1223" s="814">
        <v>2.8000000000000001E-2</v>
      </c>
      <c r="AS1223" s="814">
        <v>2.8000000000000001E-2</v>
      </c>
      <c r="AT1223" s="312"/>
      <c r="AU1223" s="514"/>
    </row>
    <row r="1224" spans="1:47" hidden="1" outlineLevel="1">
      <c r="A1224" s="298"/>
      <c r="B1224" s="3" t="s">
        <v>28</v>
      </c>
      <c r="C1224" s="18" t="s">
        <v>732</v>
      </c>
      <c r="D1224" s="2"/>
      <c r="E1224" s="2"/>
      <c r="F1224" s="2"/>
      <c r="G1224" s="2"/>
      <c r="H1224" s="2"/>
      <c r="I1224" s="2"/>
      <c r="J1224" s="2"/>
      <c r="K1224" s="3">
        <v>144.85934374615098</v>
      </c>
      <c r="L1224" s="3">
        <v>157.12453509924762</v>
      </c>
      <c r="M1224" s="3">
        <v>166.33343950346455</v>
      </c>
      <c r="N1224" s="3">
        <v>169.32951067961272</v>
      </c>
      <c r="O1224" s="3">
        <v>182.88548614776346</v>
      </c>
      <c r="P1224" s="3">
        <v>211.4953630885401</v>
      </c>
      <c r="Q1224" s="3">
        <v>228.66681896422665</v>
      </c>
      <c r="R1224" s="3">
        <v>229.26360484675934</v>
      </c>
      <c r="S1224" s="3">
        <v>257.91100823700981</v>
      </c>
      <c r="T1224" s="3">
        <v>249.78562572079974</v>
      </c>
      <c r="U1224" s="3">
        <v>274.07095054497358</v>
      </c>
      <c r="V1224" s="3">
        <v>356.15663186296081</v>
      </c>
      <c r="W1224" s="3">
        <v>306.87265518021172</v>
      </c>
      <c r="X1224" s="3">
        <v>278.9915540789284</v>
      </c>
      <c r="Y1224" s="3">
        <v>130.44480732375132</v>
      </c>
      <c r="Z1224" s="3">
        <v>75.563681999999972</v>
      </c>
      <c r="AA1224" s="3">
        <v>132.4</v>
      </c>
      <c r="AB1224" s="3">
        <v>96.917379999999994</v>
      </c>
      <c r="AC1224" s="3">
        <v>91.45531336004629</v>
      </c>
      <c r="AD1224" s="3">
        <v>86.151757462721804</v>
      </c>
      <c r="AE1224" s="3">
        <v>80.972023649987094</v>
      </c>
      <c r="AF1224" s="3">
        <v>75.964528060297653</v>
      </c>
      <c r="AG1224" s="3">
        <v>71.163847302544653</v>
      </c>
      <c r="AH1224" s="3">
        <v>66.593432282243384</v>
      </c>
      <c r="AI1224" s="3">
        <v>62.267850689164973</v>
      </c>
      <c r="AJ1224" s="3">
        <v>58.194635539232763</v>
      </c>
      <c r="AK1224" s="3">
        <v>54.37580482025065</v>
      </c>
      <c r="AL1224" s="3">
        <v>50.80910688423036</v>
      </c>
      <c r="AM1224" s="3">
        <v>47.489037457930024</v>
      </c>
      <c r="AN1224" s="3">
        <v>44.407666753329977</v>
      </c>
      <c r="AO1224" s="3">
        <v>41.55530893607601</v>
      </c>
      <c r="AP1224" s="3">
        <v>38.921060970586524</v>
      </c>
      <c r="AQ1224" s="3">
        <v>38.921060970586524</v>
      </c>
      <c r="AR1224" s="3">
        <v>38.921060970586524</v>
      </c>
      <c r="AS1224" s="3">
        <v>38.921060970586524</v>
      </c>
      <c r="AT1224" s="2"/>
      <c r="AU1224" s="2"/>
    </row>
    <row r="1225" spans="1:47" hidden="1" outlineLevel="1">
      <c r="A1225" s="308"/>
      <c r="B1225" s="312" t="s">
        <v>132</v>
      </c>
      <c r="C1225" s="310"/>
      <c r="D1225" s="312"/>
      <c r="E1225" s="312"/>
      <c r="F1225" s="312"/>
      <c r="G1225" s="312"/>
      <c r="H1225" s="312"/>
      <c r="I1225" s="312"/>
      <c r="J1225" s="312"/>
      <c r="K1225" s="312">
        <v>0.38812331830838614</v>
      </c>
      <c r="L1225" s="312">
        <v>0.35356702678845919</v>
      </c>
      <c r="M1225" s="312">
        <v>0.32039051866442564</v>
      </c>
      <c r="N1225" s="312">
        <v>0.26360974380589247</v>
      </c>
      <c r="O1225" s="312">
        <v>0.23813201389778768</v>
      </c>
      <c r="P1225" s="312">
        <v>0.20196980252480431</v>
      </c>
      <c r="Q1225" s="312">
        <v>0.18393717816995855</v>
      </c>
      <c r="R1225" s="312">
        <v>0.16005801730786981</v>
      </c>
      <c r="S1225" s="312">
        <v>0.15146167279040584</v>
      </c>
      <c r="T1225" s="759">
        <v>0.13605344063431377</v>
      </c>
      <c r="U1225" s="759">
        <v>0.13680096232743941</v>
      </c>
      <c r="V1225" s="759">
        <v>0.13886809230638564</v>
      </c>
      <c r="W1225" s="759">
        <v>0.13050324353421358</v>
      </c>
      <c r="X1225" s="759">
        <v>9.6880033992091094E-2</v>
      </c>
      <c r="Y1225" s="313">
        <v>4.1984167146363473E-2</v>
      </c>
      <c r="Z1225" s="313">
        <v>2.387478104265402E-2</v>
      </c>
      <c r="AA1225" s="708">
        <v>0.04</v>
      </c>
      <c r="AB1225" s="754">
        <v>3.023E-2</v>
      </c>
      <c r="AC1225" s="813">
        <v>2.9729999999999999E-2</v>
      </c>
      <c r="AD1225" s="813">
        <v>2.9229999999999999E-2</v>
      </c>
      <c r="AE1225" s="813">
        <v>2.8729999999999999E-2</v>
      </c>
      <c r="AF1225" s="813">
        <v>2.8229999999999998E-2</v>
      </c>
      <c r="AG1225" s="813">
        <v>2.7729999999999998E-2</v>
      </c>
      <c r="AH1225" s="813">
        <v>2.7229999999999997E-2</v>
      </c>
      <c r="AI1225" s="813">
        <v>2.6729999999999997E-2</v>
      </c>
      <c r="AJ1225" s="813">
        <v>2.6229999999999996E-2</v>
      </c>
      <c r="AK1225" s="813">
        <v>2.5729999999999996E-2</v>
      </c>
      <c r="AL1225" s="813">
        <v>2.5229999999999995E-2</v>
      </c>
      <c r="AM1225" s="813">
        <v>2.4729999999999995E-2</v>
      </c>
      <c r="AN1225" s="813">
        <v>2.4229999999999995E-2</v>
      </c>
      <c r="AO1225" s="814">
        <v>2.3729999999999994E-2</v>
      </c>
      <c r="AP1225" s="814">
        <v>2.3229999999999994E-2</v>
      </c>
      <c r="AQ1225" s="814">
        <v>2.3229999999999994E-2</v>
      </c>
      <c r="AR1225" s="814">
        <v>2.3229999999999994E-2</v>
      </c>
      <c r="AS1225" s="814">
        <v>2.3229999999999994E-2</v>
      </c>
      <c r="AT1225" s="312"/>
      <c r="AU1225" s="514"/>
    </row>
    <row r="1226" spans="1:47" hidden="1" outlineLevel="1">
      <c r="A1226" s="298"/>
      <c r="B1226" s="4" t="s">
        <v>416</v>
      </c>
      <c r="C1226" s="21" t="s">
        <v>732</v>
      </c>
      <c r="D1226" s="2"/>
      <c r="E1226" s="2"/>
      <c r="F1226" s="2"/>
      <c r="G1226" s="2"/>
      <c r="H1226" s="2"/>
      <c r="I1226" s="2"/>
      <c r="J1226" s="2"/>
      <c r="K1226" s="768">
        <v>427.68185821672716</v>
      </c>
      <c r="L1226" s="768">
        <v>492.39616550112373</v>
      </c>
      <c r="M1226" s="768">
        <v>568.99171491962932</v>
      </c>
      <c r="N1226" s="768">
        <v>686.96577478498477</v>
      </c>
      <c r="O1226" s="768">
        <v>827.35970922267688</v>
      </c>
      <c r="P1226" s="768">
        <v>1020.2477980334074</v>
      </c>
      <c r="Q1226" s="768">
        <v>1100.8733670676904</v>
      </c>
      <c r="R1226" s="768">
        <v>1195.4134977180895</v>
      </c>
      <c r="S1226" s="768">
        <v>1356.6491817032961</v>
      </c>
      <c r="T1226" s="4">
        <v>1437.5540037126032</v>
      </c>
      <c r="U1226" s="4">
        <v>1531.9744273851588</v>
      </c>
      <c r="V1226" s="768">
        <v>1650.5330000000001</v>
      </c>
      <c r="W1226" s="768">
        <v>1697.3819999999998</v>
      </c>
      <c r="X1226" s="768">
        <v>2195.538</v>
      </c>
      <c r="Y1226" s="4">
        <v>2126</v>
      </c>
      <c r="Z1226" s="4">
        <v>2265</v>
      </c>
      <c r="AA1226" s="4">
        <v>2476.8172629999999</v>
      </c>
      <c r="AB1226" s="4">
        <v>2448.866278</v>
      </c>
      <c r="AC1226" s="4">
        <v>2370.027396583454</v>
      </c>
      <c r="AD1226" s="4">
        <v>2354.5378574999504</v>
      </c>
      <c r="AE1226" s="4">
        <v>2253.4351191637238</v>
      </c>
      <c r="AF1226" s="4">
        <v>2150.81756742671</v>
      </c>
      <c r="AG1226" s="4">
        <v>2047.9427413919777</v>
      </c>
      <c r="AH1226" s="4">
        <v>1945.8273288972721</v>
      </c>
      <c r="AI1226" s="4">
        <v>1845.2841624572179</v>
      </c>
      <c r="AJ1226" s="4">
        <v>1746.9539898535954</v>
      </c>
      <c r="AK1226" s="4">
        <v>1651.3327269514962</v>
      </c>
      <c r="AL1226" s="4">
        <v>1558.7948070153107</v>
      </c>
      <c r="AM1226" s="4">
        <v>1469.613159534746</v>
      </c>
      <c r="AN1226" s="4">
        <v>1383.9762808281387</v>
      </c>
      <c r="AO1226" s="4">
        <v>1302.0027971353786</v>
      </c>
      <c r="AP1226" s="4">
        <v>1223.7538673775632</v>
      </c>
      <c r="AQ1226" s="4">
        <v>1223.7538673775632</v>
      </c>
      <c r="AR1226" s="4">
        <v>1223.7538673775632</v>
      </c>
      <c r="AS1226" s="4">
        <v>1223.7538673775632</v>
      </c>
      <c r="AT1226" s="2"/>
      <c r="AU1226" s="3"/>
    </row>
    <row r="1227" spans="1:47" hidden="1" outlineLevel="1">
      <c r="A1227" s="308"/>
      <c r="B1227" s="819" t="s">
        <v>614</v>
      </c>
      <c r="C1227" s="811" t="s">
        <v>733</v>
      </c>
      <c r="D1227" s="312"/>
      <c r="E1227" s="312"/>
      <c r="F1227" s="312"/>
      <c r="G1227" s="312"/>
      <c r="H1227" s="312"/>
      <c r="I1227" s="312"/>
      <c r="J1227" s="312"/>
      <c r="K1227" s="312"/>
      <c r="L1227" s="759">
        <v>0.15131412764205376</v>
      </c>
      <c r="M1227" s="759">
        <v>0.15555675446934569</v>
      </c>
      <c r="N1227" s="759">
        <v>0.20733880085058787</v>
      </c>
      <c r="O1227" s="759">
        <v>0.20436816445715134</v>
      </c>
      <c r="P1227" s="759">
        <v>0.23313691331664343</v>
      </c>
      <c r="Q1227" s="759">
        <v>7.9025477133784383E-2</v>
      </c>
      <c r="R1227" s="759">
        <v>8.5877389242523083E-2</v>
      </c>
      <c r="S1227" s="759">
        <v>0.13487858744525427</v>
      </c>
      <c r="T1227" s="312">
        <v>5.9635772534598619E-2</v>
      </c>
      <c r="U1227" s="312">
        <v>6.5681305487450992E-2</v>
      </c>
      <c r="V1227" s="312">
        <v>7.7389394036558645E-2</v>
      </c>
      <c r="W1227" s="312">
        <v>2.8384164388109534E-2</v>
      </c>
      <c r="X1227" s="312">
        <v>0.29348490793469018</v>
      </c>
      <c r="Y1227" s="312">
        <v>-3.1672419243028327E-2</v>
      </c>
      <c r="Z1227" s="312">
        <v>6.5380997177798772E-2</v>
      </c>
      <c r="AA1227" s="312">
        <v>9.3517555408388464E-2</v>
      </c>
      <c r="AB1227" s="312">
        <v>-1.1285041257401818E-2</v>
      </c>
      <c r="AC1227" s="312">
        <v>-3.2194032857087662E-2</v>
      </c>
      <c r="AD1227" s="312">
        <v>-6.5355949495912169E-3</v>
      </c>
      <c r="AE1227" s="312">
        <v>-4.2939525484452234E-2</v>
      </c>
      <c r="AF1227" s="312">
        <v>-4.553827659129428E-2</v>
      </c>
      <c r="AG1227" s="312">
        <v>-4.7830568055948208E-2</v>
      </c>
      <c r="AH1227" s="312">
        <v>-4.9862435326340382E-2</v>
      </c>
      <c r="AI1227" s="312">
        <v>-5.1671165753969239E-2</v>
      </c>
      <c r="AJ1227" s="312">
        <v>-5.3287279327582815E-2</v>
      </c>
      <c r="AK1227" s="312">
        <v>-5.473599388276551E-2</v>
      </c>
      <c r="AL1227" s="312">
        <v>-5.6038324939528428E-2</v>
      </c>
      <c r="AM1227" s="312">
        <v>-5.7211922364127199E-2</v>
      </c>
      <c r="AN1227" s="312">
        <v>-5.8271714669266061E-2</v>
      </c>
      <c r="AO1227" s="312">
        <v>-5.9230410830241276E-2</v>
      </c>
      <c r="AP1227" s="312">
        <v>-6.0098895278855036E-2</v>
      </c>
      <c r="AQ1227" s="312">
        <v>-6.0098895278855036E-2</v>
      </c>
      <c r="AR1227" s="312">
        <v>-6.0098895278855036E-2</v>
      </c>
      <c r="AS1227" s="312">
        <v>-6.0098895278855036E-2</v>
      </c>
      <c r="AT1227" s="312"/>
      <c r="AU1227" s="514"/>
    </row>
    <row r="1228" spans="1:47" hidden="1" outlineLevel="1">
      <c r="A1228" s="302"/>
      <c r="B1228" s="153" t="s">
        <v>974</v>
      </c>
      <c r="C1228" s="820"/>
      <c r="D1228" s="153"/>
      <c r="E1228" s="153"/>
      <c r="F1228" s="153"/>
      <c r="G1228" s="153"/>
      <c r="H1228" s="153"/>
      <c r="I1228" s="153"/>
      <c r="J1228" s="153"/>
      <c r="K1228" s="153"/>
      <c r="L1228" s="153"/>
      <c r="M1228" s="153"/>
      <c r="N1228" s="153"/>
      <c r="O1228" s="153"/>
      <c r="P1228" s="153"/>
      <c r="Q1228" s="153"/>
      <c r="R1228" s="153"/>
      <c r="S1228" s="153"/>
      <c r="T1228" s="153"/>
      <c r="U1228" s="153"/>
      <c r="V1228" s="153"/>
      <c r="W1228" s="153"/>
      <c r="X1228" s="153"/>
      <c r="Y1228" s="153">
        <v>981</v>
      </c>
      <c r="Z1228" s="153">
        <v>900</v>
      </c>
      <c r="AA1228" s="153">
        <v>833.18273700000009</v>
      </c>
      <c r="AB1228" s="153">
        <v>757.13372200000003</v>
      </c>
      <c r="AC1228" s="518"/>
      <c r="AD1228" s="518"/>
      <c r="AE1228" s="518"/>
      <c r="AF1228" s="518"/>
      <c r="AG1228" s="518"/>
      <c r="AH1228" s="518"/>
      <c r="AI1228" s="518"/>
      <c r="AJ1228" s="518"/>
      <c r="AK1228" s="518"/>
      <c r="AL1228" s="518"/>
      <c r="AM1228" s="518"/>
      <c r="AN1228" s="518"/>
      <c r="AO1228" s="518"/>
      <c r="AP1228" s="518"/>
      <c r="AQ1228" s="518"/>
      <c r="AR1228" s="518"/>
      <c r="AS1228" s="518"/>
      <c r="AT1228" s="518"/>
      <c r="AU1228" s="518"/>
    </row>
    <row r="1229" spans="1:47" hidden="1" outlineLevel="1">
      <c r="A1229" s="298"/>
      <c r="B1229" s="229" t="s">
        <v>734</v>
      </c>
      <c r="C1229" s="328"/>
      <c r="D1229" s="46"/>
      <c r="E1229" s="46"/>
      <c r="F1229" s="46"/>
      <c r="G1229" s="46"/>
      <c r="H1229" s="46"/>
      <c r="I1229" s="46"/>
      <c r="J1229" s="46"/>
      <c r="K1229" s="567">
        <v>-38.610784124674581</v>
      </c>
      <c r="L1229" s="567">
        <v>-35.968663328245555</v>
      </c>
      <c r="M1229" s="567">
        <v>-41.822044729357003</v>
      </c>
      <c r="N1229" s="567">
        <v>-38.083552030056808</v>
      </c>
      <c r="O1229" s="567">
        <v>-55.463727879398107</v>
      </c>
      <c r="P1229" s="567">
        <v>48.070207118666758</v>
      </c>
      <c r="Q1229" s="567">
        <v>169.42740971482931</v>
      </c>
      <c r="R1229" s="567">
        <v>246.17185065661329</v>
      </c>
      <c r="S1229" s="567">
        <v>353.96440864105239</v>
      </c>
      <c r="T1229" s="229">
        <v>398.3835849013949</v>
      </c>
      <c r="U1229" s="229">
        <v>471.45410032484483</v>
      </c>
      <c r="V1229" s="229">
        <v>558.64699999999971</v>
      </c>
      <c r="W1229" s="229">
        <v>659.85200000000009</v>
      </c>
      <c r="X1229" s="229">
        <v>907.88400000000001</v>
      </c>
      <c r="Y1229" s="567">
        <v>981</v>
      </c>
      <c r="Z1229" s="567">
        <v>900</v>
      </c>
      <c r="AA1229" s="567">
        <v>833.10344827586209</v>
      </c>
      <c r="AB1229" s="567">
        <v>757.33333333333337</v>
      </c>
      <c r="AC1229" s="229">
        <v>706.16881465254619</v>
      </c>
      <c r="AD1229" s="229">
        <v>592.83667081759359</v>
      </c>
      <c r="AE1229" s="229">
        <v>564.94370610558008</v>
      </c>
      <c r="AF1229" s="229">
        <v>540.09734792212657</v>
      </c>
      <c r="AG1229" s="229">
        <v>518.36981910368263</v>
      </c>
      <c r="AH1229" s="229">
        <v>499.76328007237157</v>
      </c>
      <c r="AI1229" s="229">
        <v>484.22764783701996</v>
      </c>
      <c r="AJ1229" s="229">
        <v>471.67489078814197</v>
      </c>
      <c r="AK1229" s="229">
        <v>461.99042968475169</v>
      </c>
      <c r="AL1229" s="229">
        <v>455.04216818208806</v>
      </c>
      <c r="AM1229" s="229">
        <v>450.68758684333852</v>
      </c>
      <c r="AN1229" s="229">
        <v>448.77925996137787</v>
      </c>
      <c r="AO1229" s="229">
        <v>449.16909229049656</v>
      </c>
      <c r="AP1229" s="229">
        <v>451.71152093868886</v>
      </c>
      <c r="AQ1229" s="229">
        <v>451.71152093868886</v>
      </c>
      <c r="AR1229" s="229">
        <v>451.71152093868886</v>
      </c>
      <c r="AS1229" s="229">
        <v>451.71152093868886</v>
      </c>
      <c r="AT1229" s="2"/>
      <c r="AU1229" s="3"/>
    </row>
    <row r="1230" spans="1:47" hidden="1" outlineLevel="1">
      <c r="A1230" s="308"/>
      <c r="B1230" s="819" t="s">
        <v>614</v>
      </c>
      <c r="C1230" s="811" t="s">
        <v>733</v>
      </c>
      <c r="D1230" s="312"/>
      <c r="E1230" s="312"/>
      <c r="F1230" s="312"/>
      <c r="G1230" s="312"/>
      <c r="H1230" s="312"/>
      <c r="I1230" s="312"/>
      <c r="J1230" s="312"/>
      <c r="K1230" s="821" t="s">
        <v>641</v>
      </c>
      <c r="L1230" s="821" t="s">
        <v>641</v>
      </c>
      <c r="M1230" s="821" t="s">
        <v>641</v>
      </c>
      <c r="N1230" s="821" t="s">
        <v>641</v>
      </c>
      <c r="O1230" s="759">
        <v>0.45636961162720024</v>
      </c>
      <c r="P1230" s="759">
        <v>-1.8666962888465046</v>
      </c>
      <c r="Q1230" s="759">
        <v>2.5245824778033206</v>
      </c>
      <c r="R1230" s="759">
        <v>0.4529635498232305</v>
      </c>
      <c r="S1230" s="759">
        <v>0.43787523917509019</v>
      </c>
      <c r="T1230" s="313">
        <v>0.12549051592751237</v>
      </c>
      <c r="U1230" s="313">
        <v>0.18341748554106685</v>
      </c>
      <c r="V1230" s="313">
        <v>0.18494462051571214</v>
      </c>
      <c r="W1230" s="313">
        <v>0.18116091198914597</v>
      </c>
      <c r="X1230" s="313">
        <v>0.37589035116965608</v>
      </c>
      <c r="Y1230" s="313">
        <v>8.0534517625599822E-2</v>
      </c>
      <c r="Z1230" s="313">
        <v>-8.256880733944949E-2</v>
      </c>
      <c r="AA1230" s="313">
        <v>-7.4329501915708751E-2</v>
      </c>
      <c r="AB1230" s="313">
        <v>-9.0949227373068431E-2</v>
      </c>
      <c r="AC1230" s="313">
        <v>-6.7558783469349293E-2</v>
      </c>
      <c r="AD1230" s="313">
        <v>-0.16048874077045594</v>
      </c>
      <c r="AE1230" s="313">
        <v>-4.7049998903653689E-2</v>
      </c>
      <c r="AF1230" s="313">
        <v>-4.3980237172179582E-2</v>
      </c>
      <c r="AG1230" s="313">
        <v>-4.0228912254493654E-2</v>
      </c>
      <c r="AH1230" s="313">
        <v>-3.5894333245488297E-2</v>
      </c>
      <c r="AI1230" s="313">
        <v>-3.1085981813433472E-2</v>
      </c>
      <c r="AJ1230" s="313">
        <v>-2.592325552857111E-2</v>
      </c>
      <c r="AK1230" s="313">
        <v>-2.0532068364309319E-2</v>
      </c>
      <c r="AL1230" s="313">
        <v>-1.5039838611819123E-2</v>
      </c>
      <c r="AM1230" s="313">
        <v>-9.569621549902263E-3</v>
      </c>
      <c r="AN1230" s="313">
        <v>-4.2342565840935986E-3</v>
      </c>
      <c r="AO1230" s="313">
        <v>8.6865050125584098E-4</v>
      </c>
      <c r="AP1230" s="313">
        <v>5.6602929538793756E-3</v>
      </c>
      <c r="AQ1230" s="313">
        <v>5.6602929538793756E-3</v>
      </c>
      <c r="AR1230" s="313">
        <v>5.6602929538793756E-3</v>
      </c>
      <c r="AS1230" s="313">
        <v>5.6602929538793756E-3</v>
      </c>
      <c r="AT1230" s="312"/>
      <c r="AU1230" s="514"/>
    </row>
    <row r="1231" spans="1:47" hidden="1" outlineLevel="1">
      <c r="A1231" s="308"/>
      <c r="B1231" s="312" t="s">
        <v>642</v>
      </c>
      <c r="C1231" s="750" t="s">
        <v>733</v>
      </c>
      <c r="D1231" s="312"/>
      <c r="E1231" s="312"/>
      <c r="F1231" s="312"/>
      <c r="G1231" s="312"/>
      <c r="H1231" s="312"/>
      <c r="I1231" s="312"/>
      <c r="J1231" s="312"/>
      <c r="K1231" s="821" t="s">
        <v>641</v>
      </c>
      <c r="L1231" s="821" t="s">
        <v>641</v>
      </c>
      <c r="M1231" s="821" t="s">
        <v>641</v>
      </c>
      <c r="N1231" s="821" t="s">
        <v>641</v>
      </c>
      <c r="O1231" s="759">
        <v>-7.1853888632608637E-2</v>
      </c>
      <c r="P1231" s="759">
        <v>4.4996159277334281E-2</v>
      </c>
      <c r="Q1231" s="759">
        <v>0.13337582154673902</v>
      </c>
      <c r="R1231" s="759">
        <v>0.17076467302761966</v>
      </c>
      <c r="S1231" s="759">
        <v>0.20692248128918403</v>
      </c>
      <c r="T1231" s="313">
        <v>0.21699189960054474</v>
      </c>
      <c r="U1231" s="313">
        <v>0.23532364334640632</v>
      </c>
      <c r="V1231" s="313">
        <v>0.25287527498890983</v>
      </c>
      <c r="W1231" s="313">
        <v>0.27992638830086453</v>
      </c>
      <c r="X1231" s="313">
        <v>0.2925428768630241</v>
      </c>
      <c r="Y1231" s="313">
        <v>0.31573865465078854</v>
      </c>
      <c r="Z1231" s="313">
        <v>0.28436018957345971</v>
      </c>
      <c r="AA1231" s="313">
        <v>0.25169288467548706</v>
      </c>
      <c r="AB1231" s="313">
        <v>0.23622374714077771</v>
      </c>
      <c r="AC1231" s="313">
        <v>0.22955909381632425</v>
      </c>
      <c r="AD1231" s="313">
        <v>0.20114059652812558</v>
      </c>
      <c r="AE1231" s="313">
        <v>0.20044988311732656</v>
      </c>
      <c r="AF1231" s="313">
        <v>0.200711417830954</v>
      </c>
      <c r="AG1231" s="313">
        <v>0.20199013443770236</v>
      </c>
      <c r="AH1231" s="313">
        <v>0.20435279651442878</v>
      </c>
      <c r="AI1231" s="313">
        <v>0.20786657775126616</v>
      </c>
      <c r="AJ1231" s="313">
        <v>0.2125974717554881</v>
      </c>
      <c r="AK1231" s="313">
        <v>0.21860851154448926</v>
      </c>
      <c r="AL1231" s="313">
        <v>0.2259577978686603</v>
      </c>
      <c r="AM1231" s="313">
        <v>0.23469635560647928</v>
      </c>
      <c r="AN1231" s="313">
        <v>0.24486585907035491</v>
      </c>
      <c r="AO1231" s="313">
        <v>0.25649628971474492</v>
      </c>
      <c r="AP1231" s="313">
        <v>0.26960361227911334</v>
      </c>
      <c r="AQ1231" s="313">
        <v>0.26960361227911334</v>
      </c>
      <c r="AR1231" s="313">
        <v>0.26960361227911334</v>
      </c>
      <c r="AS1231" s="313">
        <v>0.26960361227911334</v>
      </c>
      <c r="AT1231" s="312"/>
      <c r="AU1231" s="514"/>
    </row>
    <row r="1232" spans="1:47" hidden="1" outlineLevel="1">
      <c r="A1232" s="298"/>
      <c r="B1232" s="822"/>
      <c r="C1232" s="112"/>
      <c r="D1232" s="2"/>
      <c r="E1232" s="2"/>
      <c r="F1232" s="2"/>
      <c r="G1232" s="2"/>
      <c r="H1232" s="2"/>
      <c r="I1232" s="2"/>
      <c r="J1232" s="2"/>
      <c r="K1232" s="65"/>
      <c r="L1232" s="65"/>
      <c r="M1232" s="65"/>
      <c r="N1232" s="66"/>
      <c r="O1232" s="66"/>
      <c r="P1232" s="66"/>
      <c r="Q1232" s="66"/>
      <c r="R1232" s="66"/>
      <c r="S1232" s="66"/>
      <c r="T1232" s="66"/>
      <c r="U1232" s="3"/>
      <c r="V1232" s="3"/>
      <c r="W1232" s="3"/>
      <c r="X1232" s="3"/>
      <c r="Y1232" s="3"/>
      <c r="Z1232" s="3"/>
      <c r="AA1232" s="3"/>
      <c r="AB1232" s="3"/>
      <c r="AC1232" s="3"/>
      <c r="AD1232" s="3"/>
      <c r="AE1232" s="3"/>
      <c r="AF1232" s="3"/>
      <c r="AG1232" s="3"/>
      <c r="AH1232" s="3"/>
      <c r="AI1232" s="3"/>
      <c r="AJ1232" s="3"/>
      <c r="AK1232" s="3"/>
      <c r="AL1232" s="3"/>
      <c r="AM1232" s="3"/>
      <c r="AN1232" s="3"/>
      <c r="AO1232" s="3"/>
      <c r="AP1232" s="3"/>
      <c r="AQ1232" s="3"/>
      <c r="AR1232" s="3"/>
      <c r="AS1232" s="3"/>
      <c r="AT1232" s="2"/>
      <c r="AU1232" s="2"/>
    </row>
    <row r="1233" spans="1:47" hidden="1" outlineLevel="1">
      <c r="A1233" s="298"/>
      <c r="B1233" s="3" t="s">
        <v>27</v>
      </c>
      <c r="C1233" s="18" t="s">
        <v>732</v>
      </c>
      <c r="D1233" s="2"/>
      <c r="E1233" s="2"/>
      <c r="F1233" s="2"/>
      <c r="G1233" s="2"/>
      <c r="H1233" s="2"/>
      <c r="I1233" s="2"/>
      <c r="J1233" s="2"/>
      <c r="K1233" s="566">
        <v>25</v>
      </c>
      <c r="L1233" s="566">
        <v>25</v>
      </c>
      <c r="M1233" s="566">
        <v>46.145000000000003</v>
      </c>
      <c r="N1233" s="566">
        <v>56</v>
      </c>
      <c r="O1233" s="566">
        <v>77.400000000000006</v>
      </c>
      <c r="P1233" s="566">
        <v>146.1</v>
      </c>
      <c r="Q1233" s="566">
        <v>120</v>
      </c>
      <c r="R1233" s="566">
        <v>126.88</v>
      </c>
      <c r="S1233" s="566">
        <v>152.256</v>
      </c>
      <c r="T1233" s="3">
        <v>229.92</v>
      </c>
      <c r="U1233" s="3">
        <v>271.00857599999995</v>
      </c>
      <c r="V1233" s="566">
        <v>312.96499999999997</v>
      </c>
      <c r="W1233" s="566">
        <v>352.50799999999998</v>
      </c>
      <c r="X1233" s="566">
        <v>429.43900000000002</v>
      </c>
      <c r="Y1233" s="3">
        <v>394</v>
      </c>
      <c r="Z1233" s="3">
        <v>387</v>
      </c>
      <c r="AA1233" s="3">
        <v>275.10344827586209</v>
      </c>
      <c r="AB1233" s="3">
        <v>256.66219239373606</v>
      </c>
      <c r="AC1233" s="3">
        <v>230.8895316728082</v>
      </c>
      <c r="AD1233" s="3">
        <v>206.48371206037868</v>
      </c>
      <c r="AE1233" s="3">
        <v>183.3547880793827</v>
      </c>
      <c r="AF1233" s="3">
        <v>161.60781576614772</v>
      </c>
      <c r="AG1233" s="3">
        <v>141.29303069889937</v>
      </c>
      <c r="AH1233" s="3">
        <v>122.41850986431081</v>
      </c>
      <c r="AI1233" s="3">
        <v>104.96041428699426</v>
      </c>
      <c r="AJ1233" s="3">
        <v>88.87123673115174</v>
      </c>
      <c r="AK1233" s="3">
        <v>74.086407614098192</v>
      </c>
      <c r="AL1233" s="3">
        <v>60.529552730377802</v>
      </c>
      <c r="AM1233" s="3">
        <v>48.116646603830084</v>
      </c>
      <c r="AN1233" s="3">
        <v>36.759263691370329</v>
      </c>
      <c r="AO1233" s="3">
        <v>26.367094934768602</v>
      </c>
      <c r="AP1233" s="3">
        <v>16.849868184384995</v>
      </c>
      <c r="AQ1233" s="3">
        <v>16.849868184384995</v>
      </c>
      <c r="AR1233" s="3">
        <v>16.849868184384995</v>
      </c>
      <c r="AS1233" s="3">
        <v>16.849868184384995</v>
      </c>
      <c r="AT1233" s="2"/>
      <c r="AU1233" s="2"/>
    </row>
    <row r="1234" spans="1:47" hidden="1" outlineLevel="1">
      <c r="A1234" s="308"/>
      <c r="B1234" s="312" t="s">
        <v>132</v>
      </c>
      <c r="C1234" s="308"/>
      <c r="D1234" s="312"/>
      <c r="E1234" s="312"/>
      <c r="F1234" s="312"/>
      <c r="G1234" s="312"/>
      <c r="H1234" s="312"/>
      <c r="I1234" s="312"/>
      <c r="J1234" s="312"/>
      <c r="K1234" s="312"/>
      <c r="L1234" s="312"/>
      <c r="M1234" s="312"/>
      <c r="N1234" s="312"/>
      <c r="O1234" s="312"/>
      <c r="P1234" s="312"/>
      <c r="Q1234" s="312"/>
      <c r="R1234" s="312"/>
      <c r="S1234" s="312"/>
      <c r="T1234" s="759">
        <v>0.12523301523205546</v>
      </c>
      <c r="U1234" s="759">
        <v>0.1352723954219486</v>
      </c>
      <c r="V1234" s="759">
        <v>0.14140833189796612</v>
      </c>
      <c r="W1234" s="759">
        <v>0.13462399013153653</v>
      </c>
      <c r="X1234" s="759">
        <v>0.13848895178505344</v>
      </c>
      <c r="Y1234" s="313">
        <v>0.1268104280656582</v>
      </c>
      <c r="Z1234" s="313">
        <v>0.12227488151658768</v>
      </c>
      <c r="AA1234" s="313">
        <v>8.3112824252526307E-2</v>
      </c>
      <c r="AB1234" s="313">
        <v>8.0056828569474756E-2</v>
      </c>
      <c r="AC1234" s="823">
        <v>7.5056828569474751E-2</v>
      </c>
      <c r="AD1234" s="824">
        <v>7.0056828569474747E-2</v>
      </c>
      <c r="AE1234" s="824">
        <v>6.5056828569474742E-2</v>
      </c>
      <c r="AF1234" s="824">
        <v>6.0056828569474745E-2</v>
      </c>
      <c r="AG1234" s="824">
        <v>5.5056828569474747E-2</v>
      </c>
      <c r="AH1234" s="824">
        <v>5.005682856947475E-2</v>
      </c>
      <c r="AI1234" s="824">
        <v>4.5056828569474752E-2</v>
      </c>
      <c r="AJ1234" s="824">
        <v>4.0056828569474755E-2</v>
      </c>
      <c r="AK1234" s="824">
        <v>3.5056828569474757E-2</v>
      </c>
      <c r="AL1234" s="824">
        <v>3.0056828569474756E-2</v>
      </c>
      <c r="AM1234" s="824">
        <v>2.5056828569474755E-2</v>
      </c>
      <c r="AN1234" s="824">
        <v>2.0056828569474754E-2</v>
      </c>
      <c r="AO1234" s="825">
        <v>1.5056828569474753E-2</v>
      </c>
      <c r="AP1234" s="825">
        <v>1.0056828569474752E-2</v>
      </c>
      <c r="AQ1234" s="825">
        <v>1.0056828569474752E-2</v>
      </c>
      <c r="AR1234" s="825">
        <v>1.0056828569474752E-2</v>
      </c>
      <c r="AS1234" s="825">
        <v>1.0056828569474752E-2</v>
      </c>
      <c r="AT1234" s="312"/>
      <c r="AU1234" s="514"/>
    </row>
    <row r="1235" spans="1:47" hidden="1" outlineLevel="1">
      <c r="A1235" s="298"/>
      <c r="B1235" s="229" t="s">
        <v>239</v>
      </c>
      <c r="C1235" s="328"/>
      <c r="D1235" s="46"/>
      <c r="E1235" s="46"/>
      <c r="F1235" s="46"/>
      <c r="G1235" s="46"/>
      <c r="H1235" s="46"/>
      <c r="I1235" s="46"/>
      <c r="J1235" s="46"/>
      <c r="K1235" s="567">
        <v>-63.610784124674581</v>
      </c>
      <c r="L1235" s="567">
        <v>-60.968663328245555</v>
      </c>
      <c r="M1235" s="567">
        <v>-87.967044729357013</v>
      </c>
      <c r="N1235" s="567">
        <v>-94.083552030056808</v>
      </c>
      <c r="O1235" s="567">
        <v>-132.86372787939808</v>
      </c>
      <c r="P1235" s="567">
        <v>-98.029792881333236</v>
      </c>
      <c r="Q1235" s="567">
        <v>49.427409714829309</v>
      </c>
      <c r="R1235" s="567">
        <v>119.29185065661329</v>
      </c>
      <c r="S1235" s="567">
        <v>201.70840864105239</v>
      </c>
      <c r="T1235" s="229">
        <v>168.46358490139491</v>
      </c>
      <c r="U1235" s="229">
        <v>200.44552432484488</v>
      </c>
      <c r="V1235" s="229">
        <v>245.68199999999973</v>
      </c>
      <c r="W1235" s="229">
        <v>307.34400000000011</v>
      </c>
      <c r="X1235" s="229">
        <v>478.44499999999999</v>
      </c>
      <c r="Y1235" s="567">
        <v>587</v>
      </c>
      <c r="Z1235" s="567">
        <v>513</v>
      </c>
      <c r="AA1235" s="567">
        <v>558</v>
      </c>
      <c r="AB1235" s="567">
        <v>500.67114093959731</v>
      </c>
      <c r="AC1235" s="229">
        <v>475.27928297973801</v>
      </c>
      <c r="AD1235" s="229">
        <v>386.35295875721488</v>
      </c>
      <c r="AE1235" s="229">
        <v>381.58891802619735</v>
      </c>
      <c r="AF1235" s="229">
        <v>378.48953215597885</v>
      </c>
      <c r="AG1235" s="229">
        <v>377.07678840478326</v>
      </c>
      <c r="AH1235" s="229">
        <v>377.34477020806077</v>
      </c>
      <c r="AI1235" s="229">
        <v>379.26723355002571</v>
      </c>
      <c r="AJ1235" s="229">
        <v>382.80365405699024</v>
      </c>
      <c r="AK1235" s="229">
        <v>387.90402207065347</v>
      </c>
      <c r="AL1235" s="229">
        <v>394.51261545171025</v>
      </c>
      <c r="AM1235" s="229">
        <v>402.57094023950845</v>
      </c>
      <c r="AN1235" s="229">
        <v>412.01999627000754</v>
      </c>
      <c r="AO1235" s="229">
        <v>422.80199735572796</v>
      </c>
      <c r="AP1235" s="229">
        <v>434.86165275430386</v>
      </c>
      <c r="AQ1235" s="229">
        <v>434.86165275430386</v>
      </c>
      <c r="AR1235" s="229">
        <v>434.86165275430386</v>
      </c>
      <c r="AS1235" s="229">
        <v>434.86165275430386</v>
      </c>
      <c r="AT1235" s="2"/>
      <c r="AU1235" s="2"/>
    </row>
    <row r="1236" spans="1:47" hidden="1" outlineLevel="1">
      <c r="A1236" s="308"/>
      <c r="B1236" s="819" t="s">
        <v>614</v>
      </c>
      <c r="C1236" s="811" t="s">
        <v>733</v>
      </c>
      <c r="D1236" s="312"/>
      <c r="E1236" s="312"/>
      <c r="F1236" s="312"/>
      <c r="G1236" s="312"/>
      <c r="H1236" s="312"/>
      <c r="I1236" s="312"/>
      <c r="J1236" s="312"/>
      <c r="K1236" s="821" t="s">
        <v>641</v>
      </c>
      <c r="L1236" s="821" t="s">
        <v>641</v>
      </c>
      <c r="M1236" s="821" t="s">
        <v>641</v>
      </c>
      <c r="N1236" s="821" t="s">
        <v>641</v>
      </c>
      <c r="O1236" s="821" t="s">
        <v>641</v>
      </c>
      <c r="P1236" s="821" t="s">
        <v>641</v>
      </c>
      <c r="Q1236" s="759">
        <v>-1.5042080398421533</v>
      </c>
      <c r="R1236" s="759">
        <v>1.4134756675469302</v>
      </c>
      <c r="S1236" s="759">
        <v>0.69088171179168545</v>
      </c>
      <c r="T1236" s="313">
        <v>-0.1648162511599498</v>
      </c>
      <c r="U1236" s="313">
        <v>0.18984482279757753</v>
      </c>
      <c r="V1236" s="313">
        <v>0.22567964950838193</v>
      </c>
      <c r="W1236" s="313">
        <v>0.25098297799594782</v>
      </c>
      <c r="X1236" s="313">
        <v>0.55670844395856056</v>
      </c>
      <c r="Y1236" s="313">
        <v>0.22689128321959684</v>
      </c>
      <c r="Z1236" s="313">
        <v>-0.12606473594548551</v>
      </c>
      <c r="AA1236" s="313">
        <v>8.7719298245614086E-2</v>
      </c>
      <c r="AB1236" s="313">
        <v>-0.10273989078925216</v>
      </c>
      <c r="AC1236" s="313">
        <v>-5.0715641233499142E-2</v>
      </c>
      <c r="AD1236" s="313">
        <v>-0.1871033041141712</v>
      </c>
      <c r="AE1236" s="313">
        <v>-1.2330799138544402E-2</v>
      </c>
      <c r="AF1236" s="313">
        <v>-8.1223162513480718E-3</v>
      </c>
      <c r="AG1236" s="313">
        <v>-3.7325834168998595E-3</v>
      </c>
      <c r="AH1236" s="313">
        <v>7.1068231065396503E-4</v>
      </c>
      <c r="AI1236" s="313">
        <v>5.0947130946188413E-3</v>
      </c>
      <c r="AJ1236" s="313">
        <v>9.3243502051649774E-3</v>
      </c>
      <c r="AK1236" s="313">
        <v>1.3323718202814971E-2</v>
      </c>
      <c r="AL1236" s="313">
        <v>1.7036671457490327E-2</v>
      </c>
      <c r="AM1236" s="313">
        <v>2.0426025612822363E-2</v>
      </c>
      <c r="AN1236" s="313">
        <v>2.3471778725204118E-2</v>
      </c>
      <c r="AO1236" s="313">
        <v>2.6168635462669787E-2</v>
      </c>
      <c r="AP1236" s="313">
        <v>2.8523175089046227E-2</v>
      </c>
      <c r="AQ1236" s="313">
        <v>2.8523175089046227E-2</v>
      </c>
      <c r="AR1236" s="313">
        <v>2.8523175089046227E-2</v>
      </c>
      <c r="AS1236" s="313">
        <v>2.8523175089046227E-2</v>
      </c>
      <c r="AT1236" s="312"/>
      <c r="AU1236" s="514"/>
    </row>
    <row r="1237" spans="1:47" hidden="1" outlineLevel="1">
      <c r="A1237" s="298"/>
      <c r="B1237" s="2" t="s">
        <v>643</v>
      </c>
      <c r="C1237" s="826" t="s">
        <v>733</v>
      </c>
      <c r="D1237" s="2"/>
      <c r="E1237" s="2"/>
      <c r="F1237" s="2"/>
      <c r="G1237" s="2"/>
      <c r="H1237" s="2"/>
      <c r="I1237" s="2"/>
      <c r="J1237" s="2"/>
      <c r="K1237" s="530">
        <v>-0.16349399469780304</v>
      </c>
      <c r="L1237" s="530">
        <v>-0.13357797906128988</v>
      </c>
      <c r="M1237" s="530">
        <v>-0.16686666495363231</v>
      </c>
      <c r="N1237" s="530">
        <v>-0.14499326492658529</v>
      </c>
      <c r="O1237" s="530">
        <v>-0.17212646663632611</v>
      </c>
      <c r="P1237" s="530">
        <v>-9.1760873081399366E-2</v>
      </c>
      <c r="Q1237" s="530">
        <v>3.8910005109200584E-2</v>
      </c>
      <c r="R1237" s="530">
        <v>8.2750459964862563E-2</v>
      </c>
      <c r="S1237" s="530">
        <v>0.11791582259114886</v>
      </c>
      <c r="T1237" s="2">
        <v>9.1758884368489294E-2</v>
      </c>
      <c r="U1237" s="2">
        <v>0.10005124792445771</v>
      </c>
      <c r="V1237" s="2">
        <v>0.11120958907830043</v>
      </c>
      <c r="W1237" s="2">
        <v>0.13038332214790729</v>
      </c>
      <c r="X1237" s="2">
        <v>0.15416691639100322</v>
      </c>
      <c r="Y1237" s="2">
        <v>0.18892822658513034</v>
      </c>
      <c r="Z1237" s="2">
        <v>0.16208530805687205</v>
      </c>
      <c r="AA1237" s="2">
        <v>0.16858006042296073</v>
      </c>
      <c r="AB1237" s="2">
        <v>0.15616691857130297</v>
      </c>
      <c r="AC1237" s="2">
        <v>0.15450226524684951</v>
      </c>
      <c r="AD1237" s="2">
        <v>0.13108376795865084</v>
      </c>
      <c r="AE1237" s="2">
        <v>0.1353930545478518</v>
      </c>
      <c r="AF1237" s="2">
        <v>0.14065458926147928</v>
      </c>
      <c r="AG1237" s="2">
        <v>0.14693330586822761</v>
      </c>
      <c r="AH1237" s="2">
        <v>0.15429596794495404</v>
      </c>
      <c r="AI1237" s="2">
        <v>0.16280974918179139</v>
      </c>
      <c r="AJ1237" s="2">
        <v>0.17254064318601336</v>
      </c>
      <c r="AK1237" s="2">
        <v>0.18355168297501451</v>
      </c>
      <c r="AL1237" s="2">
        <v>0.19590096929918552</v>
      </c>
      <c r="AM1237" s="2">
        <v>0.20963952703700453</v>
      </c>
      <c r="AN1237" s="2">
        <v>0.22480903050088016</v>
      </c>
      <c r="AO1237" s="2">
        <v>0.24143946114527018</v>
      </c>
      <c r="AP1237" s="2">
        <v>0.25954678370963857</v>
      </c>
      <c r="AQ1237" s="2">
        <v>0.25954678370963857</v>
      </c>
      <c r="AR1237" s="2">
        <v>0.25954678370963857</v>
      </c>
      <c r="AS1237" s="2">
        <v>0.25954678370963857</v>
      </c>
      <c r="AT1237" s="2"/>
      <c r="AU1237" s="2"/>
    </row>
    <row r="1238" spans="1:47" hidden="1" outlineLevel="1">
      <c r="A1238" s="298"/>
      <c r="B1238" s="3" t="s">
        <v>644</v>
      </c>
      <c r="C1238" s="18" t="s">
        <v>732</v>
      </c>
      <c r="D1238" s="2"/>
      <c r="E1238" s="2"/>
      <c r="F1238" s="2"/>
      <c r="G1238" s="2"/>
      <c r="H1238" s="2"/>
      <c r="I1238" s="2"/>
      <c r="J1238" s="2"/>
      <c r="K1238" s="566">
        <v>0</v>
      </c>
      <c r="L1238" s="566">
        <v>0</v>
      </c>
      <c r="M1238" s="566">
        <v>26</v>
      </c>
      <c r="N1238" s="566">
        <v>26.4</v>
      </c>
      <c r="O1238" s="566">
        <v>27.06</v>
      </c>
      <c r="P1238" s="566">
        <v>27.736499999999992</v>
      </c>
      <c r="Q1238" s="566">
        <v>0</v>
      </c>
      <c r="R1238" s="566">
        <v>0</v>
      </c>
      <c r="S1238" s="566">
        <v>10</v>
      </c>
      <c r="T1238" s="566">
        <v>2</v>
      </c>
      <c r="U1238" s="566">
        <v>2.1</v>
      </c>
      <c r="V1238" s="566">
        <v>-0.89100000000000001</v>
      </c>
      <c r="W1238" s="566">
        <v>0.93100000000000005</v>
      </c>
      <c r="X1238" s="566">
        <v>5.2249999999999996</v>
      </c>
      <c r="Y1238" s="566">
        <v>6.4</v>
      </c>
      <c r="Z1238" s="566">
        <v>1.37</v>
      </c>
      <c r="AA1238" s="566">
        <v>-8.0429999999999993</v>
      </c>
      <c r="AB1238" s="827">
        <v>-14</v>
      </c>
      <c r="AC1238" s="828">
        <v>-14</v>
      </c>
      <c r="AD1238" s="828">
        <v>-14</v>
      </c>
      <c r="AE1238" s="828">
        <v>-14</v>
      </c>
      <c r="AF1238" s="828">
        <v>-14</v>
      </c>
      <c r="AG1238" s="828">
        <v>-14</v>
      </c>
      <c r="AH1238" s="828">
        <v>-14</v>
      </c>
      <c r="AI1238" s="828">
        <v>-14</v>
      </c>
      <c r="AJ1238" s="828">
        <v>-14</v>
      </c>
      <c r="AK1238" s="828">
        <v>-14</v>
      </c>
      <c r="AL1238" s="828">
        <v>-14</v>
      </c>
      <c r="AM1238" s="828">
        <v>-14</v>
      </c>
      <c r="AN1238" s="828">
        <v>-14</v>
      </c>
      <c r="AO1238" s="828">
        <v>-14</v>
      </c>
      <c r="AP1238" s="828">
        <v>-14</v>
      </c>
      <c r="AQ1238" s="828">
        <v>-14</v>
      </c>
      <c r="AR1238" s="828">
        <v>-14</v>
      </c>
      <c r="AS1238" s="828">
        <v>-14</v>
      </c>
      <c r="AT1238" s="2"/>
      <c r="AU1238" s="2"/>
    </row>
    <row r="1239" spans="1:47" hidden="1" outlineLevel="1">
      <c r="A1239" s="298"/>
      <c r="B1239" s="3"/>
      <c r="C1239" s="18"/>
      <c r="D1239" s="2"/>
      <c r="E1239" s="2"/>
      <c r="F1239" s="2"/>
      <c r="G1239" s="2"/>
      <c r="H1239" s="2"/>
      <c r="I1239" s="2"/>
      <c r="J1239" s="2"/>
      <c r="K1239" s="3"/>
      <c r="L1239" s="3"/>
      <c r="M1239" s="3"/>
      <c r="N1239" s="3"/>
      <c r="O1239" s="3"/>
      <c r="P1239" s="3"/>
      <c r="Q1239" s="3"/>
      <c r="R1239" s="3"/>
      <c r="S1239" s="3"/>
      <c r="T1239" s="3"/>
      <c r="U1239" s="3"/>
      <c r="V1239" s="566"/>
      <c r="W1239" s="566"/>
      <c r="X1239" s="566"/>
      <c r="Y1239" s="566"/>
      <c r="Z1239" s="566"/>
      <c r="AA1239" s="566"/>
      <c r="AB1239" s="829"/>
      <c r="AC1239" s="829"/>
      <c r="AD1239" s="829"/>
      <c r="AE1239" s="829"/>
      <c r="AF1239" s="829"/>
      <c r="AG1239" s="829"/>
      <c r="AH1239" s="829"/>
      <c r="AI1239" s="829"/>
      <c r="AJ1239" s="829"/>
      <c r="AK1239" s="829"/>
      <c r="AL1239" s="829"/>
      <c r="AM1239" s="829"/>
      <c r="AN1239" s="829"/>
      <c r="AO1239" s="829"/>
      <c r="AP1239" s="829"/>
      <c r="AQ1239" s="829"/>
      <c r="AR1239" s="829"/>
      <c r="AS1239" s="829"/>
      <c r="AT1239" s="2"/>
      <c r="AU1239" s="2"/>
    </row>
    <row r="1240" spans="1:47" hidden="1" outlineLevel="1">
      <c r="A1240" s="2"/>
      <c r="B1240" s="153" t="s">
        <v>975</v>
      </c>
      <c r="C1240" s="112"/>
      <c r="D1240" s="2"/>
      <c r="E1240" s="2"/>
      <c r="F1240" s="2"/>
      <c r="G1240" s="2"/>
      <c r="H1240" s="2"/>
      <c r="I1240" s="2"/>
      <c r="J1240" s="2"/>
      <c r="K1240" s="3"/>
      <c r="L1240" s="3"/>
      <c r="M1240" s="3"/>
      <c r="N1240" s="3"/>
      <c r="O1240" s="3"/>
      <c r="P1240" s="3"/>
      <c r="Q1240" s="3"/>
      <c r="R1240" s="3"/>
      <c r="S1240" s="3"/>
      <c r="T1240" s="3"/>
      <c r="U1240" s="3"/>
      <c r="V1240" s="3"/>
      <c r="W1240" s="3"/>
      <c r="X1240" s="3"/>
      <c r="Y1240" s="3"/>
      <c r="Z1240" s="3"/>
      <c r="AA1240" s="3"/>
      <c r="AB1240" s="3"/>
      <c r="AC1240" s="3"/>
      <c r="AD1240" s="3"/>
      <c r="AE1240" s="3"/>
      <c r="AF1240" s="3"/>
      <c r="AG1240" s="3"/>
      <c r="AH1240" s="3"/>
      <c r="AI1240" s="3"/>
      <c r="AJ1240" s="3"/>
      <c r="AK1240" s="3"/>
      <c r="AL1240" s="3"/>
      <c r="AM1240" s="3"/>
      <c r="AN1240" s="3"/>
      <c r="AO1240" s="3"/>
      <c r="AP1240" s="3"/>
      <c r="AQ1240" s="3"/>
      <c r="AR1240" s="3"/>
      <c r="AS1240" s="3"/>
      <c r="AT1240" s="2"/>
      <c r="AU1240" s="2"/>
    </row>
    <row r="1241" spans="1:47" hidden="1" outlineLevel="1">
      <c r="A1241" s="2"/>
      <c r="B1241" s="3" t="s">
        <v>747</v>
      </c>
      <c r="C1241" s="18" t="s">
        <v>732</v>
      </c>
      <c r="D1241" s="2"/>
      <c r="E1241" s="2"/>
      <c r="F1241" s="2"/>
      <c r="G1241" s="2"/>
      <c r="H1241" s="2"/>
      <c r="I1241" s="2"/>
      <c r="J1241" s="2"/>
      <c r="K1241" s="566">
        <v>0</v>
      </c>
      <c r="L1241" s="566">
        <v>0</v>
      </c>
      <c r="M1241" s="566">
        <v>0</v>
      </c>
      <c r="N1241" s="566">
        <v>0</v>
      </c>
      <c r="O1241" s="566">
        <v>0</v>
      </c>
      <c r="P1241" s="566">
        <v>-53.625</v>
      </c>
      <c r="Q1241" s="566">
        <v>-47.862778569908755</v>
      </c>
      <c r="R1241" s="566">
        <v>-38.864000000000004</v>
      </c>
      <c r="S1241" s="566">
        <v>-49.77</v>
      </c>
      <c r="T1241" s="3">
        <v>-35.928650552266241</v>
      </c>
      <c r="U1241" s="3">
        <v>-42.951712468840306</v>
      </c>
      <c r="V1241" s="566">
        <v>-77.813999999999993</v>
      </c>
      <c r="W1241" s="566">
        <v>-111.286</v>
      </c>
      <c r="X1241" s="566">
        <v>-224.69300000000001</v>
      </c>
      <c r="Y1241" s="566">
        <v>-221.75943178065572</v>
      </c>
      <c r="Z1241" s="566">
        <v>-217.911</v>
      </c>
      <c r="AA1241" s="566">
        <v>-223.51300000000001</v>
      </c>
      <c r="AB1241" s="3">
        <v>-274.4809333782714</v>
      </c>
      <c r="AC1241" s="3">
        <v>-273.89033217455204</v>
      </c>
      <c r="AD1241" s="3">
        <v>-273.40461173508737</v>
      </c>
      <c r="AE1241" s="3">
        <v>-273.09209691219559</v>
      </c>
      <c r="AF1241" s="3">
        <v>-272.78623422095188</v>
      </c>
      <c r="AG1241" s="3">
        <v>-272.47363783152514</v>
      </c>
      <c r="AH1241" s="3">
        <v>-272.1414274264792</v>
      </c>
      <c r="AI1241" s="3">
        <v>-271.77731579034844</v>
      </c>
      <c r="AJ1241" s="3">
        <v>-271.36965822233901</v>
      </c>
      <c r="AK1241" s="3">
        <v>-270.90747261222373</v>
      </c>
      <c r="AL1241" s="3">
        <v>-270.38043729742128</v>
      </c>
      <c r="AM1241" s="3">
        <v>-269.77887240607959</v>
      </c>
      <c r="AN1241" s="3">
        <v>-269.09370923377344</v>
      </c>
      <c r="AO1241" s="3">
        <v>-268.31645125604263</v>
      </c>
      <c r="AP1241" s="3">
        <v>-267.43912960869449</v>
      </c>
      <c r="AQ1241" s="3">
        <v>-267.43912960869449</v>
      </c>
      <c r="AR1241" s="3">
        <v>-267.43912960869449</v>
      </c>
      <c r="AS1241" s="3">
        <v>-267.43912960869449</v>
      </c>
      <c r="AT1241" s="2"/>
      <c r="AU1241" s="2"/>
    </row>
    <row r="1242" spans="1:47" hidden="1" outlineLevel="1">
      <c r="A1242" s="2"/>
      <c r="B1242" s="2" t="s">
        <v>913</v>
      </c>
      <c r="C1242" s="18"/>
      <c r="D1242" s="2"/>
      <c r="E1242" s="2"/>
      <c r="F1242" s="2"/>
      <c r="G1242" s="2"/>
      <c r="H1242" s="2"/>
      <c r="I1242" s="2"/>
      <c r="J1242" s="2"/>
      <c r="K1242" s="3"/>
      <c r="L1242" s="3"/>
      <c r="M1242" s="3"/>
      <c r="N1242" s="3"/>
      <c r="O1242" s="3"/>
      <c r="P1242" s="3"/>
      <c r="Q1242" s="3"/>
      <c r="R1242" s="3"/>
      <c r="S1242" s="3"/>
      <c r="T1242" s="3"/>
      <c r="U1242" s="3"/>
      <c r="V1242" s="830"/>
      <c r="W1242" s="830"/>
      <c r="X1242" s="566">
        <v>-902.58</v>
      </c>
      <c r="Y1242" s="566">
        <v>-902.58</v>
      </c>
      <c r="Z1242" s="566">
        <v>-902.58</v>
      </c>
      <c r="AA1242" s="566">
        <v>-902.58</v>
      </c>
      <c r="AB1242" s="3"/>
      <c r="AC1242" s="3"/>
      <c r="AD1242" s="3"/>
      <c r="AE1242" s="3"/>
      <c r="AF1242" s="3"/>
      <c r="AG1242" s="3"/>
      <c r="AH1242" s="3"/>
      <c r="AI1242" s="3"/>
      <c r="AJ1242" s="3"/>
      <c r="AK1242" s="3"/>
      <c r="AL1242" s="3"/>
      <c r="AM1242" s="3"/>
      <c r="AN1242" s="3"/>
      <c r="AO1242" s="3"/>
      <c r="AP1242" s="3"/>
      <c r="AQ1242" s="3"/>
      <c r="AR1242" s="3"/>
      <c r="AS1242" s="3"/>
      <c r="AT1242" s="2"/>
      <c r="AU1242" s="2"/>
    </row>
    <row r="1243" spans="1:47" hidden="1" outlineLevel="1">
      <c r="A1243" s="2"/>
      <c r="B1243" s="2" t="s">
        <v>904</v>
      </c>
      <c r="C1243" s="18" t="s">
        <v>732</v>
      </c>
      <c r="D1243" s="2"/>
      <c r="E1243" s="2"/>
      <c r="F1243" s="2"/>
      <c r="G1243" s="2"/>
      <c r="H1243" s="2"/>
      <c r="I1243" s="2"/>
      <c r="J1243" s="2"/>
      <c r="K1243" s="3"/>
      <c r="L1243" s="3"/>
      <c r="M1243" s="3"/>
      <c r="N1243" s="3"/>
      <c r="O1243" s="3"/>
      <c r="P1243" s="3"/>
      <c r="Q1243" s="3"/>
      <c r="R1243" s="3"/>
      <c r="S1243" s="3"/>
      <c r="T1243" s="3"/>
      <c r="U1243" s="3"/>
      <c r="V1243" s="566"/>
      <c r="W1243" s="566">
        <v>-3059.7089999999998</v>
      </c>
      <c r="X1243" s="566">
        <v>-3046.3449999999998</v>
      </c>
      <c r="Y1243" s="566">
        <v>-2979.989</v>
      </c>
      <c r="Z1243" s="566">
        <v>-3227.2979999999998</v>
      </c>
      <c r="AA1243" s="566">
        <v>-3270.779</v>
      </c>
      <c r="AB1243" s="3">
        <v>-3264.4813185302714</v>
      </c>
      <c r="AC1243" s="3">
        <v>-3256.71706657811</v>
      </c>
      <c r="AD1243" s="3">
        <v>-3252.9165461620646</v>
      </c>
      <c r="AE1243" s="3">
        <v>-3249.2762374616395</v>
      </c>
      <c r="AF1243" s="3">
        <v>-3245.634101132453</v>
      </c>
      <c r="AG1243" s="3">
        <v>-3241.8334662848124</v>
      </c>
      <c r="AH1243" s="3">
        <v>-3237.7243295837397</v>
      </c>
      <c r="AI1243" s="3">
        <v>-3233.1641416150328</v>
      </c>
      <c r="AJ1243" s="3">
        <v>-3228.0181970120857</v>
      </c>
      <c r="AK1243" s="3">
        <v>-3222.159722326574</v>
      </c>
      <c r="AL1243" s="3">
        <v>-3215.469737135837</v>
      </c>
      <c r="AM1243" s="3">
        <v>-3207.8367487231994</v>
      </c>
      <c r="AN1243" s="3">
        <v>-3199.1563282714055</v>
      </c>
      <c r="AO1243" s="3">
        <v>-3189.3306063962759</v>
      </c>
      <c r="AP1243" s="3">
        <v>-3178.2677176202596</v>
      </c>
      <c r="AQ1243" s="3">
        <v>-3178.2677176202596</v>
      </c>
      <c r="AR1243" s="3">
        <v>-3178.2677176202596</v>
      </c>
      <c r="AS1243" s="3">
        <v>-3178.2677176202596</v>
      </c>
      <c r="AT1243" s="2"/>
      <c r="AU1243" s="2"/>
    </row>
    <row r="1244" spans="1:47" hidden="1" outlineLevel="1">
      <c r="A1244" s="2"/>
      <c r="B1244" s="2" t="s">
        <v>736</v>
      </c>
      <c r="C1244" s="38" t="s">
        <v>732</v>
      </c>
      <c r="D1244" s="2"/>
      <c r="E1244" s="2"/>
      <c r="F1244" s="2"/>
      <c r="G1244" s="2"/>
      <c r="H1244" s="2"/>
      <c r="I1244" s="2"/>
      <c r="J1244" s="2"/>
      <c r="K1244" s="3"/>
      <c r="L1244" s="3"/>
      <c r="M1244" s="3"/>
      <c r="N1244" s="3"/>
      <c r="O1244" s="3"/>
      <c r="P1244" s="3"/>
      <c r="Q1244" s="3"/>
      <c r="R1244" s="3"/>
      <c r="S1244" s="3"/>
      <c r="T1244" s="3"/>
      <c r="U1244" s="3"/>
      <c r="V1244" s="566">
        <v>-269.33100000000002</v>
      </c>
      <c r="W1244" s="566">
        <v>-257.67099999999999</v>
      </c>
      <c r="X1244" s="566">
        <v>-302.28699999999998</v>
      </c>
      <c r="Y1244" s="566">
        <v>-315.93099999999998</v>
      </c>
      <c r="Z1244" s="566">
        <v>-378.81900000000002</v>
      </c>
      <c r="AA1244" s="566">
        <v>-379.58499999999998</v>
      </c>
      <c r="AB1244" s="3">
        <v>-367.65846223564955</v>
      </c>
      <c r="AC1244" s="3">
        <v>-322.01082907858171</v>
      </c>
      <c r="AD1244" s="3">
        <v>-279.05225575733942</v>
      </c>
      <c r="AE1244" s="3">
        <v>-261.20241097696015</v>
      </c>
      <c r="AF1244" s="3">
        <v>-244.00744932549142</v>
      </c>
      <c r="AG1244" s="3">
        <v>-227.57610100286669</v>
      </c>
      <c r="AH1244" s="3">
        <v>-211.97950866055456</v>
      </c>
      <c r="AI1244" s="3">
        <v>-197.25897817169803</v>
      </c>
      <c r="AJ1244" s="3">
        <v>-183.43234822381299</v>
      </c>
      <c r="AK1244" s="3">
        <v>-170.49920917339176</v>
      </c>
      <c r="AL1244" s="3">
        <v>-158.44516443075</v>
      </c>
      <c r="AM1244" s="3">
        <v>-147.24529635483071</v>
      </c>
      <c r="AN1244" s="3">
        <v>-136.86697231119533</v>
      </c>
      <c r="AO1244" s="3">
        <v>-127.27210440475395</v>
      </c>
      <c r="AP1244" s="3">
        <v>-118.4189577853914</v>
      </c>
      <c r="AQ1244" s="3">
        <v>-118.4189577853914</v>
      </c>
      <c r="AR1244" s="3">
        <v>-118.4189577853914</v>
      </c>
      <c r="AS1244" s="3">
        <v>-118.4189577853914</v>
      </c>
      <c r="AT1244" s="2"/>
      <c r="AU1244" s="2"/>
    </row>
    <row r="1245" spans="1:47" hidden="1" outlineLevel="1">
      <c r="A1245" s="2"/>
      <c r="B1245" s="2" t="s">
        <v>737</v>
      </c>
      <c r="C1245" s="826" t="s">
        <v>733</v>
      </c>
      <c r="D1245" s="2"/>
      <c r="E1245" s="2"/>
      <c r="F1245" s="2"/>
      <c r="G1245" s="2"/>
      <c r="H1245" s="2"/>
      <c r="I1245" s="2"/>
      <c r="J1245" s="2"/>
      <c r="K1245" s="3"/>
      <c r="L1245" s="3"/>
      <c r="M1245" s="3"/>
      <c r="N1245" s="3"/>
      <c r="O1245" s="3"/>
      <c r="P1245" s="3"/>
      <c r="Q1245" s="3"/>
      <c r="R1245" s="3"/>
      <c r="S1245" s="3"/>
      <c r="T1245" s="3"/>
      <c r="U1245" s="3"/>
      <c r="V1245" s="2">
        <v>-0.12191446600095965</v>
      </c>
      <c r="W1245" s="2">
        <v>-0.10931074301490645</v>
      </c>
      <c r="X1245" s="2">
        <v>-9.7404413579590524E-2</v>
      </c>
      <c r="Y1245" s="2">
        <v>-0.10168361763759252</v>
      </c>
      <c r="Z1245" s="2">
        <v>-0.11969004739336493</v>
      </c>
      <c r="AA1245" s="831">
        <v>-0.11467824773413897</v>
      </c>
      <c r="AB1245" s="832">
        <v>-0.11467824773413897</v>
      </c>
      <c r="AC1245" s="832">
        <v>-0.10467824773413897</v>
      </c>
      <c r="AD1245" s="832">
        <v>-9.4678247734138979E-2</v>
      </c>
      <c r="AE1245" s="832">
        <v>-9.2678247734138977E-2</v>
      </c>
      <c r="AF1245" s="832">
        <v>-9.0678247734138975E-2</v>
      </c>
      <c r="AG1245" s="832">
        <v>-8.8678247734138974E-2</v>
      </c>
      <c r="AH1245" s="832">
        <v>-8.6678247734138972E-2</v>
      </c>
      <c r="AI1245" s="832">
        <v>-8.467824773413897E-2</v>
      </c>
      <c r="AJ1245" s="832">
        <v>-8.2678247734138968E-2</v>
      </c>
      <c r="AK1245" s="832">
        <v>-8.0678247734138966E-2</v>
      </c>
      <c r="AL1245" s="832">
        <v>-7.8678247734138965E-2</v>
      </c>
      <c r="AM1245" s="832">
        <v>-7.6678247734138963E-2</v>
      </c>
      <c r="AN1245" s="832">
        <v>-7.4678247734138961E-2</v>
      </c>
      <c r="AO1245" s="832">
        <v>-7.2678247734138959E-2</v>
      </c>
      <c r="AP1245" s="832">
        <v>-7.0678247734138958E-2</v>
      </c>
      <c r="AQ1245" s="832">
        <v>-7.0678247734138958E-2</v>
      </c>
      <c r="AR1245" s="832">
        <v>-7.0678247734138958E-2</v>
      </c>
      <c r="AS1245" s="832">
        <v>-7.0678247734138958E-2</v>
      </c>
      <c r="AT1245" s="2"/>
      <c r="AU1245" s="2"/>
    </row>
    <row r="1246" spans="1:47" hidden="1" outlineLevel="1">
      <c r="A1246" s="2"/>
      <c r="B1246" s="2" t="s">
        <v>909</v>
      </c>
      <c r="C1246" s="826"/>
      <c r="D1246" s="2"/>
      <c r="E1246" s="2"/>
      <c r="F1246" s="2"/>
      <c r="G1246" s="2"/>
      <c r="H1246" s="2"/>
      <c r="I1246" s="2"/>
      <c r="J1246" s="2"/>
      <c r="K1246" s="3"/>
      <c r="L1246" s="3"/>
      <c r="M1246" s="3"/>
      <c r="N1246" s="3"/>
      <c r="O1246" s="3"/>
      <c r="P1246" s="3"/>
      <c r="Q1246" s="3"/>
      <c r="R1246" s="3"/>
      <c r="S1246" s="3"/>
      <c r="T1246" s="3"/>
      <c r="U1246" s="3"/>
      <c r="V1246" s="566">
        <v>507.14100000000002</v>
      </c>
      <c r="W1246" s="566">
        <v>461.28500000000003</v>
      </c>
      <c r="X1246" s="566">
        <v>649.45000000000005</v>
      </c>
      <c r="Y1246" s="566">
        <v>697.72</v>
      </c>
      <c r="Z1246" s="533">
        <v>555.88699999999994</v>
      </c>
      <c r="AA1246" s="533">
        <v>521.71299999999997</v>
      </c>
      <c r="AB1246" s="833"/>
      <c r="AC1246" s="833"/>
      <c r="AD1246" s="833"/>
      <c r="AE1246" s="833"/>
      <c r="AF1246" s="833"/>
      <c r="AG1246" s="833"/>
      <c r="AH1246" s="833"/>
      <c r="AI1246" s="833"/>
      <c r="AJ1246" s="833"/>
      <c r="AK1246" s="833"/>
      <c r="AL1246" s="833"/>
      <c r="AM1246" s="833"/>
      <c r="AN1246" s="833"/>
      <c r="AO1246" s="833"/>
      <c r="AP1246" s="833"/>
      <c r="AQ1246" s="833"/>
      <c r="AR1246" s="833"/>
      <c r="AS1246" s="833"/>
      <c r="AT1246" s="2"/>
      <c r="AU1246" s="2"/>
    </row>
    <row r="1247" spans="1:47" hidden="1" outlineLevel="1">
      <c r="A1247" s="2"/>
      <c r="B1247" s="2" t="s">
        <v>910</v>
      </c>
      <c r="C1247" s="826"/>
      <c r="D1247" s="2"/>
      <c r="E1247" s="2"/>
      <c r="F1247" s="2"/>
      <c r="G1247" s="2"/>
      <c r="H1247" s="2"/>
      <c r="I1247" s="2"/>
      <c r="J1247" s="2"/>
      <c r="K1247" s="3"/>
      <c r="L1247" s="3"/>
      <c r="M1247" s="3"/>
      <c r="N1247" s="3"/>
      <c r="O1247" s="3"/>
      <c r="P1247" s="3"/>
      <c r="Q1247" s="3"/>
      <c r="R1247" s="3"/>
      <c r="S1247" s="3"/>
      <c r="T1247" s="3"/>
      <c r="U1247" s="3"/>
      <c r="V1247" s="3">
        <v>26.308000000000305</v>
      </c>
      <c r="W1247" s="3">
        <v>-89.896000000000058</v>
      </c>
      <c r="X1247" s="3">
        <v>-3.8309999999999569</v>
      </c>
      <c r="Y1247" s="3">
        <v>-38.073568219344253</v>
      </c>
      <c r="Z1247" s="3">
        <v>-94.378000000000057</v>
      </c>
      <c r="AA1247" s="566">
        <v>-10</v>
      </c>
      <c r="AB1247" s="834">
        <v>0</v>
      </c>
      <c r="AC1247" s="835">
        <v>90</v>
      </c>
      <c r="AD1247" s="828">
        <v>90</v>
      </c>
      <c r="AE1247" s="828">
        <v>90</v>
      </c>
      <c r="AF1247" s="828">
        <v>90</v>
      </c>
      <c r="AG1247" s="828">
        <v>90</v>
      </c>
      <c r="AH1247" s="828">
        <v>90</v>
      </c>
      <c r="AI1247" s="828">
        <v>90</v>
      </c>
      <c r="AJ1247" s="828">
        <v>90</v>
      </c>
      <c r="AK1247" s="828">
        <v>90</v>
      </c>
      <c r="AL1247" s="828">
        <v>90</v>
      </c>
      <c r="AM1247" s="828">
        <v>90</v>
      </c>
      <c r="AN1247" s="828">
        <v>90</v>
      </c>
      <c r="AO1247" s="828">
        <v>90</v>
      </c>
      <c r="AP1247" s="828">
        <v>90</v>
      </c>
      <c r="AQ1247" s="828">
        <v>90</v>
      </c>
      <c r="AR1247" s="828">
        <v>90</v>
      </c>
      <c r="AS1247" s="828">
        <v>90</v>
      </c>
      <c r="AT1247" s="2"/>
      <c r="AU1247" s="2"/>
    </row>
    <row r="1248" spans="1:47" hidden="1" outlineLevel="1">
      <c r="A1248" s="2"/>
      <c r="B1248" s="6" t="s">
        <v>906</v>
      </c>
      <c r="C1248" s="38" t="s">
        <v>732</v>
      </c>
      <c r="D1248" s="6"/>
      <c r="E1248" s="6"/>
      <c r="F1248" s="6"/>
      <c r="G1248" s="6"/>
      <c r="H1248" s="6"/>
      <c r="I1248" s="6"/>
      <c r="J1248" s="6"/>
      <c r="K1248" s="4"/>
      <c r="L1248" s="4"/>
      <c r="M1248" s="4"/>
      <c r="N1248" s="4"/>
      <c r="O1248" s="4"/>
      <c r="P1248" s="4"/>
      <c r="Q1248" s="4"/>
      <c r="R1248" s="4"/>
      <c r="S1248" s="4"/>
      <c r="T1248" s="4"/>
      <c r="U1248" s="4"/>
      <c r="V1248" s="836">
        <v>237.81</v>
      </c>
      <c r="W1248" s="836">
        <v>203.61400000000003</v>
      </c>
      <c r="X1248" s="836">
        <v>347.16300000000007</v>
      </c>
      <c r="Y1248" s="836">
        <v>381.78900000000004</v>
      </c>
      <c r="Z1248" s="836">
        <v>177.06799999999993</v>
      </c>
      <c r="AA1248" s="836">
        <v>142.12799999999999</v>
      </c>
      <c r="AB1248" s="4">
        <v>57.251649724804963</v>
      </c>
      <c r="AC1248" s="4">
        <v>70.584108656014166</v>
      </c>
      <c r="AD1248" s="4">
        <v>34.55018560041492</v>
      </c>
      <c r="AE1248" s="4">
        <v>33.09371545840898</v>
      </c>
      <c r="AF1248" s="4">
        <v>33.110330265330845</v>
      </c>
      <c r="AG1248" s="4">
        <v>34.55122588764354</v>
      </c>
      <c r="AH1248" s="4">
        <v>37.355788191570099</v>
      </c>
      <c r="AI1248" s="4">
        <v>41.456254260972031</v>
      </c>
      <c r="AJ1248" s="4">
        <v>46.781314572249073</v>
      </c>
      <c r="AK1248" s="4">
        <v>53.258860777377805</v>
      </c>
      <c r="AL1248" s="4">
        <v>60.818047188516744</v>
      </c>
      <c r="AM1248" s="4">
        <v>69.39080375125053</v>
      </c>
      <c r="AN1248" s="4">
        <v>78.912913198127768</v>
      </c>
      <c r="AO1248" s="4">
        <v>89.324744319363802</v>
      </c>
      <c r="AP1248" s="4">
        <v>100.57171614560465</v>
      </c>
      <c r="AQ1248" s="4">
        <v>100.57171614560465</v>
      </c>
      <c r="AR1248" s="4">
        <v>100.57171614560465</v>
      </c>
      <c r="AS1248" s="4">
        <v>100.57171614560465</v>
      </c>
      <c r="AT1248" s="2"/>
      <c r="AU1248" s="2"/>
    </row>
    <row r="1249" spans="1:47" hidden="1" outlineLevel="1">
      <c r="A1249" s="2"/>
      <c r="B1249" s="2" t="s">
        <v>223</v>
      </c>
      <c r="C1249" s="38" t="s">
        <v>732</v>
      </c>
      <c r="D1249" s="38"/>
      <c r="E1249" s="38"/>
      <c r="F1249" s="38"/>
      <c r="G1249" s="38"/>
      <c r="H1249" s="38"/>
      <c r="I1249" s="38"/>
      <c r="J1249" s="38"/>
      <c r="K1249" s="6"/>
      <c r="L1249" s="6"/>
      <c r="M1249" s="6"/>
      <c r="N1249" s="2"/>
      <c r="O1249" s="19">
        <v>0</v>
      </c>
      <c r="P1249" s="19">
        <v>-26.8125</v>
      </c>
      <c r="Q1249" s="19">
        <v>-23.931389284954378</v>
      </c>
      <c r="R1249" s="19">
        <v>-19.432000000000002</v>
      </c>
      <c r="S1249" s="19">
        <v>-24.885000000000002</v>
      </c>
      <c r="T1249" s="570">
        <v>-722.11888318639024</v>
      </c>
      <c r="U1249" s="570">
        <v>-724.54982042672611</v>
      </c>
      <c r="V1249" s="570">
        <v>-668</v>
      </c>
      <c r="W1249" s="19">
        <v>-3059.7089999999998</v>
      </c>
      <c r="X1249" s="19">
        <v>-3053.027</v>
      </c>
      <c r="Y1249" s="19">
        <v>-3013.1669999999999</v>
      </c>
      <c r="Z1249" s="19">
        <v>-3103.6435000000001</v>
      </c>
      <c r="AA1249" s="19">
        <v>-3249.0384999999997</v>
      </c>
      <c r="AB1249" s="19">
        <v>-3267.6301592651357</v>
      </c>
      <c r="AC1249" s="19">
        <v>-3260.5991925541907</v>
      </c>
      <c r="AD1249" s="19">
        <v>-3254.8168063700873</v>
      </c>
      <c r="AE1249" s="19">
        <v>-3251.0963918118523</v>
      </c>
      <c r="AF1249" s="19">
        <v>-3247.4551692970463</v>
      </c>
      <c r="AG1249" s="19">
        <v>-3243.7337837086325</v>
      </c>
      <c r="AH1249" s="19">
        <v>-3239.7788979342758</v>
      </c>
      <c r="AI1249" s="19">
        <v>-3235.444235599386</v>
      </c>
      <c r="AJ1249" s="19">
        <v>-3230.5911693135595</v>
      </c>
      <c r="AK1249" s="19">
        <v>-3225.0889596693296</v>
      </c>
      <c r="AL1249" s="19">
        <v>-3218.8147297312053</v>
      </c>
      <c r="AM1249" s="19">
        <v>-3211.6532429295185</v>
      </c>
      <c r="AN1249" s="19">
        <v>-3203.4965384973025</v>
      </c>
      <c r="AO1249" s="19">
        <v>-3194.2434673338407</v>
      </c>
      <c r="AP1249" s="19">
        <v>-3183.7991620082676</v>
      </c>
      <c r="AQ1249" s="19">
        <v>-3183.7991620082676</v>
      </c>
      <c r="AR1249" s="19">
        <v>-3183.7991620082676</v>
      </c>
      <c r="AS1249" s="19">
        <v>-3183.7991620082676</v>
      </c>
      <c r="AT1249" s="2"/>
      <c r="AU1249" s="2"/>
    </row>
    <row r="1250" spans="1:47" hidden="1" outlineLevel="1">
      <c r="A1250" s="312"/>
      <c r="B1250" s="514" t="s">
        <v>228</v>
      </c>
      <c r="C1250" s="750" t="s">
        <v>733</v>
      </c>
      <c r="D1250" s="750"/>
      <c r="E1250" s="750"/>
      <c r="F1250" s="750"/>
      <c r="G1250" s="750"/>
      <c r="H1250" s="750"/>
      <c r="I1250" s="750"/>
      <c r="J1250" s="750"/>
      <c r="K1250" s="517"/>
      <c r="L1250" s="517"/>
      <c r="M1250" s="517"/>
      <c r="N1250" s="514"/>
      <c r="O1250" s="514"/>
      <c r="P1250" s="514"/>
      <c r="Q1250" s="514"/>
      <c r="R1250" s="514"/>
      <c r="S1250" s="514"/>
      <c r="T1250" s="759">
        <v>4.9754481414097697E-2</v>
      </c>
      <c r="U1250" s="759">
        <v>5.9280550844031325E-2</v>
      </c>
      <c r="V1250" s="759">
        <v>6.4970059880239517E-2</v>
      </c>
      <c r="W1250" s="312">
        <v>7.2742865416286329E-2</v>
      </c>
      <c r="X1250" s="312">
        <v>7.3596794263529275E-2</v>
      </c>
      <c r="Y1250" s="312">
        <v>7.3596794263529275E-2</v>
      </c>
      <c r="Z1250" s="313">
        <v>7.02113499826897E-2</v>
      </c>
      <c r="AA1250" s="743">
        <v>6.8793583086196125E-2</v>
      </c>
      <c r="AB1250" s="812">
        <v>8.4000000000000005E-2</v>
      </c>
      <c r="AC1250" s="813">
        <v>8.4000000000000005E-2</v>
      </c>
      <c r="AD1250" s="813">
        <v>8.4000000000000005E-2</v>
      </c>
      <c r="AE1250" s="813">
        <v>8.4000000000000005E-2</v>
      </c>
      <c r="AF1250" s="813">
        <v>8.4000000000000005E-2</v>
      </c>
      <c r="AG1250" s="813">
        <v>8.4000000000000005E-2</v>
      </c>
      <c r="AH1250" s="813">
        <v>8.4000000000000005E-2</v>
      </c>
      <c r="AI1250" s="813">
        <v>8.4000000000000005E-2</v>
      </c>
      <c r="AJ1250" s="813">
        <v>8.4000000000000005E-2</v>
      </c>
      <c r="AK1250" s="813">
        <v>8.4000000000000005E-2</v>
      </c>
      <c r="AL1250" s="813">
        <v>8.4000000000000005E-2</v>
      </c>
      <c r="AM1250" s="813">
        <v>8.4000000000000005E-2</v>
      </c>
      <c r="AN1250" s="813">
        <v>8.4000000000000005E-2</v>
      </c>
      <c r="AO1250" s="814">
        <v>8.4000000000000005E-2</v>
      </c>
      <c r="AP1250" s="814">
        <v>8.4000000000000005E-2</v>
      </c>
      <c r="AQ1250" s="814">
        <v>8.4000000000000005E-2</v>
      </c>
      <c r="AR1250" s="814">
        <v>8.4000000000000005E-2</v>
      </c>
      <c r="AS1250" s="814">
        <v>8.4000000000000005E-2</v>
      </c>
      <c r="AT1250" s="312"/>
      <c r="AU1250" s="514"/>
    </row>
    <row r="1251" spans="1:47" hidden="1" outlineLevel="1">
      <c r="A1251" s="2"/>
      <c r="B1251" s="2"/>
      <c r="C1251" s="826"/>
      <c r="D1251" s="38"/>
      <c r="E1251" s="38"/>
      <c r="F1251" s="38"/>
      <c r="G1251" s="38"/>
      <c r="H1251" s="38"/>
      <c r="I1251" s="38"/>
      <c r="J1251" s="38"/>
      <c r="K1251" s="6"/>
      <c r="L1251" s="6"/>
      <c r="M1251" s="6"/>
      <c r="N1251" s="2"/>
      <c r="O1251" s="19"/>
      <c r="P1251" s="19"/>
      <c r="Q1251" s="19"/>
      <c r="R1251" s="19"/>
      <c r="S1251" s="19"/>
      <c r="T1251" s="2"/>
      <c r="U1251" s="2"/>
      <c r="V1251" s="2"/>
      <c r="W1251" s="2"/>
      <c r="X1251" s="533"/>
      <c r="Y1251" s="533"/>
      <c r="Z1251" s="533"/>
      <c r="AA1251" s="533"/>
      <c r="AB1251" s="833"/>
      <c r="AC1251" s="833"/>
      <c r="AD1251" s="833"/>
      <c r="AE1251" s="833"/>
      <c r="AF1251" s="833"/>
      <c r="AG1251" s="833"/>
      <c r="AH1251" s="833"/>
      <c r="AI1251" s="833"/>
      <c r="AJ1251" s="833"/>
      <c r="AK1251" s="833"/>
      <c r="AL1251" s="833"/>
      <c r="AM1251" s="833"/>
      <c r="AN1251" s="833"/>
      <c r="AO1251" s="833"/>
      <c r="AP1251" s="833"/>
      <c r="AQ1251" s="833"/>
      <c r="AR1251" s="833"/>
      <c r="AS1251" s="833"/>
      <c r="AT1251" s="2"/>
      <c r="AU1251" s="2"/>
    </row>
    <row r="1252" spans="1:47" hidden="1" outlineLevel="1">
      <c r="A1252" s="2"/>
      <c r="B1252" s="2" t="s">
        <v>977</v>
      </c>
      <c r="C1252" s="38" t="s">
        <v>732</v>
      </c>
      <c r="D1252" s="38"/>
      <c r="E1252" s="38"/>
      <c r="F1252" s="38"/>
      <c r="G1252" s="38"/>
      <c r="H1252" s="38"/>
      <c r="I1252" s="38"/>
      <c r="J1252" s="38"/>
      <c r="K1252" s="6"/>
      <c r="L1252" s="6"/>
      <c r="M1252" s="6"/>
      <c r="N1252" s="2"/>
      <c r="O1252" s="19"/>
      <c r="P1252" s="19"/>
      <c r="Q1252" s="19"/>
      <c r="R1252" s="19"/>
      <c r="S1252" s="19"/>
      <c r="T1252" s="2"/>
      <c r="U1252" s="2"/>
      <c r="V1252" s="2"/>
      <c r="W1252" s="2"/>
      <c r="X1252" s="533"/>
      <c r="Y1252" s="533">
        <v>6.4180000000000001</v>
      </c>
      <c r="Z1252" s="533">
        <v>1.3740000000000001</v>
      </c>
      <c r="AA1252" s="533">
        <v>-8.0429999999999993</v>
      </c>
      <c r="AB1252" s="833"/>
      <c r="AC1252" s="833"/>
      <c r="AD1252" s="833"/>
      <c r="AE1252" s="833"/>
      <c r="AF1252" s="833"/>
      <c r="AG1252" s="833"/>
      <c r="AH1252" s="833"/>
      <c r="AI1252" s="833"/>
      <c r="AJ1252" s="833"/>
      <c r="AK1252" s="833"/>
      <c r="AL1252" s="833"/>
      <c r="AM1252" s="833"/>
      <c r="AN1252" s="833"/>
      <c r="AO1252" s="833"/>
      <c r="AP1252" s="833"/>
      <c r="AQ1252" s="833"/>
      <c r="AR1252" s="833"/>
      <c r="AS1252" s="833"/>
      <c r="AT1252" s="2"/>
      <c r="AU1252" s="2"/>
    </row>
    <row r="1253" spans="1:47" hidden="1" outlineLevel="1">
      <c r="A1253" s="2"/>
      <c r="B1253" s="2" t="s">
        <v>976</v>
      </c>
      <c r="C1253" s="38" t="s">
        <v>732</v>
      </c>
      <c r="D1253" s="38"/>
      <c r="E1253" s="38"/>
      <c r="F1253" s="38"/>
      <c r="G1253" s="38"/>
      <c r="H1253" s="38"/>
      <c r="I1253" s="38"/>
      <c r="J1253" s="38"/>
      <c r="K1253" s="6"/>
      <c r="L1253" s="6"/>
      <c r="M1253" s="6"/>
      <c r="N1253" s="2"/>
      <c r="O1253" s="19"/>
      <c r="P1253" s="19"/>
      <c r="Q1253" s="19"/>
      <c r="R1253" s="19"/>
      <c r="S1253" s="19"/>
      <c r="T1253" s="2"/>
      <c r="U1253" s="2"/>
      <c r="V1253" s="533"/>
      <c r="W1253" s="533"/>
      <c r="X1253" s="533"/>
      <c r="Y1253" s="533">
        <v>-26.289000000000001</v>
      </c>
      <c r="Z1253" s="533">
        <v>-3.4420000000000002</v>
      </c>
      <c r="AA1253" s="533">
        <v>0.54700000000000004</v>
      </c>
      <c r="AB1253" s="833"/>
      <c r="AC1253" s="833"/>
      <c r="AD1253" s="833"/>
      <c r="AE1253" s="833"/>
      <c r="AF1253" s="833"/>
      <c r="AG1253" s="833"/>
      <c r="AH1253" s="833"/>
      <c r="AI1253" s="833"/>
      <c r="AJ1253" s="833"/>
      <c r="AK1253" s="833"/>
      <c r="AL1253" s="833"/>
      <c r="AM1253" s="833"/>
      <c r="AN1253" s="833"/>
      <c r="AO1253" s="833"/>
      <c r="AP1253" s="833"/>
      <c r="AQ1253" s="833"/>
      <c r="AR1253" s="833"/>
      <c r="AS1253" s="833"/>
      <c r="AT1253" s="2"/>
      <c r="AU1253" s="2"/>
    </row>
    <row r="1254" spans="1:47" hidden="1" outlineLevel="1">
      <c r="A1254" s="2"/>
      <c r="B1254" s="2" t="s">
        <v>28</v>
      </c>
      <c r="C1254" s="38" t="s">
        <v>732</v>
      </c>
      <c r="D1254" s="38"/>
      <c r="E1254" s="38"/>
      <c r="F1254" s="38"/>
      <c r="G1254" s="38"/>
      <c r="H1254" s="38"/>
      <c r="I1254" s="38"/>
      <c r="J1254" s="38"/>
      <c r="K1254" s="6"/>
      <c r="L1254" s="6"/>
      <c r="M1254" s="6"/>
      <c r="N1254" s="2"/>
      <c r="O1254" s="19"/>
      <c r="P1254" s="19"/>
      <c r="Q1254" s="19"/>
      <c r="R1254" s="19"/>
      <c r="S1254" s="19"/>
      <c r="T1254" s="2"/>
      <c r="U1254" s="2"/>
      <c r="V1254" s="533"/>
      <c r="W1254" s="533"/>
      <c r="X1254" s="533"/>
      <c r="Y1254" s="533"/>
      <c r="Z1254" s="533"/>
      <c r="AA1254" s="533">
        <v>-9.8550000000000004</v>
      </c>
      <c r="AB1254" s="833"/>
      <c r="AC1254" s="833"/>
      <c r="AD1254" s="833"/>
      <c r="AE1254" s="833"/>
      <c r="AF1254" s="833"/>
      <c r="AG1254" s="833"/>
      <c r="AH1254" s="833"/>
      <c r="AI1254" s="833"/>
      <c r="AJ1254" s="833"/>
      <c r="AK1254" s="833"/>
      <c r="AL1254" s="833"/>
      <c r="AM1254" s="833"/>
      <c r="AN1254" s="833"/>
      <c r="AO1254" s="833"/>
      <c r="AP1254" s="833"/>
      <c r="AQ1254" s="833"/>
      <c r="AR1254" s="833"/>
      <c r="AS1254" s="833"/>
      <c r="AT1254" s="2"/>
      <c r="AU1254" s="2"/>
    </row>
    <row r="1255" spans="1:47" hidden="1" outlineLevel="1">
      <c r="A1255" s="2"/>
      <c r="B1255" s="4" t="s">
        <v>645</v>
      </c>
      <c r="C1255" s="21" t="s">
        <v>732</v>
      </c>
      <c r="D1255" s="2"/>
      <c r="E1255" s="2"/>
      <c r="F1255" s="2"/>
      <c r="G1255" s="2"/>
      <c r="H1255" s="2"/>
      <c r="I1255" s="2"/>
      <c r="J1255" s="2"/>
      <c r="K1255" s="768">
        <v>-63.610784124674581</v>
      </c>
      <c r="L1255" s="768">
        <v>-60.968663328245555</v>
      </c>
      <c r="M1255" s="768">
        <v>-87.967044729357013</v>
      </c>
      <c r="N1255" s="768">
        <v>-94.083552030056808</v>
      </c>
      <c r="O1255" s="768">
        <v>-132.86372787939808</v>
      </c>
      <c r="P1255" s="768">
        <v>-151.65479288133324</v>
      </c>
      <c r="Q1255" s="768">
        <v>1.5646311449205541</v>
      </c>
      <c r="R1255" s="768">
        <v>80.427850656613288</v>
      </c>
      <c r="S1255" s="768">
        <v>161.93840864105238</v>
      </c>
      <c r="T1255" s="4">
        <v>132.53493434912866</v>
      </c>
      <c r="U1255" s="4">
        <v>157.49381185600458</v>
      </c>
      <c r="V1255" s="4">
        <v>167.86799999999974</v>
      </c>
      <c r="W1255" s="4">
        <v>196.05800000000011</v>
      </c>
      <c r="X1255" s="4">
        <v>253.75199999999998</v>
      </c>
      <c r="Y1255" s="4">
        <v>345.36956821934427</v>
      </c>
      <c r="Z1255" s="4">
        <v>293.02100000000002</v>
      </c>
      <c r="AA1255" s="4">
        <v>317.13599999999997</v>
      </c>
      <c r="AB1255" s="4">
        <v>226.19020756132591</v>
      </c>
      <c r="AC1255" s="4">
        <v>201.38895080518597</v>
      </c>
      <c r="AD1255" s="4">
        <v>112.94834702212751</v>
      </c>
      <c r="AE1255" s="4">
        <v>108.49682111400176</v>
      </c>
      <c r="AF1255" s="4">
        <v>105.70329793502697</v>
      </c>
      <c r="AG1255" s="4">
        <v>104.60315057325812</v>
      </c>
      <c r="AH1255" s="4">
        <v>105.20334278158157</v>
      </c>
      <c r="AI1255" s="4">
        <v>107.48991775967727</v>
      </c>
      <c r="AJ1255" s="4">
        <v>111.43399583465123</v>
      </c>
      <c r="AK1255" s="4">
        <v>116.99654945842974</v>
      </c>
      <c r="AL1255" s="4">
        <v>124.13217815428897</v>
      </c>
      <c r="AM1255" s="4">
        <v>132.79206783342886</v>
      </c>
      <c r="AN1255" s="4">
        <v>142.9262870362341</v>
      </c>
      <c r="AO1255" s="4">
        <v>154.48554609968534</v>
      </c>
      <c r="AP1255" s="4">
        <v>167.42252314560938</v>
      </c>
      <c r="AQ1255" s="4">
        <v>167.42252314560938</v>
      </c>
      <c r="AR1255" s="4">
        <v>167.42252314560938</v>
      </c>
      <c r="AS1255" s="4">
        <v>167.42252314560938</v>
      </c>
      <c r="AT1255" s="2"/>
      <c r="AU1255" s="2"/>
    </row>
    <row r="1256" spans="1:47" hidden="1" outlineLevel="1">
      <c r="A1256" s="298"/>
      <c r="B1256" s="3" t="s">
        <v>646</v>
      </c>
      <c r="C1256" s="18" t="s">
        <v>732</v>
      </c>
      <c r="D1256" s="2"/>
      <c r="E1256" s="2"/>
      <c r="F1256" s="2"/>
      <c r="G1256" s="2"/>
      <c r="H1256" s="2"/>
      <c r="I1256" s="2"/>
      <c r="J1256" s="2"/>
      <c r="K1256" s="566">
        <v>0</v>
      </c>
      <c r="L1256" s="566">
        <v>0</v>
      </c>
      <c r="M1256" s="566">
        <v>0</v>
      </c>
      <c r="N1256" s="566">
        <v>0</v>
      </c>
      <c r="O1256" s="566">
        <v>0</v>
      </c>
      <c r="P1256" s="566">
        <v>0</v>
      </c>
      <c r="Q1256" s="566">
        <v>0</v>
      </c>
      <c r="R1256" s="566">
        <v>0</v>
      </c>
      <c r="S1256" s="566">
        <v>-48.581522592315714</v>
      </c>
      <c r="T1256" s="3">
        <v>-29.756050893618664</v>
      </c>
      <c r="U1256" s="3">
        <v>-41.886033801794156</v>
      </c>
      <c r="V1256" s="566">
        <v>0</v>
      </c>
      <c r="W1256" s="566">
        <v>2.6150000000000002</v>
      </c>
      <c r="X1256" s="566">
        <v>-29.91</v>
      </c>
      <c r="Y1256" s="566">
        <v>-23.446999999999999</v>
      </c>
      <c r="Z1256" s="566">
        <v>-31.824000000000002</v>
      </c>
      <c r="AA1256" s="566">
        <v>-22.7</v>
      </c>
      <c r="AB1256" s="3">
        <v>-27.142824907359106</v>
      </c>
      <c r="AC1256" s="3">
        <v>-60.41668524155579</v>
      </c>
      <c r="AD1256" s="3">
        <v>-33.884504106638254</v>
      </c>
      <c r="AE1256" s="3">
        <v>-32.549046334200526</v>
      </c>
      <c r="AF1256" s="3">
        <v>-31.710989380508089</v>
      </c>
      <c r="AG1256" s="3">
        <v>-31.380945171977434</v>
      </c>
      <c r="AH1256" s="3">
        <v>-31.561002834474468</v>
      </c>
      <c r="AI1256" s="3">
        <v>-32.246975327903179</v>
      </c>
      <c r="AJ1256" s="3">
        <v>-33.43019875039537</v>
      </c>
      <c r="AK1256" s="3">
        <v>-35.098964837528918</v>
      </c>
      <c r="AL1256" s="3">
        <v>-37.239653446286688</v>
      </c>
      <c r="AM1256" s="3">
        <v>-39.837620350028658</v>
      </c>
      <c r="AN1256" s="3">
        <v>-42.877886110870229</v>
      </c>
      <c r="AO1256" s="3">
        <v>-46.345663829905597</v>
      </c>
      <c r="AP1256" s="3">
        <v>-50.226756943682808</v>
      </c>
      <c r="AQ1256" s="3">
        <v>-50.226756943682808</v>
      </c>
      <c r="AR1256" s="3">
        <v>-50.226756943682808</v>
      </c>
      <c r="AS1256" s="3">
        <v>-50.226756943682808</v>
      </c>
      <c r="AT1256" s="2"/>
      <c r="AU1256" s="2"/>
    </row>
    <row r="1257" spans="1:47" hidden="1" outlineLevel="1">
      <c r="A1257" s="308"/>
      <c r="B1257" s="312" t="s">
        <v>133</v>
      </c>
      <c r="C1257" s="750" t="s">
        <v>733</v>
      </c>
      <c r="D1257" s="312"/>
      <c r="E1257" s="312"/>
      <c r="F1257" s="312"/>
      <c r="G1257" s="312"/>
      <c r="H1257" s="312"/>
      <c r="I1257" s="312"/>
      <c r="J1257" s="312"/>
      <c r="K1257" s="312"/>
      <c r="L1257" s="312"/>
      <c r="M1257" s="312"/>
      <c r="N1257" s="312"/>
      <c r="O1257" s="312"/>
      <c r="P1257" s="312"/>
      <c r="Q1257" s="312"/>
      <c r="R1257" s="312"/>
      <c r="S1257" s="312"/>
      <c r="T1257" s="759">
        <v>-0.22451477446115542</v>
      </c>
      <c r="U1257" s="759">
        <v>-0.2659535210189099</v>
      </c>
      <c r="V1257" s="312">
        <v>0</v>
      </c>
      <c r="W1257" s="312">
        <v>-1.3337889808118E-2</v>
      </c>
      <c r="X1257" s="312">
        <v>0.11787099214981557</v>
      </c>
      <c r="Y1257" s="312">
        <v>6.7889594676473652E-2</v>
      </c>
      <c r="Z1257" s="313">
        <v>0.10860655038376089</v>
      </c>
      <c r="AA1257" s="743">
        <v>7.1578124211694669E-2</v>
      </c>
      <c r="AB1257" s="544">
        <v>0.12</v>
      </c>
      <c r="AC1257" s="544">
        <v>0.3</v>
      </c>
      <c r="AD1257" s="837">
        <v>0.3</v>
      </c>
      <c r="AE1257" s="837">
        <v>0.3</v>
      </c>
      <c r="AF1257" s="837">
        <v>0.3</v>
      </c>
      <c r="AG1257" s="837">
        <v>0.3</v>
      </c>
      <c r="AH1257" s="837">
        <v>0.3</v>
      </c>
      <c r="AI1257" s="837">
        <v>0.3</v>
      </c>
      <c r="AJ1257" s="837">
        <v>0.3</v>
      </c>
      <c r="AK1257" s="837">
        <v>0.3</v>
      </c>
      <c r="AL1257" s="837">
        <v>0.3</v>
      </c>
      <c r="AM1257" s="837">
        <v>0.3</v>
      </c>
      <c r="AN1257" s="837">
        <v>0.3</v>
      </c>
      <c r="AO1257" s="838">
        <v>0.3</v>
      </c>
      <c r="AP1257" s="838">
        <v>0.3</v>
      </c>
      <c r="AQ1257" s="838">
        <v>0.3</v>
      </c>
      <c r="AR1257" s="838">
        <v>0.3</v>
      </c>
      <c r="AS1257" s="838">
        <v>0.3</v>
      </c>
      <c r="AT1257" s="312"/>
      <c r="AU1257" s="514"/>
    </row>
    <row r="1258" spans="1:47" hidden="1" outlineLevel="1">
      <c r="A1258" s="301"/>
      <c r="B1258" s="4" t="s">
        <v>884</v>
      </c>
      <c r="C1258" s="21" t="s">
        <v>732</v>
      </c>
      <c r="D1258" s="6"/>
      <c r="E1258" s="6"/>
      <c r="F1258" s="6"/>
      <c r="G1258" s="6"/>
      <c r="H1258" s="6"/>
      <c r="I1258" s="6"/>
      <c r="J1258" s="6"/>
      <c r="K1258" s="768">
        <v>-63.610784124674581</v>
      </c>
      <c r="L1258" s="768">
        <v>-60.968663328245555</v>
      </c>
      <c r="M1258" s="768">
        <v>-87.967044729357013</v>
      </c>
      <c r="N1258" s="768">
        <v>-94.083552030056808</v>
      </c>
      <c r="O1258" s="768">
        <v>-132.86372787939808</v>
      </c>
      <c r="P1258" s="768">
        <v>-151.65479288133324</v>
      </c>
      <c r="Q1258" s="768">
        <v>1.5646311449205541</v>
      </c>
      <c r="R1258" s="768">
        <v>80.427850656613288</v>
      </c>
      <c r="S1258" s="768">
        <v>113.35688604873667</v>
      </c>
      <c r="T1258" s="4">
        <v>102.77888345551</v>
      </c>
      <c r="U1258" s="4">
        <v>115.60777805421043</v>
      </c>
      <c r="V1258" s="4">
        <v>167.86799999999974</v>
      </c>
      <c r="W1258" s="4">
        <v>198.67300000000012</v>
      </c>
      <c r="X1258" s="4">
        <v>223.84199999999998</v>
      </c>
      <c r="Y1258" s="4">
        <v>321.92256821934427</v>
      </c>
      <c r="Z1258" s="4">
        <v>261.197</v>
      </c>
      <c r="AA1258" s="4">
        <v>294.43599999999998</v>
      </c>
      <c r="AB1258" s="4">
        <v>199.04738265396679</v>
      </c>
      <c r="AC1258" s="4">
        <v>140.97226556363017</v>
      </c>
      <c r="AD1258" s="4">
        <v>79.063842915489261</v>
      </c>
      <c r="AE1258" s="4">
        <v>75.947774779801236</v>
      </c>
      <c r="AF1258" s="4">
        <v>73.992308554518871</v>
      </c>
      <c r="AG1258" s="4">
        <v>73.222205401280689</v>
      </c>
      <c r="AH1258" s="4">
        <v>73.642339947107104</v>
      </c>
      <c r="AI1258" s="4">
        <v>75.242942431774082</v>
      </c>
      <c r="AJ1258" s="4">
        <v>78.003797084255865</v>
      </c>
      <c r="AK1258" s="4">
        <v>81.89758462090083</v>
      </c>
      <c r="AL1258" s="4">
        <v>86.89252470800227</v>
      </c>
      <c r="AM1258" s="4">
        <v>92.954447483400202</v>
      </c>
      <c r="AN1258" s="4">
        <v>100.04840092536386</v>
      </c>
      <c r="AO1258" s="4">
        <v>108.13988226977975</v>
      </c>
      <c r="AP1258" s="4">
        <v>117.19576620192657</v>
      </c>
      <c r="AQ1258" s="4">
        <v>117.19576620192657</v>
      </c>
      <c r="AR1258" s="4">
        <v>117.19576620192657</v>
      </c>
      <c r="AS1258" s="4">
        <v>117.19576620192657</v>
      </c>
      <c r="AT1258" s="6"/>
      <c r="AU1258" s="6"/>
    </row>
    <row r="1259" spans="1:47" hidden="1" outlineLevel="1">
      <c r="A1259" s="308"/>
      <c r="B1259" s="819" t="s">
        <v>614</v>
      </c>
      <c r="C1259" s="811" t="s">
        <v>733</v>
      </c>
      <c r="D1259" s="312"/>
      <c r="E1259" s="312"/>
      <c r="F1259" s="312"/>
      <c r="G1259" s="312"/>
      <c r="H1259" s="312"/>
      <c r="I1259" s="312"/>
      <c r="J1259" s="312"/>
      <c r="K1259" s="821" t="s">
        <v>641</v>
      </c>
      <c r="L1259" s="821" t="s">
        <v>641</v>
      </c>
      <c r="M1259" s="821" t="s">
        <v>641</v>
      </c>
      <c r="N1259" s="821" t="s">
        <v>641</v>
      </c>
      <c r="O1259" s="821" t="s">
        <v>641</v>
      </c>
      <c r="P1259" s="821" t="s">
        <v>641</v>
      </c>
      <c r="Q1259" s="759">
        <v>-1.0103170570160935</v>
      </c>
      <c r="R1259" s="759">
        <v>50.40371321235402</v>
      </c>
      <c r="S1259" s="759">
        <v>0.40942329209708594</v>
      </c>
      <c r="T1259" s="313">
        <v>-9.3315924263116745E-2</v>
      </c>
      <c r="U1259" s="313">
        <v>0.12482033436619</v>
      </c>
      <c r="V1259" s="313">
        <v>0.45204762884797955</v>
      </c>
      <c r="W1259" s="313">
        <v>0.18350727952915635</v>
      </c>
      <c r="X1259" s="313">
        <v>0.12668555868185338</v>
      </c>
      <c r="Y1259" s="313">
        <v>0.43816874500471004</v>
      </c>
      <c r="Z1259" s="313">
        <v>-0.18863408227399725</v>
      </c>
      <c r="AA1259" s="313">
        <v>0.1272564386267836</v>
      </c>
      <c r="AB1259" s="313">
        <v>-0.32397063316317698</v>
      </c>
      <c r="AC1259" s="313">
        <v>-0.29176528882721908</v>
      </c>
      <c r="AD1259" s="313">
        <v>-0.43915320790668233</v>
      </c>
      <c r="AE1259" s="313">
        <v>-3.9412050069698279E-2</v>
      </c>
      <c r="AF1259" s="313">
        <v>-2.5747511773082654E-2</v>
      </c>
      <c r="AG1259" s="313">
        <v>-1.0407881147143194E-2</v>
      </c>
      <c r="AH1259" s="313">
        <v>5.7378023992031846E-3</v>
      </c>
      <c r="AI1259" s="313">
        <v>2.1734812959726568E-2</v>
      </c>
      <c r="AJ1259" s="313">
        <v>3.6692539702114502E-2</v>
      </c>
      <c r="AK1259" s="313">
        <v>4.9917923001095543E-2</v>
      </c>
      <c r="AL1259" s="313">
        <v>6.0990078159480765E-2</v>
      </c>
      <c r="AM1259" s="313">
        <v>6.9763455438413224E-2</v>
      </c>
      <c r="AN1259" s="313">
        <v>7.6316449981917334E-2</v>
      </c>
      <c r="AO1259" s="313">
        <v>8.087566887203046E-2</v>
      </c>
      <c r="AP1259" s="313">
        <v>8.3742313585609907E-2</v>
      </c>
      <c r="AQ1259" s="313">
        <v>8.3742313585609907E-2</v>
      </c>
      <c r="AR1259" s="313">
        <v>8.3742313585609907E-2</v>
      </c>
      <c r="AS1259" s="313">
        <v>8.3742313585609907E-2</v>
      </c>
      <c r="AT1259" s="312"/>
      <c r="AU1259" s="514"/>
    </row>
    <row r="1260" spans="1:47" hidden="1" outlineLevel="1">
      <c r="A1260" s="298"/>
      <c r="B1260" s="229" t="s">
        <v>885</v>
      </c>
      <c r="C1260" s="169" t="s">
        <v>732</v>
      </c>
      <c r="D1260" s="46"/>
      <c r="E1260" s="46"/>
      <c r="F1260" s="46"/>
      <c r="G1260" s="46"/>
      <c r="H1260" s="46"/>
      <c r="I1260" s="46"/>
      <c r="J1260" s="46"/>
      <c r="K1260" s="567">
        <v>-63.610784124674581</v>
      </c>
      <c r="L1260" s="567">
        <v>-60.968663328245555</v>
      </c>
      <c r="M1260" s="567">
        <v>-61.967044729357013</v>
      </c>
      <c r="N1260" s="567">
        <v>-67.683552030056802</v>
      </c>
      <c r="O1260" s="567">
        <v>-105.80372787939808</v>
      </c>
      <c r="P1260" s="567">
        <v>-123.91829288133324</v>
      </c>
      <c r="Q1260" s="567">
        <v>1.5646311449205541</v>
      </c>
      <c r="R1260" s="567">
        <v>80.427850656613288</v>
      </c>
      <c r="S1260" s="567">
        <v>123.35688604873667</v>
      </c>
      <c r="T1260" s="229">
        <v>104.77888345551</v>
      </c>
      <c r="U1260" s="229">
        <v>117.70777805421042</v>
      </c>
      <c r="V1260" s="229">
        <v>166.97699999999975</v>
      </c>
      <c r="W1260" s="229">
        <v>199.60400000000013</v>
      </c>
      <c r="X1260" s="229">
        <v>229.06699999999998</v>
      </c>
      <c r="Y1260" s="229">
        <v>328.32256821934425</v>
      </c>
      <c r="Z1260" s="229">
        <v>262.56700000000001</v>
      </c>
      <c r="AA1260" s="229">
        <v>286.39299999999997</v>
      </c>
      <c r="AB1260" s="229">
        <v>185.04738265396679</v>
      </c>
      <c r="AC1260" s="229">
        <v>126.97226556363017</v>
      </c>
      <c r="AD1260" s="229">
        <v>65.063842915489261</v>
      </c>
      <c r="AE1260" s="229">
        <v>61.947774779801236</v>
      </c>
      <c r="AF1260" s="229">
        <v>59.992308554518871</v>
      </c>
      <c r="AG1260" s="229">
        <v>59.222205401280689</v>
      </c>
      <c r="AH1260" s="229">
        <v>59.642339947107104</v>
      </c>
      <c r="AI1260" s="229">
        <v>61.242942431774082</v>
      </c>
      <c r="AJ1260" s="229">
        <v>64.003797084255865</v>
      </c>
      <c r="AK1260" s="229">
        <v>67.89758462090083</v>
      </c>
      <c r="AL1260" s="229">
        <v>72.89252470800227</v>
      </c>
      <c r="AM1260" s="229">
        <v>78.954447483400202</v>
      </c>
      <c r="AN1260" s="229">
        <v>86.048400925363865</v>
      </c>
      <c r="AO1260" s="229">
        <v>94.139882269779747</v>
      </c>
      <c r="AP1260" s="229">
        <v>103.19576620192657</v>
      </c>
      <c r="AQ1260" s="229">
        <v>103.19576620192657</v>
      </c>
      <c r="AR1260" s="229">
        <v>103.19576620192657</v>
      </c>
      <c r="AS1260" s="229">
        <v>103.19576620192657</v>
      </c>
      <c r="AT1260" s="2"/>
      <c r="AU1260" s="2"/>
    </row>
    <row r="1261" spans="1:47" hidden="1" outlineLevel="1">
      <c r="A1261" s="298"/>
      <c r="B1261" s="4"/>
      <c r="C1261" s="839"/>
      <c r="D1261" s="2"/>
      <c r="E1261" s="2"/>
      <c r="F1261" s="2"/>
      <c r="G1261" s="2"/>
      <c r="H1261" s="2"/>
      <c r="I1261" s="2"/>
      <c r="J1261" s="2"/>
      <c r="K1261" s="4"/>
      <c r="L1261" s="4"/>
      <c r="M1261" s="4"/>
      <c r="N1261" s="4"/>
      <c r="O1261" s="4"/>
      <c r="P1261" s="4"/>
      <c r="Q1261" s="4"/>
      <c r="R1261" s="4"/>
      <c r="S1261" s="4"/>
      <c r="T1261" s="4"/>
      <c r="U1261" s="4"/>
      <c r="V1261" s="4"/>
      <c r="W1261" s="4"/>
      <c r="X1261" s="4"/>
      <c r="Y1261" s="816">
        <v>348.19356821934423</v>
      </c>
      <c r="Z1261" s="816">
        <v>264.63499999999999</v>
      </c>
      <c r="AA1261" s="816">
        <v>303.82328872413797</v>
      </c>
      <c r="AB1261" s="816">
        <v>184.84777132063346</v>
      </c>
      <c r="AC1261" s="816">
        <v>126.97226556363017</v>
      </c>
      <c r="AD1261" s="816">
        <v>65.063842915489261</v>
      </c>
      <c r="AE1261" s="816">
        <v>61.947774779801236</v>
      </c>
      <c r="AF1261" s="816">
        <v>59.992308554518878</v>
      </c>
      <c r="AG1261" s="816">
        <v>59.222205401280689</v>
      </c>
      <c r="AH1261" s="816">
        <v>59.642339947107104</v>
      </c>
      <c r="AI1261" s="816">
        <v>61.24294243177409</v>
      </c>
      <c r="AJ1261" s="816">
        <v>64.003797084255865</v>
      </c>
      <c r="AK1261" s="816">
        <v>67.89758462090083</v>
      </c>
      <c r="AL1261" s="816">
        <v>72.89252470800227</v>
      </c>
      <c r="AM1261" s="816">
        <v>78.954447483400202</v>
      </c>
      <c r="AN1261" s="816">
        <v>86.048400925363865</v>
      </c>
      <c r="AO1261" s="816">
        <v>94.139882269779747</v>
      </c>
      <c r="AP1261" s="816">
        <v>0</v>
      </c>
      <c r="AQ1261" s="816">
        <v>0</v>
      </c>
      <c r="AR1261" s="816">
        <v>0</v>
      </c>
      <c r="AS1261" s="816">
        <v>0</v>
      </c>
      <c r="AT1261" s="2"/>
      <c r="AU1261" s="2"/>
    </row>
    <row r="1262" spans="1:47" hidden="1" outlineLevel="1">
      <c r="A1262" s="298"/>
      <c r="B1262" s="4"/>
      <c r="C1262" s="839"/>
      <c r="D1262" s="2"/>
      <c r="E1262" s="2"/>
      <c r="F1262" s="2"/>
      <c r="G1262" s="2"/>
      <c r="H1262" s="2"/>
      <c r="I1262" s="2"/>
      <c r="J1262" s="2"/>
      <c r="K1262" s="4"/>
      <c r="L1262" s="4"/>
      <c r="M1262" s="4"/>
      <c r="N1262" s="4"/>
      <c r="O1262" s="4"/>
      <c r="P1262" s="4"/>
      <c r="Q1262" s="4"/>
      <c r="R1262" s="4"/>
      <c r="S1262" s="4"/>
      <c r="T1262" s="4"/>
      <c r="U1262" s="4"/>
      <c r="V1262" s="4"/>
      <c r="W1262" s="4"/>
      <c r="X1262" s="4"/>
      <c r="Y1262" s="4"/>
      <c r="Z1262" s="4"/>
      <c r="AA1262" s="4"/>
      <c r="AB1262" s="4"/>
      <c r="AC1262" s="4"/>
      <c r="AD1262" s="4"/>
      <c r="AE1262" s="4"/>
      <c r="AF1262" s="4"/>
      <c r="AG1262" s="4"/>
      <c r="AH1262" s="4"/>
      <c r="AI1262" s="4"/>
      <c r="AJ1262" s="4"/>
      <c r="AK1262" s="4"/>
      <c r="AL1262" s="4"/>
      <c r="AM1262" s="4"/>
      <c r="AN1262" s="4"/>
      <c r="AO1262" s="4"/>
      <c r="AP1262" s="4"/>
      <c r="AQ1262" s="4"/>
      <c r="AR1262" s="4"/>
      <c r="AS1262" s="4"/>
      <c r="AT1262" s="2"/>
      <c r="AU1262" s="2"/>
    </row>
    <row r="1263" spans="1:47" hidden="1" outlineLevel="1">
      <c r="A1263" s="298"/>
      <c r="B1263" s="4" t="s">
        <v>905</v>
      </c>
      <c r="C1263" s="18" t="s">
        <v>732</v>
      </c>
      <c r="D1263" s="2"/>
      <c r="E1263" s="2"/>
      <c r="F1263" s="2"/>
      <c r="G1263" s="2"/>
      <c r="H1263" s="2"/>
      <c r="I1263" s="2"/>
      <c r="J1263" s="2"/>
      <c r="K1263" s="4"/>
      <c r="L1263" s="4"/>
      <c r="M1263" s="4"/>
      <c r="N1263" s="4"/>
      <c r="O1263" s="4"/>
      <c r="P1263" s="4"/>
      <c r="Q1263" s="4"/>
      <c r="R1263" s="4"/>
      <c r="S1263" s="4"/>
      <c r="T1263" s="4"/>
      <c r="U1263" s="4"/>
      <c r="V1263" s="768">
        <v>140</v>
      </c>
      <c r="W1263" s="768">
        <v>316.98200000000003</v>
      </c>
      <c r="X1263" s="768">
        <v>310</v>
      </c>
      <c r="Y1263" s="162">
        <v>340.91936640713431</v>
      </c>
      <c r="Z1263" s="836">
        <v>250</v>
      </c>
      <c r="AA1263" s="836">
        <v>74</v>
      </c>
      <c r="AB1263" s="4">
        <v>50.953968255076418</v>
      </c>
      <c r="AC1263" s="4">
        <v>62.819856703852608</v>
      </c>
      <c r="AD1263" s="4">
        <v>30.749665184369281</v>
      </c>
      <c r="AE1263" s="4">
        <v>0</v>
      </c>
      <c r="AF1263" s="4">
        <v>29.468193936144452</v>
      </c>
      <c r="AG1263" s="4">
        <v>30.75059104000275</v>
      </c>
      <c r="AH1263" s="4">
        <v>33.246651490497392</v>
      </c>
      <c r="AI1263" s="4">
        <v>36.896066292265111</v>
      </c>
      <c r="AJ1263" s="4">
        <v>41.635369969301678</v>
      </c>
      <c r="AK1263" s="4">
        <v>47.400386091866245</v>
      </c>
      <c r="AL1263" s="4">
        <v>54.128061997779902</v>
      </c>
      <c r="AM1263" s="4">
        <v>61.757815338612971</v>
      </c>
      <c r="AN1263" s="4">
        <v>70.232492746333719</v>
      </c>
      <c r="AO1263" s="4">
        <v>79.499022444233788</v>
      </c>
      <c r="AP1263" s="4">
        <v>89.508827369588147</v>
      </c>
      <c r="AQ1263" s="4">
        <v>89.508827369588147</v>
      </c>
      <c r="AR1263" s="4">
        <v>89.508827369588147</v>
      </c>
      <c r="AS1263" s="4">
        <v>89.508827369588147</v>
      </c>
      <c r="AT1263" s="2"/>
      <c r="AU1263" s="2"/>
    </row>
    <row r="1264" spans="1:47" hidden="1" outlineLevel="1">
      <c r="A1264" s="298"/>
      <c r="B1264" s="3" t="s">
        <v>907</v>
      </c>
      <c r="C1264" s="18" t="s">
        <v>732</v>
      </c>
      <c r="D1264" s="2"/>
      <c r="E1264" s="2"/>
      <c r="F1264" s="2"/>
      <c r="G1264" s="2"/>
      <c r="H1264" s="2"/>
      <c r="I1264" s="2"/>
      <c r="J1264" s="2"/>
      <c r="K1264" s="3"/>
      <c r="L1264" s="4"/>
      <c r="M1264" s="4"/>
      <c r="N1264" s="4"/>
      <c r="O1264" s="4"/>
      <c r="P1264" s="4"/>
      <c r="Q1264" s="4"/>
      <c r="R1264" s="4"/>
      <c r="S1264" s="4"/>
      <c r="T1264" s="4"/>
      <c r="U1264" s="4"/>
      <c r="V1264" s="2">
        <v>0.83843882690430549</v>
      </c>
      <c r="W1264" s="2">
        <v>1.5880543476082636</v>
      </c>
      <c r="X1264" s="2">
        <v>1.353315842089869</v>
      </c>
      <c r="Y1264" s="2">
        <v>1.0383671407546204</v>
      </c>
      <c r="Z1264" s="2">
        <v>0.95213793050916529</v>
      </c>
      <c r="AA1264" s="2">
        <v>0.25838620357341141</v>
      </c>
      <c r="AB1264" s="2">
        <v>0.27535633049378955</v>
      </c>
      <c r="AC1264" s="2">
        <v>0.49475258573197162</v>
      </c>
      <c r="AD1264" s="2">
        <v>0.47260757751904842</v>
      </c>
      <c r="AE1264" s="2">
        <v>0</v>
      </c>
      <c r="AF1264" s="2">
        <v>0.49119953284286116</v>
      </c>
      <c r="AG1264" s="2">
        <v>0.51924089674880236</v>
      </c>
      <c r="AH1264" s="2">
        <v>0.5574337210777055</v>
      </c>
      <c r="AI1264" s="2">
        <v>0.60245417393797007</v>
      </c>
      <c r="AJ1264" s="2">
        <v>0.65051406113440513</v>
      </c>
      <c r="AK1264" s="2">
        <v>0.69811593971304609</v>
      </c>
      <c r="AL1264" s="2">
        <v>0.74257356587125634</v>
      </c>
      <c r="AM1264" s="2">
        <v>0.78219552295134809</v>
      </c>
      <c r="AN1264" s="2">
        <v>0.8161975352366112</v>
      </c>
      <c r="AO1264" s="2">
        <v>0.84447760638164848</v>
      </c>
      <c r="AP1264" s="2">
        <v>0.86736918251513595</v>
      </c>
      <c r="AQ1264" s="2">
        <v>0.86736918251513595</v>
      </c>
      <c r="AR1264" s="2">
        <v>0.86736918251513595</v>
      </c>
      <c r="AS1264" s="2">
        <v>0.86736918251513595</v>
      </c>
      <c r="AT1264" s="2"/>
      <c r="AU1264" s="2"/>
    </row>
    <row r="1265" spans="1:47" hidden="1" outlineLevel="1">
      <c r="A1265" s="298"/>
      <c r="B1265" s="3" t="s">
        <v>908</v>
      </c>
      <c r="C1265" s="18" t="s">
        <v>732</v>
      </c>
      <c r="D1265" s="2"/>
      <c r="E1265" s="2"/>
      <c r="F1265" s="2"/>
      <c r="G1265" s="2"/>
      <c r="H1265" s="2"/>
      <c r="I1265" s="2"/>
      <c r="J1265" s="2"/>
      <c r="K1265" s="3"/>
      <c r="L1265" s="4"/>
      <c r="M1265" s="4"/>
      <c r="N1265" s="4"/>
      <c r="O1265" s="4"/>
      <c r="P1265" s="4"/>
      <c r="Q1265" s="4"/>
      <c r="R1265" s="4"/>
      <c r="S1265" s="4"/>
      <c r="T1265" s="4"/>
      <c r="U1265" s="4"/>
      <c r="V1265" s="2">
        <v>0.5887052689121568</v>
      </c>
      <c r="W1265" s="2">
        <v>1.5567790034084099</v>
      </c>
      <c r="X1265" s="2">
        <v>0.8929523019446195</v>
      </c>
      <c r="Y1265" s="2">
        <v>0.89295230194461928</v>
      </c>
      <c r="Z1265" s="2">
        <v>1.4118869586825407</v>
      </c>
      <c r="AA1265" s="831">
        <v>0.52065743555105259</v>
      </c>
      <c r="AB1265" s="587">
        <v>0.89</v>
      </c>
      <c r="AC1265" s="840">
        <v>0.89</v>
      </c>
      <c r="AD1265" s="840">
        <v>0.89</v>
      </c>
      <c r="AE1265" s="840">
        <v>0.89</v>
      </c>
      <c r="AF1265" s="840">
        <v>0.89</v>
      </c>
      <c r="AG1265" s="840">
        <v>0.89</v>
      </c>
      <c r="AH1265" s="840">
        <v>0.89</v>
      </c>
      <c r="AI1265" s="840">
        <v>0.89</v>
      </c>
      <c r="AJ1265" s="840">
        <v>0.89</v>
      </c>
      <c r="AK1265" s="840">
        <v>0.89</v>
      </c>
      <c r="AL1265" s="840">
        <v>0.89</v>
      </c>
      <c r="AM1265" s="840">
        <v>0.89</v>
      </c>
      <c r="AN1265" s="840">
        <v>0.89</v>
      </c>
      <c r="AO1265" s="841">
        <v>0.89</v>
      </c>
      <c r="AP1265" s="841">
        <v>0.89</v>
      </c>
      <c r="AQ1265" s="841">
        <v>0.89</v>
      </c>
      <c r="AR1265" s="841">
        <v>0.89</v>
      </c>
      <c r="AS1265" s="841">
        <v>0.89</v>
      </c>
      <c r="AT1265" s="2"/>
      <c r="AU1265" s="2"/>
    </row>
    <row r="1266" spans="1:47" hidden="1" outlineLevel="1">
      <c r="A1266" s="298"/>
      <c r="B1266" s="3" t="s">
        <v>638</v>
      </c>
      <c r="C1266" s="18"/>
      <c r="D1266" s="2"/>
      <c r="E1266" s="2"/>
      <c r="F1266" s="2"/>
      <c r="G1266" s="2"/>
      <c r="H1266" s="2"/>
      <c r="I1266" s="2"/>
      <c r="J1266" s="2"/>
      <c r="K1266" s="4"/>
      <c r="L1266" s="83"/>
      <c r="M1266" s="8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2"/>
      <c r="AU1266" s="2"/>
    </row>
    <row r="1267" spans="1:47" hidden="1" outlineLevel="1">
      <c r="A1267" s="298"/>
      <c r="B1267" s="3" t="s">
        <v>493</v>
      </c>
      <c r="C1267" s="18"/>
      <c r="D1267" s="2"/>
      <c r="E1267" s="2"/>
      <c r="F1267" s="2"/>
      <c r="G1267" s="2"/>
      <c r="H1267" s="2"/>
      <c r="I1267" s="2"/>
      <c r="J1267" s="2"/>
      <c r="K1267" s="2"/>
      <c r="L1267" s="83"/>
      <c r="M1267" s="83"/>
      <c r="N1267" s="3"/>
      <c r="O1267" s="3"/>
      <c r="P1267" s="3"/>
      <c r="Q1267" s="530">
        <v>0.5</v>
      </c>
      <c r="R1267" s="530">
        <v>0.5</v>
      </c>
      <c r="S1267" s="530">
        <v>0.5</v>
      </c>
      <c r="T1267" s="530">
        <v>0.5</v>
      </c>
      <c r="U1267" s="530">
        <v>0.5</v>
      </c>
      <c r="V1267" s="530">
        <v>0.5</v>
      </c>
      <c r="W1267" s="530">
        <v>0.5</v>
      </c>
      <c r="X1267" s="530">
        <v>0.5</v>
      </c>
      <c r="Y1267" s="530">
        <v>0.5</v>
      </c>
      <c r="Z1267" s="530">
        <v>0.5</v>
      </c>
      <c r="AA1267" s="530">
        <v>0.5</v>
      </c>
      <c r="AB1267" s="530">
        <v>0.5</v>
      </c>
      <c r="AC1267" s="530">
        <v>0.5</v>
      </c>
      <c r="AD1267" s="530">
        <v>0.5</v>
      </c>
      <c r="AE1267" s="530">
        <v>0.5</v>
      </c>
      <c r="AF1267" s="530">
        <v>0.5</v>
      </c>
      <c r="AG1267" s="530">
        <v>0.5</v>
      </c>
      <c r="AH1267" s="530">
        <v>0.5</v>
      </c>
      <c r="AI1267" s="530">
        <v>0.5</v>
      </c>
      <c r="AJ1267" s="530">
        <v>0.5</v>
      </c>
      <c r="AK1267" s="530">
        <v>0.5</v>
      </c>
      <c r="AL1267" s="530">
        <v>0.5</v>
      </c>
      <c r="AM1267" s="530">
        <v>0.5</v>
      </c>
      <c r="AN1267" s="530">
        <v>0.5</v>
      </c>
      <c r="AO1267" s="530">
        <v>0.5</v>
      </c>
      <c r="AP1267" s="530">
        <v>0.5</v>
      </c>
      <c r="AQ1267" s="530">
        <v>0.5</v>
      </c>
      <c r="AR1267" s="530">
        <v>0.5</v>
      </c>
      <c r="AS1267" s="530">
        <v>0.5</v>
      </c>
      <c r="AT1267" s="2"/>
      <c r="AU1267" s="2"/>
    </row>
    <row r="1268" spans="1:47" hidden="1" outlineLevel="1">
      <c r="A1268" s="298"/>
      <c r="B1268" s="184" t="s">
        <v>494</v>
      </c>
      <c r="C1268" s="45"/>
      <c r="D1268" s="46"/>
      <c r="E1268" s="46"/>
      <c r="F1268" s="46"/>
      <c r="G1268" s="46"/>
      <c r="H1268" s="46"/>
      <c r="I1268" s="46"/>
      <c r="J1268" s="46"/>
      <c r="K1268" s="46"/>
      <c r="L1268" s="184"/>
      <c r="M1268" s="184"/>
      <c r="N1268" s="185"/>
      <c r="O1268" s="184"/>
      <c r="P1268" s="184"/>
      <c r="Q1268" s="186"/>
      <c r="R1268" s="186"/>
      <c r="S1268" s="568">
        <v>130</v>
      </c>
      <c r="T1268" s="456">
        <v>100</v>
      </c>
      <c r="U1268" s="456">
        <v>60</v>
      </c>
      <c r="V1268" s="456">
        <v>70</v>
      </c>
      <c r="W1268" s="456">
        <v>108</v>
      </c>
      <c r="X1268" s="456">
        <v>155</v>
      </c>
      <c r="Y1268" s="456">
        <v>165</v>
      </c>
      <c r="Z1268" s="228">
        <v>125</v>
      </c>
      <c r="AA1268" s="228">
        <v>37</v>
      </c>
      <c r="AB1268" s="228">
        <v>25.476984127538209</v>
      </c>
      <c r="AC1268" s="228">
        <v>31.409928351926304</v>
      </c>
      <c r="AD1268" s="228">
        <v>15.37483259218464</v>
      </c>
      <c r="AE1268" s="228">
        <v>14.726703378991996</v>
      </c>
      <c r="AF1268" s="228">
        <v>14.734096968072226</v>
      </c>
      <c r="AG1268" s="228">
        <v>15.375295520001375</v>
      </c>
      <c r="AH1268" s="228">
        <v>16.623325745248696</v>
      </c>
      <c r="AI1268" s="228">
        <v>18.448033146132556</v>
      </c>
      <c r="AJ1268" s="228">
        <v>20.817684984650839</v>
      </c>
      <c r="AK1268" s="530">
        <v>0</v>
      </c>
      <c r="AL1268" s="530">
        <v>0</v>
      </c>
      <c r="AM1268" s="530">
        <v>0</v>
      </c>
      <c r="AN1268" s="530">
        <v>0</v>
      </c>
      <c r="AO1268" s="530">
        <v>0</v>
      </c>
      <c r="AP1268" s="530">
        <v>0</v>
      </c>
      <c r="AQ1268" s="530">
        <v>0</v>
      </c>
      <c r="AR1268" s="530">
        <v>0</v>
      </c>
      <c r="AS1268" s="530">
        <v>0</v>
      </c>
      <c r="AT1268" s="2"/>
      <c r="AU1268" s="2"/>
    </row>
    <row r="1269" spans="1:47" hidden="1" outlineLevel="1">
      <c r="A1269" s="298"/>
      <c r="B1269" s="2"/>
      <c r="C1269" s="18"/>
      <c r="D1269" s="18"/>
      <c r="E1269" s="18"/>
      <c r="F1269" s="18"/>
      <c r="G1269" s="18"/>
      <c r="H1269" s="18"/>
      <c r="I1269" s="18"/>
      <c r="J1269" s="18"/>
      <c r="K1269" s="3"/>
      <c r="L1269" s="3"/>
      <c r="M1269" s="3"/>
      <c r="N1269" s="3"/>
      <c r="O1269" s="3"/>
      <c r="P1269" s="3"/>
      <c r="Q1269" s="3"/>
      <c r="R1269" s="3"/>
      <c r="S1269" s="3"/>
      <c r="T1269" s="3"/>
      <c r="U1269" s="3"/>
      <c r="V1269" s="3"/>
      <c r="W1269" s="3"/>
      <c r="X1269" s="3"/>
      <c r="Y1269" s="3"/>
      <c r="Z1269" s="3"/>
      <c r="AA1269" s="3"/>
      <c r="AB1269" s="3"/>
      <c r="AC1269" s="3"/>
      <c r="AD1269" s="3"/>
      <c r="AE1269" s="3"/>
      <c r="AF1269" s="3"/>
      <c r="AG1269" s="3"/>
      <c r="AH1269" s="3"/>
      <c r="AI1269" s="3"/>
      <c r="AJ1269" s="3"/>
      <c r="AK1269" s="3"/>
      <c r="AL1269" s="3"/>
      <c r="AM1269" s="3"/>
      <c r="AN1269" s="3"/>
      <c r="AO1269" s="3"/>
      <c r="AP1269" s="3"/>
      <c r="AQ1269" s="3"/>
      <c r="AR1269" s="3"/>
      <c r="AS1269" s="3"/>
      <c r="AT1269" s="2"/>
      <c r="AU1269" s="2"/>
    </row>
    <row r="1270" spans="1:47" ht="18" hidden="1" outlineLevel="1">
      <c r="A1270" s="299" t="s">
        <v>1163</v>
      </c>
      <c r="B1270" s="740" t="s">
        <v>1100</v>
      </c>
      <c r="C1270" s="741"/>
      <c r="D1270" s="742"/>
      <c r="E1270" s="742"/>
      <c r="F1270" s="742"/>
      <c r="G1270" s="742"/>
      <c r="H1270" s="742"/>
      <c r="I1270" s="742"/>
      <c r="J1270" s="742"/>
      <c r="K1270" s="742"/>
      <c r="L1270" s="742"/>
      <c r="M1270" s="742"/>
      <c r="N1270" s="742"/>
      <c r="O1270" s="742"/>
      <c r="P1270" s="742"/>
      <c r="Q1270" s="742"/>
      <c r="R1270" s="742"/>
      <c r="S1270" s="742"/>
      <c r="T1270" s="742"/>
      <c r="U1270" s="742"/>
      <c r="V1270" s="742"/>
      <c r="W1270" s="742"/>
      <c r="X1270" s="742"/>
      <c r="Y1270" s="742"/>
      <c r="Z1270" s="742"/>
      <c r="AA1270" s="742"/>
      <c r="AB1270" s="742"/>
      <c r="AC1270" s="742"/>
      <c r="AD1270" s="742"/>
      <c r="AE1270" s="742"/>
      <c r="AF1270" s="742"/>
      <c r="AG1270" s="742"/>
      <c r="AH1270" s="742"/>
      <c r="AI1270" s="742"/>
      <c r="AJ1270" s="742"/>
      <c r="AK1270" s="742"/>
      <c r="AL1270" s="742"/>
      <c r="AM1270" s="742"/>
      <c r="AN1270" s="742"/>
      <c r="AO1270" s="742"/>
      <c r="AP1270" s="742"/>
      <c r="AQ1270" s="742"/>
      <c r="AR1270" s="742"/>
      <c r="AS1270" s="742"/>
      <c r="AT1270" s="2"/>
      <c r="AU1270" s="2"/>
    </row>
    <row r="1271" spans="1:47" hidden="1" outlineLevel="1">
      <c r="A1271" s="298"/>
      <c r="B1271" s="6"/>
      <c r="C1271" s="18"/>
      <c r="D1271" s="18"/>
      <c r="E1271" s="18"/>
      <c r="F1271" s="18"/>
      <c r="G1271" s="18"/>
      <c r="H1271" s="18"/>
      <c r="I1271" s="18"/>
      <c r="J1271" s="18"/>
      <c r="K1271" s="2"/>
      <c r="L1271" s="2"/>
      <c r="M1271" s="2"/>
      <c r="N1271" s="2"/>
      <c r="O1271" s="2"/>
      <c r="P1271" s="2"/>
      <c r="Q1271" s="2"/>
      <c r="R1271" s="2"/>
      <c r="S1271" s="2"/>
      <c r="T1271" s="2"/>
      <c r="U1271" s="2"/>
      <c r="V1271" s="2"/>
      <c r="W1271" s="2"/>
      <c r="X1271" s="2"/>
      <c r="Y1271" s="2"/>
      <c r="Z1271" s="5"/>
      <c r="AA1271" s="2"/>
      <c r="AB1271" s="2"/>
      <c r="AC1271" s="2"/>
      <c r="AD1271" s="2"/>
      <c r="AE1271" s="2"/>
      <c r="AF1271" s="2"/>
      <c r="AG1271" s="2"/>
      <c r="AH1271" s="2"/>
      <c r="AI1271" s="2"/>
      <c r="AJ1271" s="2"/>
      <c r="AK1271" s="2"/>
      <c r="AL1271" s="2"/>
      <c r="AM1271" s="2"/>
      <c r="AN1271" s="2"/>
      <c r="AO1271" s="2"/>
      <c r="AP1271" s="2"/>
      <c r="AQ1271" s="2"/>
      <c r="AR1271" s="2"/>
      <c r="AS1271" s="2"/>
      <c r="AT1271" s="2"/>
      <c r="AU1271" s="2"/>
    </row>
    <row r="1272" spans="1:47" hidden="1" outlineLevel="1">
      <c r="A1272" s="298"/>
      <c r="B1272" s="6" t="s">
        <v>237</v>
      </c>
      <c r="C1272" s="21"/>
      <c r="D1272" s="21"/>
      <c r="E1272" s="21"/>
      <c r="F1272" s="21"/>
      <c r="G1272" s="21"/>
      <c r="H1272" s="21"/>
      <c r="I1272" s="21"/>
      <c r="J1272" s="21"/>
      <c r="K1272" s="70"/>
      <c r="L1272" s="70"/>
      <c r="M1272" s="70"/>
      <c r="N1272" s="70"/>
      <c r="O1272" s="70"/>
      <c r="P1272" s="70"/>
      <c r="Q1272" s="70"/>
      <c r="R1272" s="70"/>
      <c r="S1272" s="70"/>
      <c r="T1272" s="70"/>
      <c r="U1272" s="70"/>
      <c r="V1272" s="70"/>
      <c r="W1272" s="70"/>
      <c r="X1272" s="70"/>
      <c r="Y1272" s="70"/>
      <c r="Z1272" s="70"/>
      <c r="AA1272" s="70"/>
      <c r="AB1272" s="70"/>
      <c r="AC1272" s="70"/>
      <c r="AD1272" s="70"/>
      <c r="AE1272" s="70"/>
      <c r="AF1272" s="70"/>
      <c r="AG1272" s="70"/>
      <c r="AH1272" s="70"/>
      <c r="AI1272" s="70"/>
      <c r="AJ1272" s="70"/>
      <c r="AK1272" s="70"/>
      <c r="AL1272" s="70"/>
      <c r="AM1272" s="70"/>
      <c r="AN1272" s="70"/>
      <c r="AO1272" s="70"/>
      <c r="AP1272" s="70"/>
      <c r="AQ1272" s="70"/>
      <c r="AR1272" s="70"/>
      <c r="AS1272" s="70"/>
      <c r="AT1272" s="2"/>
      <c r="AU1272" s="2"/>
    </row>
    <row r="1273" spans="1:47" hidden="1" outlineLevel="1">
      <c r="A1273" s="298"/>
      <c r="B1273" s="55" t="s">
        <v>73</v>
      </c>
      <c r="C1273" s="18" t="s">
        <v>732</v>
      </c>
      <c r="D1273" s="18"/>
      <c r="E1273" s="18"/>
      <c r="F1273" s="18"/>
      <c r="G1273" s="18"/>
      <c r="H1273" s="18"/>
      <c r="I1273" s="18"/>
      <c r="J1273" s="18"/>
      <c r="K1273" s="67">
        <v>0</v>
      </c>
      <c r="L1273" s="67">
        <v>492</v>
      </c>
      <c r="M1273" s="67">
        <v>1080</v>
      </c>
      <c r="N1273" s="67">
        <v>908</v>
      </c>
      <c r="O1273" s="67">
        <v>726</v>
      </c>
      <c r="P1273" s="67">
        <v>734</v>
      </c>
      <c r="Q1273" s="67">
        <v>830</v>
      </c>
      <c r="R1273" s="67">
        <v>1000</v>
      </c>
      <c r="S1273" s="67">
        <v>917</v>
      </c>
      <c r="T1273" s="67">
        <v>989</v>
      </c>
      <c r="U1273" s="67">
        <v>770</v>
      </c>
      <c r="V1273" s="67">
        <v>814</v>
      </c>
      <c r="W1273" s="67">
        <v>860</v>
      </c>
      <c r="X1273" s="67">
        <v>1011</v>
      </c>
      <c r="Y1273" s="67">
        <v>1045</v>
      </c>
      <c r="Z1273" s="569">
        <v>0</v>
      </c>
      <c r="AA1273" s="569">
        <v>0</v>
      </c>
      <c r="AB1273" s="569">
        <v>0</v>
      </c>
      <c r="AC1273" s="569">
        <v>0</v>
      </c>
      <c r="AD1273" s="569">
        <v>0</v>
      </c>
      <c r="AE1273" s="569">
        <v>0</v>
      </c>
      <c r="AF1273" s="569">
        <v>0</v>
      </c>
      <c r="AG1273" s="569">
        <v>0</v>
      </c>
      <c r="AH1273" s="569">
        <v>0</v>
      </c>
      <c r="AI1273" s="569">
        <v>0</v>
      </c>
      <c r="AJ1273" s="569">
        <v>0</v>
      </c>
      <c r="AK1273" s="569">
        <v>0</v>
      </c>
      <c r="AL1273" s="569">
        <v>0</v>
      </c>
      <c r="AM1273" s="569">
        <v>0</v>
      </c>
      <c r="AN1273" s="569">
        <v>0</v>
      </c>
      <c r="AO1273" s="569">
        <v>0</v>
      </c>
      <c r="AP1273" s="569">
        <v>0</v>
      </c>
      <c r="AQ1273" s="569">
        <v>0</v>
      </c>
      <c r="AR1273" s="569">
        <v>0</v>
      </c>
      <c r="AS1273" s="569">
        <v>0</v>
      </c>
      <c r="AT1273" s="2"/>
      <c r="AU1273" s="2"/>
    </row>
    <row r="1274" spans="1:47" hidden="1" outlineLevel="1">
      <c r="A1274" s="298"/>
      <c r="B1274" s="55" t="s">
        <v>75</v>
      </c>
      <c r="C1274" s="18" t="s">
        <v>732</v>
      </c>
      <c r="D1274" s="18"/>
      <c r="E1274" s="18"/>
      <c r="F1274" s="18"/>
      <c r="G1274" s="18"/>
      <c r="H1274" s="18"/>
      <c r="I1274" s="18"/>
      <c r="J1274" s="18"/>
      <c r="K1274" s="67">
        <v>0</v>
      </c>
      <c r="L1274" s="67">
        <v>0</v>
      </c>
      <c r="M1274" s="67">
        <v>0</v>
      </c>
      <c r="N1274" s="67">
        <v>64</v>
      </c>
      <c r="O1274" s="67">
        <v>150</v>
      </c>
      <c r="P1274" s="67">
        <v>252</v>
      </c>
      <c r="Q1274" s="67">
        <v>295</v>
      </c>
      <c r="R1274" s="67">
        <v>348</v>
      </c>
      <c r="S1274" s="67">
        <v>346</v>
      </c>
      <c r="T1274" s="67">
        <v>390</v>
      </c>
      <c r="U1274" s="67">
        <v>293</v>
      </c>
      <c r="V1274" s="67">
        <v>299</v>
      </c>
      <c r="W1274" s="67">
        <v>304.98</v>
      </c>
      <c r="X1274" s="67">
        <v>335.47800000000007</v>
      </c>
      <c r="Y1274" s="67">
        <v>397</v>
      </c>
      <c r="Z1274" s="67"/>
      <c r="AA1274" s="67"/>
      <c r="AB1274" s="67"/>
      <c r="AC1274" s="67"/>
      <c r="AD1274" s="67"/>
      <c r="AE1274" s="67"/>
      <c r="AF1274" s="67"/>
      <c r="AG1274" s="67"/>
      <c r="AH1274" s="67"/>
      <c r="AI1274" s="67"/>
      <c r="AJ1274" s="67"/>
      <c r="AK1274" s="67"/>
      <c r="AL1274" s="67"/>
      <c r="AM1274" s="67"/>
      <c r="AN1274" s="67"/>
      <c r="AO1274" s="67"/>
      <c r="AP1274" s="67"/>
      <c r="AQ1274" s="67"/>
      <c r="AR1274" s="67"/>
      <c r="AS1274" s="67"/>
      <c r="AT1274" s="2"/>
      <c r="AU1274" s="2"/>
    </row>
    <row r="1275" spans="1:47" hidden="1" outlineLevel="1">
      <c r="A1275" s="298"/>
      <c r="B1275" s="55" t="s">
        <v>767</v>
      </c>
      <c r="C1275" s="18" t="s">
        <v>732</v>
      </c>
      <c r="D1275" s="18"/>
      <c r="E1275" s="18"/>
      <c r="F1275" s="18"/>
      <c r="G1275" s="18"/>
      <c r="H1275" s="18"/>
      <c r="I1275" s="18"/>
      <c r="J1275" s="18"/>
      <c r="K1275" s="70"/>
      <c r="L1275" s="70"/>
      <c r="M1275" s="70"/>
      <c r="N1275" s="70"/>
      <c r="O1275" s="70"/>
      <c r="P1275" s="70"/>
      <c r="Q1275" s="67">
        <v>0</v>
      </c>
      <c r="R1275" s="67">
        <v>49</v>
      </c>
      <c r="S1275" s="67">
        <v>88</v>
      </c>
      <c r="T1275" s="67">
        <v>201</v>
      </c>
      <c r="U1275" s="67">
        <v>234</v>
      </c>
      <c r="V1275" s="67">
        <v>141</v>
      </c>
      <c r="W1275" s="67">
        <v>128</v>
      </c>
      <c r="X1275" s="67">
        <v>162</v>
      </c>
      <c r="Y1275" s="67">
        <v>278</v>
      </c>
      <c r="Z1275" s="67">
        <v>504</v>
      </c>
      <c r="AA1275" s="67">
        <v>827</v>
      </c>
      <c r="AB1275" s="67">
        <v>0</v>
      </c>
      <c r="AC1275" s="67">
        <v>0</v>
      </c>
      <c r="AD1275" s="67">
        <v>0</v>
      </c>
      <c r="AE1275" s="67">
        <v>0</v>
      </c>
      <c r="AF1275" s="67">
        <v>0</v>
      </c>
      <c r="AG1275" s="67">
        <v>0</v>
      </c>
      <c r="AH1275" s="67">
        <v>0</v>
      </c>
      <c r="AI1275" s="67">
        <v>0</v>
      </c>
      <c r="AJ1275" s="67">
        <v>0</v>
      </c>
      <c r="AK1275" s="67">
        <v>0</v>
      </c>
      <c r="AL1275" s="67">
        <v>0</v>
      </c>
      <c r="AM1275" s="67">
        <v>0</v>
      </c>
      <c r="AN1275" s="67">
        <v>0</v>
      </c>
      <c r="AO1275" s="67">
        <v>0</v>
      </c>
      <c r="AP1275" s="67">
        <v>0</v>
      </c>
      <c r="AQ1275" s="67">
        <v>0</v>
      </c>
      <c r="AR1275" s="67">
        <v>0</v>
      </c>
      <c r="AS1275" s="67">
        <v>0</v>
      </c>
      <c r="AT1275" s="2"/>
      <c r="AU1275" s="2"/>
    </row>
    <row r="1276" spans="1:47" hidden="1" outlineLevel="1">
      <c r="A1276" s="298"/>
      <c r="B1276" s="55" t="s">
        <v>771</v>
      </c>
      <c r="C1276" s="18" t="s">
        <v>732</v>
      </c>
      <c r="D1276" s="18"/>
      <c r="E1276" s="18"/>
      <c r="F1276" s="18"/>
      <c r="G1276" s="18"/>
      <c r="H1276" s="18"/>
      <c r="I1276" s="18"/>
      <c r="J1276" s="18"/>
      <c r="K1276" s="70"/>
      <c r="L1276" s="70"/>
      <c r="M1276" s="70"/>
      <c r="N1276" s="70"/>
      <c r="O1276" s="70"/>
      <c r="P1276" s="70"/>
      <c r="Q1276" s="67">
        <v>0</v>
      </c>
      <c r="R1276" s="67">
        <v>0</v>
      </c>
      <c r="S1276" s="67">
        <v>102</v>
      </c>
      <c r="T1276" s="67">
        <v>182</v>
      </c>
      <c r="U1276" s="67">
        <v>239</v>
      </c>
      <c r="V1276" s="67">
        <v>144</v>
      </c>
      <c r="W1276" s="67">
        <v>203.01999999999998</v>
      </c>
      <c r="X1276" s="67">
        <v>231.01999999999998</v>
      </c>
      <c r="Y1276" s="67">
        <v>179.01999999999998</v>
      </c>
      <c r="Z1276" s="67"/>
      <c r="AA1276" s="67"/>
      <c r="AB1276" s="67"/>
      <c r="AC1276" s="67"/>
      <c r="AD1276" s="67"/>
      <c r="AE1276" s="67"/>
      <c r="AF1276" s="67"/>
      <c r="AG1276" s="67"/>
      <c r="AH1276" s="67"/>
      <c r="AI1276" s="67"/>
      <c r="AJ1276" s="67"/>
      <c r="AK1276" s="67"/>
      <c r="AL1276" s="67"/>
      <c r="AM1276" s="67"/>
      <c r="AN1276" s="67"/>
      <c r="AO1276" s="67"/>
      <c r="AP1276" s="67"/>
      <c r="AQ1276" s="67"/>
      <c r="AR1276" s="67"/>
      <c r="AS1276" s="67"/>
      <c r="AT1276" s="2"/>
      <c r="AU1276" s="2"/>
    </row>
    <row r="1277" spans="1:47" hidden="1" outlineLevel="1">
      <c r="A1277" s="298"/>
      <c r="B1277" s="55" t="s">
        <v>125</v>
      </c>
      <c r="C1277" s="18"/>
      <c r="D1277" s="18"/>
      <c r="E1277" s="18"/>
      <c r="F1277" s="18"/>
      <c r="G1277" s="18"/>
      <c r="H1277" s="18"/>
      <c r="I1277" s="18"/>
      <c r="J1277" s="18"/>
      <c r="K1277" s="70"/>
      <c r="L1277" s="70"/>
      <c r="M1277" s="70"/>
      <c r="N1277" s="70"/>
      <c r="O1277" s="70"/>
      <c r="P1277" s="70"/>
      <c r="Q1277" s="67"/>
      <c r="R1277" s="67"/>
      <c r="S1277" s="67"/>
      <c r="T1277" s="67"/>
      <c r="U1277" s="67"/>
      <c r="V1277" s="67"/>
      <c r="W1277" s="67"/>
      <c r="X1277" s="67"/>
      <c r="Y1277" s="67"/>
      <c r="Z1277" s="67"/>
      <c r="AA1277" s="67">
        <v>503</v>
      </c>
      <c r="AB1277" s="67">
        <v>523.12</v>
      </c>
      <c r="AC1277" s="67">
        <v>544.04480000000001</v>
      </c>
      <c r="AD1277" s="67">
        <v>560.36614400000019</v>
      </c>
      <c r="AE1277" s="67">
        <v>577.17712832000018</v>
      </c>
      <c r="AF1277" s="67">
        <v>594.49244216960005</v>
      </c>
      <c r="AG1277" s="67">
        <v>612.3272154346879</v>
      </c>
      <c r="AH1277" s="67">
        <v>630.69703189772872</v>
      </c>
      <c r="AI1277" s="67">
        <v>649.61794285466044</v>
      </c>
      <c r="AJ1277" s="67">
        <v>669.10648114030016</v>
      </c>
      <c r="AK1277" s="67">
        <v>689.17967557450902</v>
      </c>
      <c r="AL1277" s="67">
        <v>709.85506584174414</v>
      </c>
      <c r="AM1277" s="67">
        <v>731.15071781699635</v>
      </c>
      <c r="AN1277" s="67">
        <v>753.08523935150606</v>
      </c>
      <c r="AO1277" s="67">
        <v>775.67779653205105</v>
      </c>
      <c r="AP1277" s="67">
        <v>798.9481304280124</v>
      </c>
      <c r="AQ1277" s="67">
        <v>798.9481304280124</v>
      </c>
      <c r="AR1277" s="67">
        <v>798.9481304280124</v>
      </c>
      <c r="AS1277" s="67">
        <v>798.9481304280124</v>
      </c>
      <c r="AT1277" s="2"/>
      <c r="AU1277" s="2"/>
    </row>
    <row r="1278" spans="1:47" hidden="1" outlineLevel="1">
      <c r="A1278" s="298"/>
      <c r="B1278" s="55" t="s">
        <v>449</v>
      </c>
      <c r="C1278" s="18"/>
      <c r="D1278" s="18"/>
      <c r="E1278" s="18"/>
      <c r="F1278" s="18"/>
      <c r="G1278" s="18"/>
      <c r="H1278" s="18"/>
      <c r="I1278" s="18"/>
      <c r="J1278" s="18"/>
      <c r="K1278" s="70"/>
      <c r="L1278" s="70"/>
      <c r="M1278" s="70"/>
      <c r="N1278" s="70"/>
      <c r="O1278" s="70"/>
      <c r="P1278" s="70"/>
      <c r="Q1278" s="67"/>
      <c r="R1278" s="67"/>
      <c r="S1278" s="67"/>
      <c r="T1278" s="67"/>
      <c r="U1278" s="67"/>
      <c r="V1278" s="67"/>
      <c r="W1278" s="67"/>
      <c r="X1278" s="67"/>
      <c r="Y1278" s="67"/>
      <c r="Z1278" s="67"/>
      <c r="AA1278" s="67"/>
      <c r="AB1278" s="67"/>
      <c r="AC1278" s="67"/>
      <c r="AD1278" s="67"/>
      <c r="AE1278" s="67"/>
      <c r="AF1278" s="67"/>
      <c r="AG1278" s="67"/>
      <c r="AH1278" s="67"/>
      <c r="AI1278" s="67"/>
      <c r="AJ1278" s="67"/>
      <c r="AK1278" s="67"/>
      <c r="AL1278" s="67"/>
      <c r="AM1278" s="67"/>
      <c r="AN1278" s="67"/>
      <c r="AO1278" s="67"/>
      <c r="AP1278" s="67"/>
      <c r="AQ1278" s="67"/>
      <c r="AR1278" s="67"/>
      <c r="AS1278" s="67"/>
      <c r="AT1278" s="2"/>
      <c r="AU1278" s="2"/>
    </row>
    <row r="1279" spans="1:47" hidden="1" outlineLevel="1">
      <c r="A1279" s="298"/>
      <c r="B1279" s="208" t="s">
        <v>782</v>
      </c>
      <c r="C1279" s="209" t="s">
        <v>732</v>
      </c>
      <c r="D1279" s="209"/>
      <c r="E1279" s="209"/>
      <c r="F1279" s="209"/>
      <c r="G1279" s="209"/>
      <c r="H1279" s="209"/>
      <c r="I1279" s="209"/>
      <c r="J1279" s="209"/>
      <c r="K1279" s="210">
        <v>0</v>
      </c>
      <c r="L1279" s="210">
        <v>492</v>
      </c>
      <c r="M1279" s="210">
        <v>1080</v>
      </c>
      <c r="N1279" s="210">
        <v>972</v>
      </c>
      <c r="O1279" s="210">
        <v>876</v>
      </c>
      <c r="P1279" s="210">
        <v>986</v>
      </c>
      <c r="Q1279" s="210">
        <v>1125</v>
      </c>
      <c r="R1279" s="210">
        <v>1397</v>
      </c>
      <c r="S1279" s="210">
        <v>1453</v>
      </c>
      <c r="T1279" s="210">
        <v>1762</v>
      </c>
      <c r="U1279" s="210">
        <v>1536</v>
      </c>
      <c r="V1279" s="210">
        <v>1398</v>
      </c>
      <c r="W1279" s="210">
        <v>1496</v>
      </c>
      <c r="X1279" s="210">
        <v>1739.498</v>
      </c>
      <c r="Y1279" s="210">
        <v>1899.02</v>
      </c>
      <c r="Z1279" s="210">
        <v>504</v>
      </c>
      <c r="AA1279" s="210">
        <v>827</v>
      </c>
      <c r="AB1279" s="210">
        <v>0</v>
      </c>
      <c r="AC1279" s="210">
        <v>0</v>
      </c>
      <c r="AD1279" s="210">
        <v>0</v>
      </c>
      <c r="AE1279" s="210">
        <v>0</v>
      </c>
      <c r="AF1279" s="210">
        <v>0</v>
      </c>
      <c r="AG1279" s="210">
        <v>0</v>
      </c>
      <c r="AH1279" s="210">
        <v>0</v>
      </c>
      <c r="AI1279" s="210">
        <v>0</v>
      </c>
      <c r="AJ1279" s="210">
        <v>0</v>
      </c>
      <c r="AK1279" s="210">
        <v>0</v>
      </c>
      <c r="AL1279" s="210">
        <v>0</v>
      </c>
      <c r="AM1279" s="210">
        <v>0</v>
      </c>
      <c r="AN1279" s="210">
        <v>0</v>
      </c>
      <c r="AO1279" s="210">
        <v>0</v>
      </c>
      <c r="AP1279" s="210">
        <v>0</v>
      </c>
      <c r="AQ1279" s="210">
        <v>0</v>
      </c>
      <c r="AR1279" s="210">
        <v>0</v>
      </c>
      <c r="AS1279" s="210">
        <v>0</v>
      </c>
      <c r="AT1279" s="2"/>
      <c r="AU1279" s="2"/>
    </row>
    <row r="1280" spans="1:47" hidden="1" outlineLevel="1">
      <c r="A1280" s="298"/>
      <c r="B1280" s="55" t="s">
        <v>784</v>
      </c>
      <c r="C1280" s="18" t="s">
        <v>732</v>
      </c>
      <c r="D1280" s="18"/>
      <c r="E1280" s="18"/>
      <c r="F1280" s="18"/>
      <c r="G1280" s="18"/>
      <c r="H1280" s="18"/>
      <c r="I1280" s="18"/>
      <c r="J1280" s="18"/>
      <c r="K1280" s="67">
        <v>0</v>
      </c>
      <c r="L1280" s="67">
        <v>0</v>
      </c>
      <c r="M1280" s="67">
        <v>294</v>
      </c>
      <c r="N1280" s="67">
        <v>548</v>
      </c>
      <c r="O1280" s="67">
        <v>574</v>
      </c>
      <c r="P1280" s="67">
        <v>625</v>
      </c>
      <c r="Q1280" s="67">
        <v>620</v>
      </c>
      <c r="R1280" s="67">
        <v>573</v>
      </c>
      <c r="S1280" s="67">
        <v>562</v>
      </c>
      <c r="T1280" s="67">
        <v>547</v>
      </c>
      <c r="U1280" s="67">
        <v>529</v>
      </c>
      <c r="V1280" s="67">
        <v>516</v>
      </c>
      <c r="W1280" s="67">
        <v>501</v>
      </c>
      <c r="X1280" s="67">
        <v>164</v>
      </c>
      <c r="Y1280" s="67">
        <v>0</v>
      </c>
      <c r="Z1280" s="67">
        <v>0</v>
      </c>
      <c r="AA1280" s="67">
        <v>0</v>
      </c>
      <c r="AB1280" s="67">
        <v>0</v>
      </c>
      <c r="AC1280" s="67">
        <v>0</v>
      </c>
      <c r="AD1280" s="67">
        <v>0</v>
      </c>
      <c r="AE1280" s="67">
        <v>0</v>
      </c>
      <c r="AF1280" s="67">
        <v>0</v>
      </c>
      <c r="AG1280" s="67">
        <v>0</v>
      </c>
      <c r="AH1280" s="67">
        <v>0</v>
      </c>
      <c r="AI1280" s="67">
        <v>0</v>
      </c>
      <c r="AJ1280" s="67">
        <v>0</v>
      </c>
      <c r="AK1280" s="67">
        <v>0</v>
      </c>
      <c r="AL1280" s="67">
        <v>0</v>
      </c>
      <c r="AM1280" s="67">
        <v>0</v>
      </c>
      <c r="AN1280" s="67">
        <v>0</v>
      </c>
      <c r="AO1280" s="67">
        <v>0</v>
      </c>
      <c r="AP1280" s="67">
        <v>0</v>
      </c>
      <c r="AQ1280" s="67">
        <v>0</v>
      </c>
      <c r="AR1280" s="67">
        <v>0</v>
      </c>
      <c r="AS1280" s="67">
        <v>0</v>
      </c>
      <c r="AT1280" s="2"/>
      <c r="AU1280" s="2"/>
    </row>
    <row r="1281" spans="1:47" hidden="1" outlineLevel="1">
      <c r="A1281" s="298"/>
      <c r="B1281" s="6"/>
      <c r="C1281" s="21"/>
      <c r="D1281" s="21"/>
      <c r="E1281" s="21"/>
      <c r="F1281" s="21"/>
      <c r="G1281" s="21"/>
      <c r="H1281" s="21"/>
      <c r="I1281" s="21"/>
      <c r="J1281" s="21"/>
      <c r="K1281" s="70"/>
      <c r="L1281" s="70"/>
      <c r="M1281" s="70"/>
      <c r="N1281" s="70"/>
      <c r="O1281" s="70"/>
      <c r="P1281" s="70"/>
      <c r="Q1281" s="70"/>
      <c r="R1281" s="70"/>
      <c r="S1281" s="70"/>
      <c r="T1281" s="70"/>
      <c r="U1281" s="70"/>
      <c r="V1281" s="70"/>
      <c r="W1281" s="70"/>
      <c r="X1281" s="70"/>
      <c r="Y1281" s="70"/>
      <c r="Z1281" s="70"/>
      <c r="AA1281" s="70"/>
      <c r="AB1281" s="70"/>
      <c r="AC1281" s="70"/>
      <c r="AD1281" s="70"/>
      <c r="AE1281" s="70"/>
      <c r="AF1281" s="70"/>
      <c r="AG1281" s="70"/>
      <c r="AH1281" s="70"/>
      <c r="AI1281" s="70"/>
      <c r="AJ1281" s="70"/>
      <c r="AK1281" s="70"/>
      <c r="AL1281" s="70"/>
      <c r="AM1281" s="70"/>
      <c r="AN1281" s="70"/>
      <c r="AO1281" s="70"/>
      <c r="AP1281" s="70"/>
      <c r="AQ1281" s="70"/>
      <c r="AR1281" s="70"/>
      <c r="AS1281" s="70"/>
      <c r="AT1281" s="2"/>
      <c r="AU1281" s="2"/>
    </row>
    <row r="1282" spans="1:47" hidden="1" outlineLevel="1">
      <c r="A1282" s="298"/>
      <c r="B1282" s="2"/>
      <c r="C1282" s="18"/>
      <c r="D1282" s="18"/>
      <c r="E1282" s="18"/>
      <c r="F1282" s="18"/>
      <c r="G1282" s="18"/>
      <c r="H1282" s="18"/>
      <c r="I1282" s="18"/>
      <c r="J1282" s="18"/>
      <c r="K1282" s="6"/>
      <c r="L1282" s="6"/>
      <c r="M1282" s="6"/>
      <c r="N1282" s="6"/>
      <c r="O1282" s="6"/>
      <c r="P1282" s="6"/>
      <c r="Q1282" s="6"/>
      <c r="R1282" s="6"/>
      <c r="S1282" s="6"/>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c r="AR1282" s="2"/>
      <c r="AS1282" s="2"/>
      <c r="AT1282" s="2"/>
      <c r="AU1282" s="2"/>
    </row>
    <row r="1283" spans="1:47" hidden="1" outlineLevel="1">
      <c r="A1283" s="298"/>
      <c r="B1283" s="2" t="s">
        <v>957</v>
      </c>
      <c r="C1283" s="18" t="s">
        <v>732</v>
      </c>
      <c r="D1283" s="18"/>
      <c r="E1283" s="18"/>
      <c r="F1283" s="18"/>
      <c r="G1283" s="18"/>
      <c r="H1283" s="18"/>
      <c r="I1283" s="18"/>
      <c r="J1283" s="18"/>
      <c r="K1283" s="67"/>
      <c r="L1283" s="67"/>
      <c r="M1283" s="67"/>
      <c r="N1283" s="67"/>
      <c r="O1283" s="67"/>
      <c r="P1283" s="67"/>
      <c r="Q1283" s="67"/>
      <c r="R1283" s="67"/>
      <c r="S1283" s="67"/>
      <c r="T1283" s="842" t="s">
        <v>980</v>
      </c>
      <c r="U1283" s="67"/>
      <c r="V1283" s="67"/>
      <c r="W1283" s="2"/>
      <c r="X1283" s="2"/>
      <c r="Y1283" s="2"/>
      <c r="Z1283" s="457">
        <v>516</v>
      </c>
      <c r="AA1283" s="457">
        <v>601</v>
      </c>
      <c r="AB1283" s="67">
        <v>908</v>
      </c>
      <c r="AC1283" s="67">
        <v>1013</v>
      </c>
      <c r="AD1283" s="67">
        <v>1171</v>
      </c>
      <c r="AE1283" s="67">
        <v>1084</v>
      </c>
      <c r="AF1283" s="67">
        <v>935.99999999999989</v>
      </c>
      <c r="AG1283" s="67">
        <v>908</v>
      </c>
      <c r="AH1283" s="67">
        <v>963.2972000000002</v>
      </c>
      <c r="AI1283" s="67">
        <v>992.19611600000007</v>
      </c>
      <c r="AJ1283" s="67">
        <v>0</v>
      </c>
      <c r="AK1283" s="67">
        <v>0</v>
      </c>
      <c r="AL1283" s="67">
        <v>0</v>
      </c>
      <c r="AM1283" s="67">
        <v>0</v>
      </c>
      <c r="AN1283" s="67">
        <v>0</v>
      </c>
      <c r="AO1283" s="67">
        <v>0</v>
      </c>
      <c r="AP1283" s="67">
        <v>0</v>
      </c>
      <c r="AQ1283" s="67">
        <v>0</v>
      </c>
      <c r="AR1283" s="67">
        <v>0</v>
      </c>
      <c r="AS1283" s="67">
        <v>0</v>
      </c>
      <c r="AT1283" s="2"/>
      <c r="AU1283" s="2"/>
    </row>
    <row r="1284" spans="1:47" hidden="1" outlineLevel="1">
      <c r="A1284" s="298"/>
      <c r="B1284" s="2" t="s">
        <v>981</v>
      </c>
      <c r="C1284" s="18" t="s">
        <v>732</v>
      </c>
      <c r="D1284" s="18"/>
      <c r="E1284" s="18"/>
      <c r="F1284" s="18"/>
      <c r="G1284" s="18"/>
      <c r="H1284" s="18"/>
      <c r="I1284" s="18"/>
      <c r="J1284" s="18"/>
      <c r="K1284" s="67"/>
      <c r="L1284" s="67"/>
      <c r="M1284" s="67"/>
      <c r="N1284" s="67"/>
      <c r="O1284" s="67"/>
      <c r="P1284" s="67"/>
      <c r="Q1284" s="67"/>
      <c r="R1284" s="67"/>
      <c r="S1284" s="67"/>
      <c r="T1284" s="67"/>
      <c r="U1284" s="67"/>
      <c r="V1284" s="67"/>
      <c r="W1284" s="2"/>
      <c r="X1284" s="2"/>
      <c r="Y1284" s="2"/>
      <c r="Z1284" s="570">
        <v>218</v>
      </c>
      <c r="AA1284" s="19">
        <v>237</v>
      </c>
      <c r="AB1284" s="67">
        <v>239.37</v>
      </c>
      <c r="AC1284" s="67">
        <v>839.37</v>
      </c>
      <c r="AD1284" s="67">
        <v>847.76369999999997</v>
      </c>
      <c r="AE1284" s="67">
        <v>856.24133699999993</v>
      </c>
      <c r="AF1284" s="67">
        <v>864.80375036999999</v>
      </c>
      <c r="AG1284" s="67">
        <v>873.45178787370003</v>
      </c>
      <c r="AH1284" s="67">
        <v>882.18630575243708</v>
      </c>
      <c r="AI1284" s="67">
        <v>891.00816880996149</v>
      </c>
      <c r="AJ1284" s="67">
        <v>899.91825049806107</v>
      </c>
      <c r="AK1284" s="67">
        <v>908.91743300304165</v>
      </c>
      <c r="AL1284" s="67">
        <v>918.00660733307211</v>
      </c>
      <c r="AM1284" s="67">
        <v>927.18667340640286</v>
      </c>
      <c r="AN1284" s="67">
        <v>936.45854014046688</v>
      </c>
      <c r="AO1284" s="67">
        <v>945.8231255418716</v>
      </c>
      <c r="AP1284" s="67">
        <v>955.2813567972903</v>
      </c>
      <c r="AQ1284" s="67">
        <v>955.2813567972903</v>
      </c>
      <c r="AR1284" s="67">
        <v>955.2813567972903</v>
      </c>
      <c r="AS1284" s="67">
        <v>955.2813567972903</v>
      </c>
      <c r="AT1284" s="2"/>
      <c r="AU1284" s="2"/>
    </row>
    <row r="1285" spans="1:47" hidden="1" outlineLevel="1">
      <c r="A1285" s="298"/>
      <c r="B1285" s="2" t="s">
        <v>982</v>
      </c>
      <c r="C1285" s="18" t="s">
        <v>732</v>
      </c>
      <c r="D1285" s="18"/>
      <c r="E1285" s="18"/>
      <c r="F1285" s="18"/>
      <c r="G1285" s="18"/>
      <c r="H1285" s="18"/>
      <c r="I1285" s="18"/>
      <c r="J1285" s="18"/>
      <c r="K1285" s="67"/>
      <c r="L1285" s="67"/>
      <c r="M1285" s="67"/>
      <c r="N1285" s="67"/>
      <c r="O1285" s="67"/>
      <c r="P1285" s="67"/>
      <c r="Q1285" s="67"/>
      <c r="R1285" s="67"/>
      <c r="S1285" s="67"/>
      <c r="T1285" s="67"/>
      <c r="U1285" s="67"/>
      <c r="V1285" s="67"/>
      <c r="W1285" s="2"/>
      <c r="X1285" s="2"/>
      <c r="Y1285" s="2"/>
      <c r="Z1285" s="843"/>
      <c r="AA1285" s="843">
        <v>410</v>
      </c>
      <c r="AB1285" s="69"/>
      <c r="AC1285" s="69"/>
      <c r="AD1285" s="69"/>
      <c r="AE1285" s="69"/>
      <c r="AF1285" s="69"/>
      <c r="AG1285" s="69"/>
      <c r="AH1285" s="69"/>
      <c r="AI1285" s="69"/>
      <c r="AJ1285" s="69"/>
      <c r="AK1285" s="69"/>
      <c r="AL1285" s="69"/>
      <c r="AM1285" s="69"/>
      <c r="AN1285" s="69"/>
      <c r="AO1285" s="69"/>
      <c r="AP1285" s="69"/>
      <c r="AQ1285" s="69"/>
      <c r="AR1285" s="69"/>
      <c r="AS1285" s="69"/>
      <c r="AT1285" s="2"/>
      <c r="AU1285" s="2"/>
    </row>
    <row r="1286" spans="1:47" hidden="1" outlineLevel="1">
      <c r="A1286" s="298"/>
      <c r="B1286" s="6" t="s">
        <v>58</v>
      </c>
      <c r="C1286" s="18" t="s">
        <v>732</v>
      </c>
      <c r="D1286" s="21"/>
      <c r="E1286" s="21"/>
      <c r="F1286" s="21"/>
      <c r="G1286" s="21"/>
      <c r="H1286" s="21"/>
      <c r="I1286" s="21"/>
      <c r="J1286" s="21"/>
      <c r="K1286" s="70"/>
      <c r="L1286" s="70"/>
      <c r="M1286" s="70"/>
      <c r="N1286" s="70"/>
      <c r="O1286" s="70"/>
      <c r="P1286" s="70"/>
      <c r="Q1286" s="70"/>
      <c r="R1286" s="70"/>
      <c r="S1286" s="70"/>
      <c r="T1286" s="70"/>
      <c r="U1286" s="70"/>
      <c r="V1286" s="70"/>
      <c r="W1286" s="2"/>
      <c r="X1286" s="2"/>
      <c r="Y1286" s="2"/>
      <c r="Z1286" s="24">
        <v>734</v>
      </c>
      <c r="AA1286" s="24">
        <v>1248</v>
      </c>
      <c r="AB1286" s="24">
        <v>1147.3699999999999</v>
      </c>
      <c r="AC1286" s="24">
        <v>1852.37</v>
      </c>
      <c r="AD1286" s="24">
        <v>2018.7637</v>
      </c>
      <c r="AE1286" s="24">
        <v>1940.2413369999999</v>
      </c>
      <c r="AF1286" s="24">
        <v>1800.8037503699998</v>
      </c>
      <c r="AG1286" s="24">
        <v>1781.4517878737001</v>
      </c>
      <c r="AH1286" s="24">
        <v>1845.4835057524374</v>
      </c>
      <c r="AI1286" s="24">
        <v>1883.2042848099616</v>
      </c>
      <c r="AJ1286" s="24">
        <v>899.91825049806107</v>
      </c>
      <c r="AK1286" s="24">
        <v>908.91743300304165</v>
      </c>
      <c r="AL1286" s="24">
        <v>918.00660733307211</v>
      </c>
      <c r="AM1286" s="24">
        <v>927.18667340640286</v>
      </c>
      <c r="AN1286" s="24">
        <v>936.45854014046688</v>
      </c>
      <c r="AO1286" s="24">
        <v>945.8231255418716</v>
      </c>
      <c r="AP1286" s="24">
        <v>955.2813567972903</v>
      </c>
      <c r="AQ1286" s="24">
        <v>955.2813567972903</v>
      </c>
      <c r="AR1286" s="24">
        <v>955.2813567972903</v>
      </c>
      <c r="AS1286" s="24">
        <v>955.2813567972903</v>
      </c>
      <c r="AT1286" s="2"/>
      <c r="AU1286" s="2"/>
    </row>
    <row r="1287" spans="1:47" hidden="1" outlineLevel="1">
      <c r="A1287" s="298"/>
      <c r="B1287" s="6"/>
      <c r="C1287" s="21"/>
      <c r="D1287" s="21"/>
      <c r="E1287" s="21"/>
      <c r="F1287" s="21"/>
      <c r="G1287" s="21"/>
      <c r="H1287" s="21"/>
      <c r="I1287" s="21"/>
      <c r="J1287" s="21"/>
      <c r="K1287" s="70"/>
      <c r="L1287" s="70"/>
      <c r="M1287" s="70"/>
      <c r="N1287" s="70"/>
      <c r="O1287" s="70"/>
      <c r="P1287" s="70"/>
      <c r="Q1287" s="70"/>
      <c r="R1287" s="70"/>
      <c r="S1287" s="70"/>
      <c r="T1287" s="70"/>
      <c r="U1287" s="70"/>
      <c r="V1287" s="70"/>
      <c r="W1287" s="70"/>
      <c r="X1287" s="272"/>
      <c r="Y1287" s="70"/>
      <c r="Z1287" s="70"/>
      <c r="AA1287" s="844"/>
      <c r="AB1287" s="844"/>
      <c r="AC1287" s="844"/>
      <c r="AD1287" s="844"/>
      <c r="AE1287" s="844"/>
      <c r="AF1287" s="844"/>
      <c r="AG1287" s="844"/>
      <c r="AH1287" s="844"/>
      <c r="AI1287" s="844"/>
      <c r="AJ1287" s="844"/>
      <c r="AK1287" s="844"/>
      <c r="AL1287" s="844"/>
      <c r="AM1287" s="844"/>
      <c r="AN1287" s="844"/>
      <c r="AO1287" s="844"/>
      <c r="AP1287" s="844"/>
      <c r="AQ1287" s="844"/>
      <c r="AR1287" s="844"/>
      <c r="AS1287" s="844"/>
      <c r="AT1287" s="2"/>
      <c r="AU1287" s="2"/>
    </row>
    <row r="1288" spans="1:47" hidden="1" outlineLevel="1">
      <c r="A1288" s="298"/>
      <c r="B1288" s="208" t="s">
        <v>87</v>
      </c>
      <c r="C1288" s="209" t="s">
        <v>732</v>
      </c>
      <c r="D1288" s="209"/>
      <c r="E1288" s="209"/>
      <c r="F1288" s="209"/>
      <c r="G1288" s="209"/>
      <c r="H1288" s="209"/>
      <c r="I1288" s="209"/>
      <c r="J1288" s="209"/>
      <c r="K1288" s="210">
        <v>18609</v>
      </c>
      <c r="L1288" s="210">
        <v>19456</v>
      </c>
      <c r="M1288" s="210">
        <v>20197</v>
      </c>
      <c r="N1288" s="210">
        <v>20380</v>
      </c>
      <c r="O1288" s="210">
        <v>20373</v>
      </c>
      <c r="P1288" s="210">
        <v>22161</v>
      </c>
      <c r="Q1288" s="210">
        <v>22712</v>
      </c>
      <c r="R1288" s="210">
        <v>23673</v>
      </c>
      <c r="S1288" s="210">
        <v>24650.799183579176</v>
      </c>
      <c r="T1288" s="210">
        <v>25371.252541340669</v>
      </c>
      <c r="U1288" s="210">
        <v>24812.852789869408</v>
      </c>
      <c r="V1288" s="210">
        <v>24982.968841907401</v>
      </c>
      <c r="W1288" s="210">
        <v>25231.817287899998</v>
      </c>
      <c r="X1288" s="210">
        <v>25489.698279505064</v>
      </c>
      <c r="Y1288" s="210">
        <v>25003.711331428571</v>
      </c>
      <c r="Z1288" s="210">
        <v>25049.490991014121</v>
      </c>
      <c r="AA1288" s="210">
        <v>24776.074800000002</v>
      </c>
      <c r="AB1288" s="210">
        <v>24732.366751576443</v>
      </c>
      <c r="AC1288" s="210">
        <v>26354.37</v>
      </c>
      <c r="AD1288" s="210">
        <v>25702.7637</v>
      </c>
      <c r="AE1288" s="210">
        <v>24235.554434024605</v>
      </c>
      <c r="AF1288" s="210">
        <v>22010.395081820792</v>
      </c>
      <c r="AG1288" s="210">
        <v>21763.631376560737</v>
      </c>
      <c r="AH1288" s="210">
        <v>22020.266539934433</v>
      </c>
      <c r="AI1288" s="210">
        <v>22439.961833053327</v>
      </c>
      <c r="AJ1288" s="210">
        <v>21882.708791136851</v>
      </c>
      <c r="AK1288" s="210">
        <v>22351.523829635709</v>
      </c>
      <c r="AL1288" s="210">
        <v>22280.611271231948</v>
      </c>
      <c r="AM1288" s="210">
        <v>22745.34536337481</v>
      </c>
      <c r="AN1288" s="210">
        <v>23255.350450157363</v>
      </c>
      <c r="AO1288" s="210">
        <v>23810.844682241925</v>
      </c>
      <c r="AP1288" s="210">
        <v>24412.63610905844</v>
      </c>
      <c r="AQ1288" s="210">
        <v>24412.63610905844</v>
      </c>
      <c r="AR1288" s="210">
        <v>24412.63610905844</v>
      </c>
      <c r="AS1288" s="210">
        <v>24412.63610905844</v>
      </c>
      <c r="AT1288" s="2"/>
      <c r="AU1288" s="2"/>
    </row>
    <row r="1289" spans="1:47" hidden="1" outlineLevel="1">
      <c r="A1289" s="298"/>
      <c r="B1289" s="6"/>
      <c r="C1289" s="21"/>
      <c r="D1289" s="21"/>
      <c r="E1289" s="21"/>
      <c r="F1289" s="21"/>
      <c r="G1289" s="21"/>
      <c r="H1289" s="21"/>
      <c r="I1289" s="21"/>
      <c r="J1289" s="21"/>
      <c r="K1289" s="70"/>
      <c r="L1289" s="80">
        <v>4.5515610725992861E-2</v>
      </c>
      <c r="M1289" s="80">
        <v>3.80859375E-2</v>
      </c>
      <c r="N1289" s="80">
        <v>9.0607515967717767E-3</v>
      </c>
      <c r="O1289" s="80">
        <v>-3.4347399411183144E-4</v>
      </c>
      <c r="P1289" s="80">
        <v>8.7763216021204515E-2</v>
      </c>
      <c r="Q1289" s="80">
        <v>2.4863498939578621E-2</v>
      </c>
      <c r="R1289" s="80">
        <v>4.2312433955618234E-2</v>
      </c>
      <c r="S1289" s="80">
        <v>4.1304405169567682E-2</v>
      </c>
      <c r="T1289" s="80">
        <v>2.9226369189742751E-2</v>
      </c>
      <c r="U1289" s="80">
        <v>-2.2009151915593717E-2</v>
      </c>
      <c r="V1289" s="80">
        <v>6.8559650709509867E-3</v>
      </c>
      <c r="W1289" s="80">
        <v>9.9607235460010823E-3</v>
      </c>
      <c r="X1289" s="80">
        <v>1.0220468413455697E-2</v>
      </c>
      <c r="Y1289" s="80">
        <v>-1.9066014150008637E-2</v>
      </c>
      <c r="Z1289" s="80">
        <v>1.8309145781894021E-3</v>
      </c>
      <c r="AA1289" s="80">
        <v>-1.0915039795107995E-2</v>
      </c>
      <c r="AB1289" s="80">
        <v>-1.7641232025809028E-3</v>
      </c>
      <c r="AC1289" s="80">
        <v>6.5582209123604018E-2</v>
      </c>
      <c r="AD1289" s="80">
        <v>-2.4724791372360611E-2</v>
      </c>
      <c r="AE1289" s="80">
        <v>-5.7083716097634851E-2</v>
      </c>
      <c r="AF1289" s="80">
        <v>-9.1813841447748512E-2</v>
      </c>
      <c r="AG1289" s="80">
        <v>-1.1211234707180107E-2</v>
      </c>
      <c r="AH1289" s="80">
        <v>1.1791927502047717E-2</v>
      </c>
      <c r="AI1289" s="80">
        <v>1.9059501044538463E-2</v>
      </c>
      <c r="AJ1289" s="80">
        <v>-2.4833065495488471E-2</v>
      </c>
      <c r="AK1289" s="80">
        <v>2.1423994761048171E-2</v>
      </c>
      <c r="AL1289" s="80">
        <v>-3.1726050959326457E-3</v>
      </c>
      <c r="AM1289" s="80">
        <v>2.085822899944012E-2</v>
      </c>
      <c r="AN1289" s="80">
        <v>2.2422393620972425E-2</v>
      </c>
      <c r="AO1289" s="80">
        <v>2.3886728057491036E-2</v>
      </c>
      <c r="AP1289" s="80">
        <v>2.52738378183337E-2</v>
      </c>
      <c r="AQ1289" s="80">
        <v>2.52738378183337E-2</v>
      </c>
      <c r="AR1289" s="80">
        <v>2.52738378183337E-2</v>
      </c>
      <c r="AS1289" s="80">
        <v>2.52738378183337E-2</v>
      </c>
      <c r="AT1289" s="2"/>
      <c r="AU1289" s="2"/>
    </row>
    <row r="1290" spans="1:47" hidden="1" outlineLevel="1">
      <c r="A1290" s="298"/>
      <c r="B1290" s="6"/>
      <c r="C1290" s="21"/>
      <c r="D1290" s="21"/>
      <c r="E1290" s="21"/>
      <c r="F1290" s="21"/>
      <c r="G1290" s="21"/>
      <c r="H1290" s="21"/>
      <c r="I1290" s="21"/>
      <c r="J1290" s="21"/>
      <c r="K1290" s="70"/>
      <c r="L1290" s="70"/>
      <c r="M1290" s="70"/>
      <c r="N1290" s="70"/>
      <c r="O1290" s="70"/>
      <c r="P1290" s="70"/>
      <c r="Q1290" s="70"/>
      <c r="R1290" s="70"/>
      <c r="S1290" s="70"/>
      <c r="T1290" s="70"/>
      <c r="U1290" s="70"/>
      <c r="V1290" s="70"/>
      <c r="W1290" s="70"/>
      <c r="X1290" s="70"/>
      <c r="Y1290" s="70"/>
      <c r="Z1290" s="70"/>
      <c r="AA1290" s="70"/>
      <c r="AB1290" s="70"/>
      <c r="AC1290" s="70"/>
      <c r="AD1290" s="70"/>
      <c r="AE1290" s="70"/>
      <c r="AF1290" s="70"/>
      <c r="AG1290" s="70"/>
      <c r="AH1290" s="70"/>
      <c r="AI1290" s="70"/>
      <c r="AJ1290" s="70"/>
      <c r="AK1290" s="70"/>
      <c r="AL1290" s="70"/>
      <c r="AM1290" s="70"/>
      <c r="AN1290" s="70"/>
      <c r="AO1290" s="70"/>
      <c r="AP1290" s="70"/>
      <c r="AQ1290" s="70"/>
      <c r="AR1290" s="70"/>
      <c r="AS1290" s="70"/>
      <c r="AT1290" s="2"/>
      <c r="AU1290" s="2"/>
    </row>
    <row r="1291" spans="1:47" hidden="1" outlineLevel="1">
      <c r="A1291" s="298"/>
      <c r="B1291" s="6" t="s">
        <v>979</v>
      </c>
      <c r="C1291" s="21"/>
      <c r="D1291" s="21"/>
      <c r="E1291" s="21"/>
      <c r="F1291" s="21"/>
      <c r="G1291" s="21"/>
      <c r="H1291" s="21"/>
      <c r="I1291" s="21"/>
      <c r="J1291" s="21"/>
      <c r="K1291" s="70"/>
      <c r="L1291" s="70"/>
      <c r="M1291" s="70"/>
      <c r="N1291" s="70"/>
      <c r="O1291" s="70"/>
      <c r="P1291" s="70"/>
      <c r="Q1291" s="70"/>
      <c r="R1291" s="70"/>
      <c r="S1291" s="70"/>
      <c r="T1291" s="569">
        <v>107</v>
      </c>
      <c r="U1291" s="569">
        <v>104</v>
      </c>
      <c r="V1291" s="569">
        <v>110</v>
      </c>
      <c r="W1291" s="569">
        <v>136</v>
      </c>
      <c r="X1291" s="569">
        <v>176</v>
      </c>
      <c r="Y1291" s="67">
        <v>201</v>
      </c>
      <c r="Z1291" s="845">
        <v>178</v>
      </c>
      <c r="AA1291" s="845">
        <v>77</v>
      </c>
      <c r="AB1291" s="845">
        <v>101</v>
      </c>
      <c r="AC1291" s="67">
        <v>31.409928351926304</v>
      </c>
      <c r="AD1291" s="67">
        <v>15.37483259218464</v>
      </c>
      <c r="AE1291" s="67">
        <v>14.726703378991996</v>
      </c>
      <c r="AF1291" s="67">
        <v>14.734096968072226</v>
      </c>
      <c r="AG1291" s="67">
        <v>15.375295520001375</v>
      </c>
      <c r="AH1291" s="67">
        <v>16.623325745248696</v>
      </c>
      <c r="AI1291" s="67">
        <v>18.448033146132556</v>
      </c>
      <c r="AJ1291" s="67">
        <v>20.817684984650839</v>
      </c>
      <c r="AK1291" s="67">
        <v>23.700193045933123</v>
      </c>
      <c r="AL1291" s="67">
        <v>27.064030998889951</v>
      </c>
      <c r="AM1291" s="67">
        <v>30.878907669306486</v>
      </c>
      <c r="AN1291" s="67">
        <v>35.116246373166859</v>
      </c>
      <c r="AO1291" s="67">
        <v>39.749511222116894</v>
      </c>
      <c r="AP1291" s="67">
        <v>44.754413684794073</v>
      </c>
      <c r="AQ1291" s="67">
        <v>44.754413684794073</v>
      </c>
      <c r="AR1291" s="67">
        <v>44.754413684794073</v>
      </c>
      <c r="AS1291" s="67">
        <v>44.754413684794073</v>
      </c>
      <c r="AT1291" s="2"/>
      <c r="AU1291" s="2"/>
    </row>
    <row r="1292" spans="1:47" hidden="1" outlineLevel="1">
      <c r="A1292" s="298"/>
      <c r="B1292" s="6"/>
      <c r="C1292" s="21"/>
      <c r="D1292" s="21"/>
      <c r="E1292" s="21"/>
      <c r="F1292" s="21"/>
      <c r="G1292" s="21"/>
      <c r="H1292" s="21"/>
      <c r="I1292" s="21"/>
      <c r="J1292" s="21"/>
      <c r="K1292" s="70"/>
      <c r="L1292" s="70"/>
      <c r="M1292" s="70"/>
      <c r="N1292" s="70"/>
      <c r="O1292" s="70"/>
      <c r="P1292" s="70"/>
      <c r="Q1292" s="70"/>
      <c r="R1292" s="70"/>
      <c r="S1292" s="70"/>
      <c r="T1292" s="70"/>
      <c r="U1292" s="70"/>
      <c r="V1292" s="70"/>
      <c r="W1292" s="70"/>
      <c r="X1292" s="70"/>
      <c r="Y1292" s="67"/>
      <c r="Z1292" s="67"/>
      <c r="AA1292" s="67"/>
      <c r="AB1292" s="67"/>
      <c r="AC1292" s="67"/>
      <c r="AD1292" s="67"/>
      <c r="AE1292" s="67"/>
      <c r="AF1292" s="67"/>
      <c r="AG1292" s="67"/>
      <c r="AH1292" s="67"/>
      <c r="AI1292" s="67"/>
      <c r="AJ1292" s="67"/>
      <c r="AK1292" s="67"/>
      <c r="AL1292" s="67"/>
      <c r="AM1292" s="67"/>
      <c r="AN1292" s="67"/>
      <c r="AO1292" s="67"/>
      <c r="AP1292" s="67"/>
      <c r="AQ1292" s="67"/>
      <c r="AR1292" s="67"/>
      <c r="AS1292" s="67"/>
      <c r="AT1292" s="2"/>
      <c r="AU1292" s="2"/>
    </row>
    <row r="1293" spans="1:47" hidden="1" outlineLevel="1">
      <c r="A1293" s="298"/>
      <c r="B1293" s="6" t="s">
        <v>647</v>
      </c>
      <c r="C1293" s="21" t="s">
        <v>732</v>
      </c>
      <c r="D1293" s="21"/>
      <c r="E1293" s="21"/>
      <c r="F1293" s="21"/>
      <c r="G1293" s="21"/>
      <c r="H1293" s="21"/>
      <c r="I1293" s="21"/>
      <c r="J1293" s="21"/>
      <c r="K1293" s="569">
        <v>1176</v>
      </c>
      <c r="L1293" s="569">
        <v>4304</v>
      </c>
      <c r="M1293" s="569">
        <v>606</v>
      </c>
      <c r="N1293" s="569">
        <v>1121</v>
      </c>
      <c r="O1293" s="569">
        <v>430</v>
      </c>
      <c r="P1293" s="569">
        <v>323</v>
      </c>
      <c r="Q1293" s="569">
        <v>404</v>
      </c>
      <c r="R1293" s="67">
        <v>287</v>
      </c>
      <c r="S1293" s="67">
        <v>345</v>
      </c>
      <c r="T1293" s="67">
        <v>136</v>
      </c>
      <c r="U1293" s="67">
        <v>112</v>
      </c>
      <c r="V1293" s="67">
        <v>211</v>
      </c>
      <c r="W1293" s="67">
        <v>135</v>
      </c>
      <c r="X1293" s="67">
        <v>302</v>
      </c>
      <c r="Y1293" s="67">
        <v>415</v>
      </c>
      <c r="Z1293" s="67">
        <v>584</v>
      </c>
      <c r="AA1293" s="67">
        <v>1145</v>
      </c>
      <c r="AB1293" s="67">
        <v>2192</v>
      </c>
      <c r="AC1293" s="264">
        <v>2884</v>
      </c>
      <c r="AD1293" s="264">
        <v>2694</v>
      </c>
      <c r="AE1293" s="264">
        <v>2804</v>
      </c>
      <c r="AF1293" s="264">
        <v>2105</v>
      </c>
      <c r="AG1293" s="264">
        <v>1399.6666666666677</v>
      </c>
      <c r="AH1293" s="264">
        <v>1399.6666666666677</v>
      </c>
      <c r="AI1293" s="264">
        <v>1286.1111111111104</v>
      </c>
      <c r="AJ1293" s="264">
        <v>900</v>
      </c>
      <c r="AK1293" s="264">
        <v>900</v>
      </c>
      <c r="AL1293" s="264">
        <v>900</v>
      </c>
      <c r="AM1293" s="264">
        <v>900</v>
      </c>
      <c r="AN1293" s="264">
        <v>900</v>
      </c>
      <c r="AO1293" s="264">
        <v>900</v>
      </c>
      <c r="AP1293" s="264">
        <v>900</v>
      </c>
      <c r="AQ1293" s="264">
        <v>900</v>
      </c>
      <c r="AR1293" s="264">
        <v>900</v>
      </c>
      <c r="AS1293" s="264">
        <v>900</v>
      </c>
      <c r="AT1293" s="2"/>
      <c r="AU1293" s="2"/>
    </row>
    <row r="1294" spans="1:47" hidden="1" outlineLevel="1">
      <c r="A1294" s="298"/>
      <c r="B1294" s="55" t="s">
        <v>978</v>
      </c>
      <c r="C1294" s="18" t="s">
        <v>732</v>
      </c>
      <c r="D1294" s="18"/>
      <c r="E1294" s="18"/>
      <c r="F1294" s="18"/>
      <c r="G1294" s="18"/>
      <c r="H1294" s="18"/>
      <c r="I1294" s="18"/>
      <c r="J1294" s="18"/>
      <c r="K1294" s="67"/>
      <c r="L1294" s="67"/>
      <c r="M1294" s="67"/>
      <c r="N1294" s="67"/>
      <c r="O1294" s="67"/>
      <c r="P1294" s="67"/>
      <c r="Q1294" s="67"/>
      <c r="R1294" s="67"/>
      <c r="S1294" s="67"/>
      <c r="T1294" s="67"/>
      <c r="U1294" s="67"/>
      <c r="V1294" s="67"/>
      <c r="W1294" s="457">
        <v>0</v>
      </c>
      <c r="X1294" s="457">
        <v>7</v>
      </c>
      <c r="Y1294" s="457">
        <v>66</v>
      </c>
      <c r="Z1294" s="457">
        <v>163</v>
      </c>
      <c r="AA1294" s="457">
        <v>503</v>
      </c>
      <c r="AB1294" s="457">
        <v>1248</v>
      </c>
      <c r="AC1294" s="457">
        <v>1779</v>
      </c>
      <c r="AD1294" s="457">
        <v>1611</v>
      </c>
      <c r="AE1294" s="457">
        <v>1721</v>
      </c>
      <c r="AF1294" s="457">
        <v>1022</v>
      </c>
      <c r="AG1294" s="457">
        <v>340.66666666666771</v>
      </c>
      <c r="AH1294" s="457">
        <v>340.66666666666771</v>
      </c>
      <c r="AI1294" s="457">
        <v>227.11111111111046</v>
      </c>
      <c r="AJ1294" s="457">
        <v>0</v>
      </c>
      <c r="AK1294" s="457">
        <v>0</v>
      </c>
      <c r="AL1294" s="457">
        <v>0</v>
      </c>
      <c r="AM1294" s="457">
        <v>0</v>
      </c>
      <c r="AN1294" s="457">
        <v>0</v>
      </c>
      <c r="AO1294" s="457">
        <v>0</v>
      </c>
      <c r="AP1294" s="457">
        <v>0</v>
      </c>
      <c r="AQ1294" s="457">
        <v>0</v>
      </c>
      <c r="AR1294" s="457">
        <v>0</v>
      </c>
      <c r="AS1294" s="457">
        <v>0</v>
      </c>
      <c r="AT1294" s="2"/>
      <c r="AU1294" s="2"/>
    </row>
    <row r="1295" spans="1:47" hidden="1" outlineLevel="1">
      <c r="A1295" s="298"/>
      <c r="B1295" s="55" t="s">
        <v>458</v>
      </c>
      <c r="C1295" s="18" t="s">
        <v>732</v>
      </c>
      <c r="D1295" s="18"/>
      <c r="E1295" s="18"/>
      <c r="F1295" s="18"/>
      <c r="G1295" s="18"/>
      <c r="H1295" s="18"/>
      <c r="I1295" s="18"/>
      <c r="J1295" s="18"/>
      <c r="K1295" s="67"/>
      <c r="L1295" s="67"/>
      <c r="M1295" s="67"/>
      <c r="N1295" s="67"/>
      <c r="O1295" s="67"/>
      <c r="P1295" s="67"/>
      <c r="Q1295" s="67"/>
      <c r="R1295" s="67"/>
      <c r="S1295" s="67"/>
      <c r="T1295" s="67"/>
      <c r="U1295" s="67"/>
      <c r="V1295" s="67"/>
      <c r="W1295" s="457">
        <v>145</v>
      </c>
      <c r="X1295" s="457">
        <v>292</v>
      </c>
      <c r="Y1295" s="19">
        <v>244</v>
      </c>
      <c r="Z1295" s="457">
        <v>132</v>
      </c>
      <c r="AA1295" s="457">
        <v>204</v>
      </c>
      <c r="AB1295" s="457">
        <v>161</v>
      </c>
      <c r="AC1295" s="457">
        <v>186</v>
      </c>
      <c r="AD1295" s="457">
        <v>171</v>
      </c>
      <c r="AE1295" s="457">
        <v>171</v>
      </c>
      <c r="AF1295" s="457">
        <v>171</v>
      </c>
      <c r="AG1295" s="457">
        <v>159</v>
      </c>
      <c r="AH1295" s="457">
        <v>159</v>
      </c>
      <c r="AI1295" s="457">
        <v>159</v>
      </c>
      <c r="AJ1295" s="457">
        <v>0</v>
      </c>
      <c r="AK1295" s="457">
        <v>0</v>
      </c>
      <c r="AL1295" s="457">
        <v>0</v>
      </c>
      <c r="AM1295" s="457">
        <v>0</v>
      </c>
      <c r="AN1295" s="457">
        <v>0</v>
      </c>
      <c r="AO1295" s="457">
        <v>0</v>
      </c>
      <c r="AP1295" s="457">
        <v>0</v>
      </c>
      <c r="AQ1295" s="457">
        <v>0</v>
      </c>
      <c r="AR1295" s="457">
        <v>0</v>
      </c>
      <c r="AS1295" s="457">
        <v>0</v>
      </c>
      <c r="AT1295" s="2"/>
      <c r="AU1295" s="2"/>
    </row>
    <row r="1296" spans="1:47" hidden="1" outlineLevel="1">
      <c r="A1296" s="298"/>
      <c r="B1296" s="55" t="s">
        <v>0</v>
      </c>
      <c r="C1296" s="18" t="s">
        <v>732</v>
      </c>
      <c r="D1296" s="18"/>
      <c r="E1296" s="18"/>
      <c r="F1296" s="18"/>
      <c r="G1296" s="18"/>
      <c r="H1296" s="18"/>
      <c r="I1296" s="18"/>
      <c r="J1296" s="18"/>
      <c r="K1296" s="67"/>
      <c r="L1296" s="67"/>
      <c r="M1296" s="67"/>
      <c r="N1296" s="67"/>
      <c r="O1296" s="67"/>
      <c r="P1296" s="67"/>
      <c r="Q1296" s="67"/>
      <c r="R1296" s="67"/>
      <c r="S1296" s="67"/>
      <c r="T1296" s="67"/>
      <c r="U1296" s="67"/>
      <c r="V1296" s="67"/>
      <c r="W1296" s="570">
        <v>12.5</v>
      </c>
      <c r="X1296" s="570">
        <v>11</v>
      </c>
      <c r="Y1296" s="570">
        <v>14</v>
      </c>
      <c r="Z1296" s="457">
        <v>13</v>
      </c>
      <c r="AA1296" s="457">
        <v>13</v>
      </c>
      <c r="AB1296" s="457">
        <v>13</v>
      </c>
      <c r="AC1296" s="457">
        <v>19</v>
      </c>
      <c r="AD1296" s="457">
        <v>12</v>
      </c>
      <c r="AE1296" s="457">
        <v>12</v>
      </c>
      <c r="AF1296" s="457">
        <v>12</v>
      </c>
      <c r="AG1296" s="457">
        <v>0</v>
      </c>
      <c r="AH1296" s="457">
        <v>0</v>
      </c>
      <c r="AI1296" s="457">
        <v>0</v>
      </c>
      <c r="AJ1296" s="457">
        <v>0</v>
      </c>
      <c r="AK1296" s="457">
        <v>0</v>
      </c>
      <c r="AL1296" s="457">
        <v>0</v>
      </c>
      <c r="AM1296" s="457">
        <v>0</v>
      </c>
      <c r="AN1296" s="457">
        <v>0</v>
      </c>
      <c r="AO1296" s="457">
        <v>0</v>
      </c>
      <c r="AP1296" s="457">
        <v>0</v>
      </c>
      <c r="AQ1296" s="457">
        <v>0</v>
      </c>
      <c r="AR1296" s="457">
        <v>0</v>
      </c>
      <c r="AS1296" s="457">
        <v>0</v>
      </c>
      <c r="AT1296" s="2"/>
      <c r="AU1296" s="2"/>
    </row>
    <row r="1297" spans="1:47" hidden="1" outlineLevel="1">
      <c r="A1297" s="298"/>
      <c r="B1297" s="55" t="s">
        <v>983</v>
      </c>
      <c r="C1297" s="18" t="s">
        <v>732</v>
      </c>
      <c r="D1297" s="18"/>
      <c r="E1297" s="18"/>
      <c r="F1297" s="18"/>
      <c r="G1297" s="18"/>
      <c r="H1297" s="18"/>
      <c r="I1297" s="18"/>
      <c r="J1297" s="18"/>
      <c r="K1297" s="569">
        <v>1382.354800000001</v>
      </c>
      <c r="L1297" s="569">
        <v>1796.5760000000009</v>
      </c>
      <c r="M1297" s="569">
        <v>1760.6002000000008</v>
      </c>
      <c r="N1297" s="569">
        <v>1391.8106399999997</v>
      </c>
      <c r="O1297" s="569">
        <v>412.40082000000257</v>
      </c>
      <c r="P1297" s="569">
        <v>514.42508000000089</v>
      </c>
      <c r="Q1297" s="569">
        <v>506.31355999999869</v>
      </c>
      <c r="R1297" s="569">
        <v>323.48816126088786</v>
      </c>
      <c r="S1297" s="569">
        <v>166</v>
      </c>
      <c r="T1297" s="569">
        <v>152</v>
      </c>
      <c r="U1297" s="569">
        <v>173</v>
      </c>
      <c r="V1297" s="569">
        <v>189</v>
      </c>
      <c r="W1297" s="569">
        <v>317</v>
      </c>
      <c r="X1297" s="569">
        <v>377</v>
      </c>
      <c r="Y1297" s="569">
        <v>359</v>
      </c>
      <c r="Z1297" s="846">
        <v>218</v>
      </c>
      <c r="AA1297" s="67">
        <v>425</v>
      </c>
      <c r="AB1297" s="265">
        <v>770</v>
      </c>
      <c r="AC1297" s="571">
        <v>900</v>
      </c>
      <c r="AD1297" s="265">
        <v>900</v>
      </c>
      <c r="AE1297" s="265">
        <v>900</v>
      </c>
      <c r="AF1297" s="265">
        <v>900</v>
      </c>
      <c r="AG1297" s="265">
        <v>900</v>
      </c>
      <c r="AH1297" s="265">
        <v>900</v>
      </c>
      <c r="AI1297" s="265">
        <v>900</v>
      </c>
      <c r="AJ1297" s="265">
        <v>900</v>
      </c>
      <c r="AK1297" s="265">
        <v>900</v>
      </c>
      <c r="AL1297" s="265">
        <v>900</v>
      </c>
      <c r="AM1297" s="265">
        <v>900</v>
      </c>
      <c r="AN1297" s="265">
        <v>900</v>
      </c>
      <c r="AO1297" s="265">
        <v>900</v>
      </c>
      <c r="AP1297" s="265">
        <v>900</v>
      </c>
      <c r="AQ1297" s="265">
        <v>900</v>
      </c>
      <c r="AR1297" s="265">
        <v>900</v>
      </c>
      <c r="AS1297" s="265">
        <v>900</v>
      </c>
      <c r="AT1297" s="2"/>
      <c r="AU1297" s="2"/>
    </row>
    <row r="1298" spans="1:47" hidden="1" outlineLevel="1">
      <c r="A1298" s="298"/>
      <c r="B1298" s="55"/>
      <c r="C1298" s="18"/>
      <c r="D1298" s="18"/>
      <c r="E1298" s="18"/>
      <c r="F1298" s="18"/>
      <c r="G1298" s="18"/>
      <c r="H1298" s="18"/>
      <c r="I1298" s="18"/>
      <c r="J1298" s="18"/>
      <c r="K1298" s="67"/>
      <c r="L1298" s="67"/>
      <c r="M1298" s="67"/>
      <c r="N1298" s="67"/>
      <c r="O1298" s="67"/>
      <c r="P1298" s="67"/>
      <c r="Q1298" s="67"/>
      <c r="R1298" s="67"/>
      <c r="S1298" s="67"/>
      <c r="T1298" s="67"/>
      <c r="U1298" s="67"/>
      <c r="V1298" s="67"/>
      <c r="W1298" s="19"/>
      <c r="X1298" s="19"/>
      <c r="Y1298" s="19"/>
      <c r="Z1298" s="19"/>
      <c r="AA1298" s="19"/>
      <c r="AB1298" s="19"/>
      <c r="AC1298" s="19"/>
      <c r="AD1298" s="19"/>
      <c r="AE1298" s="19"/>
      <c r="AF1298" s="19"/>
      <c r="AG1298" s="19"/>
      <c r="AH1298" s="19"/>
      <c r="AI1298" s="19"/>
      <c r="AJ1298" s="19"/>
      <c r="AK1298" s="19"/>
      <c r="AL1298" s="19"/>
      <c r="AM1298" s="19"/>
      <c r="AN1298" s="19"/>
      <c r="AO1298" s="19"/>
      <c r="AP1298" s="19"/>
      <c r="AQ1298" s="19"/>
      <c r="AR1298" s="19"/>
      <c r="AS1298" s="19"/>
      <c r="AT1298" s="2"/>
      <c r="AU1298" s="2"/>
    </row>
    <row r="1299" spans="1:47" hidden="1" outlineLevel="1">
      <c r="A1299" s="298"/>
      <c r="B1299" s="208" t="s">
        <v>785</v>
      </c>
      <c r="C1299" s="209" t="s">
        <v>732</v>
      </c>
      <c r="D1299" s="209"/>
      <c r="E1299" s="209"/>
      <c r="F1299" s="209"/>
      <c r="G1299" s="209"/>
      <c r="H1299" s="209"/>
      <c r="I1299" s="209"/>
      <c r="J1299" s="209"/>
      <c r="K1299" s="210">
        <v>19785</v>
      </c>
      <c r="L1299" s="210">
        <v>23760</v>
      </c>
      <c r="M1299" s="210">
        <v>20803</v>
      </c>
      <c r="N1299" s="210">
        <v>21501</v>
      </c>
      <c r="O1299" s="210">
        <v>20803</v>
      </c>
      <c r="P1299" s="210">
        <v>22484</v>
      </c>
      <c r="Q1299" s="210">
        <v>23116</v>
      </c>
      <c r="R1299" s="210">
        <v>23960</v>
      </c>
      <c r="S1299" s="210">
        <v>24995.799183579176</v>
      </c>
      <c r="T1299" s="210">
        <v>25614.252541340669</v>
      </c>
      <c r="U1299" s="210">
        <v>25028.852789869408</v>
      </c>
      <c r="V1299" s="210">
        <v>25303.968841907401</v>
      </c>
      <c r="W1299" s="210">
        <v>25502.817287899998</v>
      </c>
      <c r="X1299" s="210">
        <v>25967.698279505064</v>
      </c>
      <c r="Y1299" s="210">
        <v>25619.711331428571</v>
      </c>
      <c r="Z1299" s="210">
        <v>25811.490991014121</v>
      </c>
      <c r="AA1299" s="210">
        <v>25998.074800000002</v>
      </c>
      <c r="AB1299" s="210">
        <v>27025.366751576443</v>
      </c>
      <c r="AC1299" s="210">
        <v>29269.779928351927</v>
      </c>
      <c r="AD1299" s="210">
        <v>28412.138532592184</v>
      </c>
      <c r="AE1299" s="210">
        <v>27054.281137403595</v>
      </c>
      <c r="AF1299" s="210">
        <v>24130.129178788866</v>
      </c>
      <c r="AG1299" s="210">
        <v>23178.673338747405</v>
      </c>
      <c r="AH1299" s="210">
        <v>23436.556532346349</v>
      </c>
      <c r="AI1299" s="210">
        <v>23744.520977310567</v>
      </c>
      <c r="AJ1299" s="210">
        <v>22803.5264761215</v>
      </c>
      <c r="AK1299" s="210">
        <v>23275.224022681643</v>
      </c>
      <c r="AL1299" s="210">
        <v>23207.675302230837</v>
      </c>
      <c r="AM1299" s="210">
        <v>23676.224271044117</v>
      </c>
      <c r="AN1299" s="210">
        <v>24190.46669653053</v>
      </c>
      <c r="AO1299" s="210">
        <v>24750.594193464043</v>
      </c>
      <c r="AP1299" s="210">
        <v>25357.390522743233</v>
      </c>
      <c r="AQ1299" s="210">
        <v>25357.390522743233</v>
      </c>
      <c r="AR1299" s="210">
        <v>25357.390522743233</v>
      </c>
      <c r="AS1299" s="210">
        <v>25357.390522743233</v>
      </c>
      <c r="AT1299" s="2"/>
      <c r="AU1299" s="2"/>
    </row>
    <row r="1300" spans="1:47" hidden="1" outlineLevel="1">
      <c r="A1300" s="298"/>
      <c r="B1300" s="55"/>
      <c r="C1300" s="18"/>
      <c r="D1300" s="18"/>
      <c r="E1300" s="18"/>
      <c r="F1300" s="18"/>
      <c r="G1300" s="18"/>
      <c r="H1300" s="18"/>
      <c r="I1300" s="18"/>
      <c r="J1300" s="18"/>
      <c r="K1300" s="67"/>
      <c r="L1300" s="80">
        <v>0.20090978013646699</v>
      </c>
      <c r="M1300" s="80">
        <v>-0.12445286195286198</v>
      </c>
      <c r="N1300" s="80">
        <v>3.3552852953900869E-2</v>
      </c>
      <c r="O1300" s="80">
        <v>-3.2463606343891005E-2</v>
      </c>
      <c r="P1300" s="80">
        <v>8.0805653030812774E-2</v>
      </c>
      <c r="Q1300" s="80">
        <v>2.8108877423945966E-2</v>
      </c>
      <c r="R1300" s="80">
        <v>3.6511507181173242E-2</v>
      </c>
      <c r="S1300" s="80">
        <v>4.3230349898963905E-2</v>
      </c>
      <c r="T1300" s="80">
        <v>2.4742291823490969E-2</v>
      </c>
      <c r="U1300" s="80">
        <v>-2.2854453805608466E-2</v>
      </c>
      <c r="V1300" s="80">
        <v>1.0991956137492043E-2</v>
      </c>
      <c r="W1300" s="80">
        <v>7.8583896160697719E-3</v>
      </c>
      <c r="X1300" s="80">
        <v>1.8228613190340859E-2</v>
      </c>
      <c r="Y1300" s="80">
        <v>-1.3400762144219036E-2</v>
      </c>
      <c r="Z1300" s="80">
        <v>7.48562921356144E-3</v>
      </c>
      <c r="AA1300" s="80">
        <v>7.2287110051425518E-3</v>
      </c>
      <c r="AB1300" s="80">
        <v>3.9514154777970045E-2</v>
      </c>
      <c r="AC1300" s="80">
        <v>8.304838921916069E-2</v>
      </c>
      <c r="AD1300" s="80">
        <v>-2.9301258767886917E-2</v>
      </c>
      <c r="AE1300" s="80">
        <v>-4.7791453418086105E-2</v>
      </c>
      <c r="AF1300" s="80">
        <v>-0.10808462970291144</v>
      </c>
      <c r="AG1300" s="80">
        <v>-3.9430200849393748E-2</v>
      </c>
      <c r="AH1300" s="80">
        <v>1.1125882393270725E-2</v>
      </c>
      <c r="AI1300" s="80">
        <v>1.3140345278077614E-2</v>
      </c>
      <c r="AJ1300" s="80">
        <v>-3.9629963564573378E-2</v>
      </c>
      <c r="AK1300" s="80">
        <v>2.0685289490381065E-2</v>
      </c>
      <c r="AL1300" s="80">
        <v>-2.9021727303238931E-3</v>
      </c>
      <c r="AM1300" s="80">
        <v>2.0189396943529392E-2</v>
      </c>
      <c r="AN1300" s="80">
        <v>2.1719781819913297E-2</v>
      </c>
      <c r="AO1300" s="80">
        <v>2.315488592925119E-2</v>
      </c>
      <c r="AP1300" s="80">
        <v>2.4516434819145783E-2</v>
      </c>
      <c r="AQ1300" s="80">
        <v>2.4516434819145783E-2</v>
      </c>
      <c r="AR1300" s="80">
        <v>2.4516434819145783E-2</v>
      </c>
      <c r="AS1300" s="80">
        <v>2.4516434819145783E-2</v>
      </c>
      <c r="AT1300" s="2"/>
      <c r="AU1300" s="2"/>
    </row>
    <row r="1301" spans="1:47" ht="14.4" hidden="1" outlineLevel="1" thickBot="1">
      <c r="A1301" s="303"/>
      <c r="B1301" s="77"/>
      <c r="C1301" s="78"/>
      <c r="D1301" s="78"/>
      <c r="E1301" s="78"/>
      <c r="F1301" s="78"/>
      <c r="G1301" s="78"/>
      <c r="H1301" s="78"/>
      <c r="I1301" s="78"/>
      <c r="J1301" s="78"/>
      <c r="K1301" s="76"/>
      <c r="L1301" s="76"/>
      <c r="M1301" s="76"/>
      <c r="N1301" s="76"/>
      <c r="O1301" s="76"/>
      <c r="P1301" s="76"/>
      <c r="Q1301" s="76"/>
      <c r="R1301" s="76"/>
      <c r="S1301" s="76"/>
      <c r="T1301" s="76"/>
      <c r="U1301" s="76"/>
      <c r="V1301" s="76"/>
      <c r="W1301" s="76"/>
      <c r="X1301" s="76"/>
      <c r="Y1301" s="76"/>
      <c r="Z1301" s="76"/>
      <c r="AA1301" s="76"/>
      <c r="AB1301" s="76"/>
      <c r="AC1301" s="76"/>
      <c r="AD1301" s="76"/>
      <c r="AE1301" s="76"/>
      <c r="AF1301" s="76"/>
      <c r="AG1301" s="76"/>
      <c r="AH1301" s="76"/>
      <c r="AI1301" s="76"/>
      <c r="AJ1301" s="76"/>
      <c r="AK1301" s="76"/>
      <c r="AL1301" s="76"/>
      <c r="AM1301" s="76"/>
      <c r="AN1301" s="76"/>
      <c r="AO1301" s="76"/>
      <c r="AP1301" s="76"/>
      <c r="AQ1301" s="76"/>
      <c r="AR1301" s="76"/>
      <c r="AS1301" s="76"/>
      <c r="AT1301" s="2"/>
      <c r="AU1301" s="2"/>
    </row>
    <row r="1302" spans="1:47" hidden="1" outlineLevel="1">
      <c r="A1302" s="298"/>
      <c r="B1302" s="59"/>
      <c r="C1302" s="18"/>
      <c r="D1302" s="18"/>
      <c r="E1302" s="18"/>
      <c r="F1302" s="18"/>
      <c r="G1302" s="18"/>
      <c r="H1302" s="18"/>
      <c r="I1302" s="18"/>
      <c r="J1302" s="18"/>
      <c r="K1302" s="2"/>
      <c r="L1302" s="2"/>
      <c r="M1302" s="2"/>
      <c r="N1302" s="2"/>
      <c r="O1302" s="2"/>
      <c r="P1302" s="2"/>
      <c r="Q1302" s="2"/>
      <c r="R1302" s="2"/>
      <c r="S1302" s="2"/>
      <c r="T1302" s="2"/>
      <c r="U1302" s="2"/>
      <c r="V1302" s="2"/>
      <c r="W1302" s="2"/>
      <c r="X1302" s="2"/>
      <c r="Y1302" s="2"/>
      <c r="Z1302" s="2"/>
      <c r="AA1302" s="2"/>
      <c r="AB1302" s="2"/>
      <c r="AC1302" s="2"/>
      <c r="AD1302" s="2"/>
      <c r="AE1302" s="2"/>
      <c r="AF1302" s="2"/>
      <c r="AG1302" s="2"/>
      <c r="AH1302" s="2"/>
      <c r="AI1302" s="2"/>
      <c r="AJ1302" s="2"/>
      <c r="AK1302" s="2"/>
      <c r="AL1302" s="2"/>
      <c r="AM1302" s="2"/>
      <c r="AN1302" s="2"/>
      <c r="AO1302" s="2"/>
      <c r="AP1302" s="2"/>
      <c r="AQ1302" s="2"/>
      <c r="AR1302" s="2"/>
      <c r="AS1302" s="2"/>
      <c r="AT1302" s="2"/>
      <c r="AU1302" s="2"/>
    </row>
    <row r="1303" spans="1:47" ht="15.6" hidden="1" outlineLevel="1">
      <c r="A1303" s="298"/>
      <c r="B1303" s="237" t="s">
        <v>695</v>
      </c>
      <c r="C1303" s="238"/>
      <c r="D1303" s="239"/>
      <c r="E1303" s="239"/>
      <c r="F1303" s="239"/>
      <c r="G1303" s="239"/>
      <c r="H1303" s="239"/>
      <c r="I1303" s="239"/>
      <c r="J1303" s="239"/>
      <c r="K1303" s="239"/>
      <c r="L1303" s="239"/>
      <c r="M1303" s="239"/>
      <c r="N1303" s="239"/>
      <c r="O1303" s="239"/>
      <c r="P1303" s="239"/>
      <c r="Q1303" s="239"/>
      <c r="R1303" s="239"/>
      <c r="S1303" s="239"/>
      <c r="T1303" s="239"/>
      <c r="U1303" s="239"/>
      <c r="V1303" s="239"/>
      <c r="W1303" s="239"/>
      <c r="X1303" s="239"/>
      <c r="Y1303" s="239"/>
      <c r="Z1303" s="239"/>
      <c r="AA1303" s="239"/>
      <c r="AB1303" s="239"/>
      <c r="AC1303" s="239"/>
      <c r="AD1303" s="239"/>
      <c r="AE1303" s="239"/>
      <c r="AF1303" s="239"/>
      <c r="AG1303" s="239"/>
      <c r="AH1303" s="239"/>
      <c r="AI1303" s="239"/>
      <c r="AJ1303" s="239"/>
      <c r="AK1303" s="239"/>
      <c r="AL1303" s="239"/>
      <c r="AM1303" s="239"/>
      <c r="AN1303" s="239"/>
      <c r="AO1303" s="270"/>
      <c r="AP1303" s="240"/>
      <c r="AQ1303" s="240"/>
      <c r="AR1303" s="240"/>
      <c r="AS1303" s="240"/>
      <c r="AT1303" s="2"/>
      <c r="AU1303" s="2"/>
    </row>
    <row r="1304" spans="1:47" hidden="1" outlineLevel="1">
      <c r="A1304" s="301"/>
      <c r="B1304" s="6"/>
      <c r="C1304" s="18"/>
      <c r="D1304" s="18"/>
      <c r="E1304" s="18"/>
      <c r="F1304" s="18"/>
      <c r="G1304" s="18"/>
      <c r="H1304" s="18"/>
      <c r="I1304" s="18"/>
      <c r="J1304" s="18"/>
      <c r="K1304" s="2"/>
      <c r="L1304" s="2"/>
      <c r="M1304" s="2"/>
      <c r="N1304" s="2"/>
      <c r="O1304" s="2"/>
      <c r="P1304" s="2"/>
      <c r="Q1304" s="2"/>
      <c r="R1304" s="2"/>
      <c r="S1304" s="2"/>
      <c r="T1304" s="2"/>
      <c r="U1304" s="2"/>
      <c r="V1304" s="2"/>
      <c r="W1304" s="2"/>
      <c r="X1304" s="2"/>
      <c r="Y1304" s="2"/>
      <c r="Z1304" s="2"/>
      <c r="AA1304" s="2"/>
      <c r="AB1304" s="2"/>
      <c r="AC1304" s="2"/>
      <c r="AD1304" s="2"/>
      <c r="AE1304" s="2"/>
      <c r="AF1304" s="2"/>
      <c r="AG1304" s="2"/>
      <c r="AH1304" s="2"/>
      <c r="AI1304" s="2"/>
      <c r="AJ1304" s="2"/>
      <c r="AK1304" s="2"/>
      <c r="AL1304" s="2"/>
      <c r="AM1304" s="2"/>
      <c r="AN1304" s="2"/>
      <c r="AO1304" s="2"/>
      <c r="AP1304" s="2"/>
      <c r="AQ1304" s="2"/>
      <c r="AR1304" s="2"/>
      <c r="AS1304" s="2"/>
      <c r="AT1304" s="2"/>
      <c r="AU1304" s="2"/>
    </row>
    <row r="1305" spans="1:47" hidden="1" outlineLevel="1">
      <c r="A1305" s="298"/>
      <c r="B1305" s="2" t="s">
        <v>296</v>
      </c>
      <c r="C1305" s="18" t="s">
        <v>298</v>
      </c>
      <c r="D1305" s="18"/>
      <c r="E1305" s="18"/>
      <c r="F1305" s="18"/>
      <c r="G1305" s="18"/>
      <c r="H1305" s="18"/>
      <c r="I1305" s="18"/>
      <c r="J1305" s="18"/>
      <c r="K1305" s="566">
        <v>19.15549</v>
      </c>
      <c r="L1305" s="566">
        <v>19.403310000000001</v>
      </c>
      <c r="M1305" s="566">
        <v>19.652470000000001</v>
      </c>
      <c r="N1305" s="566">
        <v>19.89142</v>
      </c>
      <c r="O1305" s="566">
        <v>20.132010000000001</v>
      </c>
      <c r="P1305" s="566">
        <v>20.398099999999999</v>
      </c>
      <c r="Q1305" s="566">
        <v>20.69641</v>
      </c>
      <c r="R1305" s="566">
        <v>21.014700000000001</v>
      </c>
      <c r="S1305" s="566">
        <v>21.373999999999999</v>
      </c>
      <c r="T1305" s="566">
        <v>21.613800000000001</v>
      </c>
      <c r="U1305" s="566">
        <v>22.36</v>
      </c>
      <c r="V1305" s="566">
        <v>22.675000000000001</v>
      </c>
      <c r="W1305" s="3">
        <v>22.969774999999998</v>
      </c>
      <c r="X1305" s="3">
        <v>23.268382074999995</v>
      </c>
      <c r="Y1305" s="3">
        <v>23.570871041974993</v>
      </c>
      <c r="Z1305" s="3">
        <v>23.877292365520667</v>
      </c>
      <c r="AA1305" s="3">
        <v>24.187697166272432</v>
      </c>
      <c r="AB1305" s="3">
        <v>24.50213722943397</v>
      </c>
      <c r="AC1305" s="3">
        <v>24.820665013416608</v>
      </c>
      <c r="AD1305" s="3">
        <v>25.143333658591022</v>
      </c>
      <c r="AE1305" s="3">
        <v>25.470196996152701</v>
      </c>
      <c r="AF1305" s="3">
        <v>25.801309557102684</v>
      </c>
      <c r="AG1305" s="3">
        <v>26.136726581345016</v>
      </c>
      <c r="AH1305" s="3">
        <v>26.4765040269025</v>
      </c>
      <c r="AI1305" s="3">
        <v>26.82069857925223</v>
      </c>
      <c r="AJ1305" s="3">
        <v>27.169367660782505</v>
      </c>
      <c r="AK1305" s="3">
        <v>27.522569440372674</v>
      </c>
      <c r="AL1305" s="3">
        <v>27.880362843097515</v>
      </c>
      <c r="AM1305" s="3">
        <v>28.242807560057781</v>
      </c>
      <c r="AN1305" s="3">
        <v>28.60996405833853</v>
      </c>
      <c r="AO1305" s="3">
        <v>28.981893591096927</v>
      </c>
      <c r="AP1305" s="3">
        <v>29.358658207781186</v>
      </c>
      <c r="AQ1305" s="3">
        <v>29.358658207781186</v>
      </c>
      <c r="AR1305" s="3">
        <v>29.358658207781186</v>
      </c>
      <c r="AS1305" s="3">
        <v>29.358658207781186</v>
      </c>
      <c r="AT1305" s="2"/>
      <c r="AU1305" s="2"/>
    </row>
    <row r="1306" spans="1:47" hidden="1" outlineLevel="1">
      <c r="A1306" s="298"/>
      <c r="B1306" s="241" t="s">
        <v>1099</v>
      </c>
      <c r="C1306" s="18" t="s">
        <v>733</v>
      </c>
      <c r="D1306" s="18"/>
      <c r="E1306" s="18"/>
      <c r="F1306" s="18"/>
      <c r="G1306" s="18"/>
      <c r="H1306" s="18"/>
      <c r="I1306" s="18"/>
      <c r="J1306" s="18"/>
      <c r="K1306" s="2"/>
      <c r="L1306" s="80">
        <v>1.2937283254043752E-2</v>
      </c>
      <c r="M1306" s="80">
        <v>1.2841108037752402E-2</v>
      </c>
      <c r="N1306" s="80">
        <v>1.2158776988337783E-2</v>
      </c>
      <c r="O1306" s="80">
        <v>1.209516464887872E-2</v>
      </c>
      <c r="P1306" s="80">
        <v>1.3217259478810028E-2</v>
      </c>
      <c r="Q1306" s="80">
        <v>1.4624401292277156E-2</v>
      </c>
      <c r="R1306" s="80">
        <v>1.5378995680893404E-2</v>
      </c>
      <c r="S1306" s="80">
        <v>1.7097555520659169E-2</v>
      </c>
      <c r="T1306" s="80">
        <v>1.1219238326939385E-2</v>
      </c>
      <c r="U1306" s="80">
        <v>3.4524239143510105E-2</v>
      </c>
      <c r="V1306" s="80">
        <v>1.4087656529517156E-2</v>
      </c>
      <c r="W1306" s="572">
        <v>1.2999999999999999E-2</v>
      </c>
      <c r="X1306" s="573">
        <v>1.2999999999999999E-2</v>
      </c>
      <c r="Y1306" s="266">
        <v>1.2999999999999999E-2</v>
      </c>
      <c r="Z1306" s="266">
        <v>1.2999999999999999E-2</v>
      </c>
      <c r="AA1306" s="266">
        <v>1.2999999999999999E-2</v>
      </c>
      <c r="AB1306" s="266">
        <v>1.2999999999999999E-2</v>
      </c>
      <c r="AC1306" s="266">
        <v>1.2999999999999999E-2</v>
      </c>
      <c r="AD1306" s="266">
        <v>1.2999999999999999E-2</v>
      </c>
      <c r="AE1306" s="266">
        <v>1.2999999999999999E-2</v>
      </c>
      <c r="AF1306" s="266">
        <v>1.2999999999999999E-2</v>
      </c>
      <c r="AG1306" s="266">
        <v>1.2999999999999999E-2</v>
      </c>
      <c r="AH1306" s="266">
        <v>1.2999999999999999E-2</v>
      </c>
      <c r="AI1306" s="266">
        <v>1.2999999999999999E-2</v>
      </c>
      <c r="AJ1306" s="266">
        <v>1.2999999999999999E-2</v>
      </c>
      <c r="AK1306" s="266">
        <v>1.2999999999999999E-2</v>
      </c>
      <c r="AL1306" s="266">
        <v>1.2999999999999999E-2</v>
      </c>
      <c r="AM1306" s="266">
        <v>1.2999999999999999E-2</v>
      </c>
      <c r="AN1306" s="266">
        <v>1.2999999999999999E-2</v>
      </c>
      <c r="AO1306" s="266">
        <v>1.2999999999999999E-2</v>
      </c>
      <c r="AP1306" s="266">
        <v>1.2999999999999999E-2</v>
      </c>
      <c r="AQ1306" s="266">
        <v>1.2999999999999999E-2</v>
      </c>
      <c r="AR1306" s="266">
        <v>1.2999999999999999E-2</v>
      </c>
      <c r="AS1306" s="266">
        <v>1.2999999999999999E-2</v>
      </c>
      <c r="AT1306" s="2"/>
      <c r="AU1306" s="2"/>
    </row>
    <row r="1307" spans="1:47" hidden="1" outlineLevel="1">
      <c r="A1307" s="298"/>
      <c r="B1307" s="2"/>
      <c r="C1307" s="18"/>
      <c r="D1307" s="18"/>
      <c r="E1307" s="18"/>
      <c r="F1307" s="18"/>
      <c r="G1307" s="18"/>
      <c r="H1307" s="18"/>
      <c r="I1307" s="18"/>
      <c r="J1307" s="18"/>
      <c r="K1307" s="2"/>
      <c r="L1307" s="2"/>
      <c r="M1307" s="2"/>
      <c r="N1307" s="2"/>
      <c r="O1307" s="2"/>
      <c r="P1307" s="2"/>
      <c r="Q1307" s="2"/>
      <c r="R1307" s="2"/>
      <c r="S1307" s="2"/>
      <c r="T1307" s="2"/>
      <c r="U1307" s="2"/>
      <c r="V1307" s="2"/>
      <c r="W1307" s="2"/>
      <c r="X1307" s="2"/>
      <c r="Y1307" s="2"/>
      <c r="Z1307" s="2"/>
      <c r="AA1307" s="2"/>
      <c r="AB1307" s="2"/>
      <c r="AC1307" s="2"/>
      <c r="AD1307" s="2"/>
      <c r="AE1307" s="2"/>
      <c r="AF1307" s="2"/>
      <c r="AG1307" s="2"/>
      <c r="AH1307" s="2"/>
      <c r="AI1307" s="2"/>
      <c r="AJ1307" s="2"/>
      <c r="AK1307" s="2"/>
      <c r="AL1307" s="2"/>
      <c r="AM1307" s="2"/>
      <c r="AN1307" s="2"/>
      <c r="AO1307" s="2"/>
      <c r="AP1307" s="2"/>
      <c r="AQ1307" s="2"/>
      <c r="AR1307" s="2"/>
      <c r="AS1307" s="2"/>
      <c r="AT1307" s="2"/>
      <c r="AU1307" s="2"/>
    </row>
    <row r="1308" spans="1:47" hidden="1" outlineLevel="1">
      <c r="A1308" s="298"/>
      <c r="B1308" s="2" t="s">
        <v>299</v>
      </c>
      <c r="C1308" s="18" t="s">
        <v>298</v>
      </c>
      <c r="D1308" s="18"/>
      <c r="E1308" s="18"/>
      <c r="F1308" s="18"/>
      <c r="G1308" s="18"/>
      <c r="H1308" s="18"/>
      <c r="I1308" s="18"/>
      <c r="J1308" s="18"/>
      <c r="K1308" s="530">
        <v>7.2499000000000002</v>
      </c>
      <c r="L1308" s="530">
        <v>7.3929999999999998</v>
      </c>
      <c r="M1308" s="530">
        <v>7.5101000000000004</v>
      </c>
      <c r="N1308" s="530">
        <v>7.6449999999999996</v>
      </c>
      <c r="O1308" s="530">
        <v>7.7830000000000004</v>
      </c>
      <c r="P1308" s="530">
        <v>7.92</v>
      </c>
      <c r="Q1308" s="530">
        <v>8.0579999999999998</v>
      </c>
      <c r="R1308" s="530">
        <v>8.1859999999999999</v>
      </c>
      <c r="S1308" s="530">
        <v>8.3149999999999995</v>
      </c>
      <c r="T1308" s="530">
        <v>8.4450000000000003</v>
      </c>
      <c r="U1308" s="530">
        <v>8.5749999999999993</v>
      </c>
      <c r="V1308" s="566">
        <v>8.7059999999999995</v>
      </c>
      <c r="W1308" s="3">
        <v>8.8191779999999991</v>
      </c>
      <c r="X1308" s="3">
        <v>8.9338273139999984</v>
      </c>
      <c r="Y1308" s="3">
        <v>9.0499670690819976</v>
      </c>
      <c r="Z1308" s="3">
        <v>9.1676166409800626</v>
      </c>
      <c r="AA1308" s="3">
        <v>9.286795657312803</v>
      </c>
      <c r="AB1308" s="3">
        <v>9.4075240008578689</v>
      </c>
      <c r="AC1308" s="3">
        <v>9.5298218128690202</v>
      </c>
      <c r="AD1308" s="3">
        <v>9.653709496436317</v>
      </c>
      <c r="AE1308" s="3">
        <v>9.7792077198899889</v>
      </c>
      <c r="AF1308" s="3">
        <v>9.9063374202485583</v>
      </c>
      <c r="AG1308" s="3">
        <v>10.035119806711789</v>
      </c>
      <c r="AH1308" s="3">
        <v>10.16557636419904</v>
      </c>
      <c r="AI1308" s="3">
        <v>10.297728856933627</v>
      </c>
      <c r="AJ1308" s="3">
        <v>10.431599332073764</v>
      </c>
      <c r="AK1308" s="3">
        <v>10.567210123390723</v>
      </c>
      <c r="AL1308" s="3">
        <v>10.704583854994802</v>
      </c>
      <c r="AM1308" s="3">
        <v>10.843743445109732</v>
      </c>
      <c r="AN1308" s="3">
        <v>10.984712109896158</v>
      </c>
      <c r="AO1308" s="3">
        <v>11.127513367324807</v>
      </c>
      <c r="AP1308" s="3">
        <v>11.272171041100028</v>
      </c>
      <c r="AQ1308" s="3">
        <v>11.272171041100028</v>
      </c>
      <c r="AR1308" s="3">
        <v>11.272171041100028</v>
      </c>
      <c r="AS1308" s="3">
        <v>11.272171041100028</v>
      </c>
      <c r="AT1308" s="2"/>
      <c r="AU1308" s="2"/>
    </row>
    <row r="1309" spans="1:47" hidden="1" outlineLevel="1">
      <c r="A1309" s="298"/>
      <c r="B1309" s="241" t="s">
        <v>1099</v>
      </c>
      <c r="C1309" s="18" t="s">
        <v>733</v>
      </c>
      <c r="D1309" s="18"/>
      <c r="E1309" s="18"/>
      <c r="F1309" s="18"/>
      <c r="G1309" s="18"/>
      <c r="H1309" s="18"/>
      <c r="I1309" s="18"/>
      <c r="J1309" s="18"/>
      <c r="K1309" s="2"/>
      <c r="L1309" s="80">
        <v>1.9738203285562417E-2</v>
      </c>
      <c r="M1309" s="80">
        <v>1.583930745299611E-2</v>
      </c>
      <c r="N1309" s="80">
        <v>1.7962477197374094E-2</v>
      </c>
      <c r="O1309" s="80">
        <v>1.8051013734467158E-2</v>
      </c>
      <c r="P1309" s="80">
        <v>1.7602466915071169E-2</v>
      </c>
      <c r="Q1309" s="80">
        <v>1.7424242424242342E-2</v>
      </c>
      <c r="R1309" s="80">
        <v>1.588483494663695E-2</v>
      </c>
      <c r="S1309" s="80">
        <v>1.575861226484232E-2</v>
      </c>
      <c r="T1309" s="80">
        <v>1.5634395670475199E-2</v>
      </c>
      <c r="U1309" s="80">
        <v>1.5393724097098715E-2</v>
      </c>
      <c r="V1309" s="80">
        <v>1.5276967930029084E-2</v>
      </c>
      <c r="W1309" s="81">
        <v>1.2999999999999999E-2</v>
      </c>
      <c r="X1309" s="266">
        <v>1.2999999999999999E-2</v>
      </c>
      <c r="Y1309" s="266">
        <v>1.2999999999999999E-2</v>
      </c>
      <c r="Z1309" s="266">
        <v>1.2999999999999999E-2</v>
      </c>
      <c r="AA1309" s="266">
        <v>1.2999999999999999E-2</v>
      </c>
      <c r="AB1309" s="266">
        <v>1.2999999999999999E-2</v>
      </c>
      <c r="AC1309" s="266">
        <v>1.2999999999999999E-2</v>
      </c>
      <c r="AD1309" s="266">
        <v>1.2999999999999999E-2</v>
      </c>
      <c r="AE1309" s="266">
        <v>1.2999999999999999E-2</v>
      </c>
      <c r="AF1309" s="266">
        <v>1.2999999999999999E-2</v>
      </c>
      <c r="AG1309" s="266">
        <v>1.2999999999999999E-2</v>
      </c>
      <c r="AH1309" s="266">
        <v>1.2999999999999999E-2</v>
      </c>
      <c r="AI1309" s="266">
        <v>1.2999999999999999E-2</v>
      </c>
      <c r="AJ1309" s="266">
        <v>1.2999999999999999E-2</v>
      </c>
      <c r="AK1309" s="266">
        <v>1.2999999999999999E-2</v>
      </c>
      <c r="AL1309" s="266">
        <v>1.2999999999999999E-2</v>
      </c>
      <c r="AM1309" s="266">
        <v>1.2999999999999999E-2</v>
      </c>
      <c r="AN1309" s="266">
        <v>1.2999999999999999E-2</v>
      </c>
      <c r="AO1309" s="266">
        <v>1.2999999999999999E-2</v>
      </c>
      <c r="AP1309" s="266">
        <v>1.2999999999999999E-2</v>
      </c>
      <c r="AQ1309" s="266">
        <v>1.2999999999999999E-2</v>
      </c>
      <c r="AR1309" s="266">
        <v>1.2999999999999999E-2</v>
      </c>
      <c r="AS1309" s="266">
        <v>1.2999999999999999E-2</v>
      </c>
      <c r="AT1309" s="2"/>
      <c r="AU1309" s="2"/>
    </row>
    <row r="1310" spans="1:47" hidden="1" outlineLevel="1">
      <c r="A1310" s="298"/>
      <c r="B1310" s="2"/>
      <c r="C1310" s="18"/>
      <c r="D1310" s="18"/>
      <c r="E1310" s="18"/>
      <c r="F1310" s="18"/>
      <c r="G1310" s="18"/>
      <c r="H1310" s="18"/>
      <c r="I1310" s="18"/>
      <c r="J1310" s="18"/>
      <c r="K1310" s="2"/>
      <c r="L1310" s="2"/>
      <c r="M1310" s="2"/>
      <c r="N1310" s="2"/>
      <c r="O1310" s="2"/>
      <c r="P1310" s="2"/>
      <c r="Q1310" s="2"/>
      <c r="R1310" s="2"/>
      <c r="S1310" s="2"/>
      <c r="T1310" s="2"/>
      <c r="U1310" s="2"/>
      <c r="V1310" s="2"/>
      <c r="W1310" s="2"/>
      <c r="X1310" s="2"/>
      <c r="Y1310" s="2"/>
      <c r="Z1310" s="2"/>
      <c r="AA1310" s="2"/>
      <c r="AB1310" s="2"/>
      <c r="AC1310" s="2"/>
      <c r="AD1310" s="2"/>
      <c r="AE1310" s="2"/>
      <c r="AF1310" s="2"/>
      <c r="AG1310" s="2"/>
      <c r="AH1310" s="2"/>
      <c r="AI1310" s="2"/>
      <c r="AJ1310" s="2"/>
      <c r="AK1310" s="2"/>
      <c r="AL1310" s="2"/>
      <c r="AM1310" s="2"/>
      <c r="AN1310" s="2"/>
      <c r="AO1310" s="2"/>
      <c r="AP1310" s="2"/>
      <c r="AQ1310" s="2"/>
      <c r="AR1310" s="2"/>
      <c r="AS1310" s="2"/>
      <c r="AT1310" s="2"/>
      <c r="AU1310" s="2"/>
    </row>
    <row r="1311" spans="1:47" hidden="1" outlineLevel="1">
      <c r="A1311" s="298"/>
      <c r="B1311" s="2" t="s">
        <v>301</v>
      </c>
      <c r="C1311" s="18" t="s">
        <v>300</v>
      </c>
      <c r="D1311" s="18"/>
      <c r="E1311" s="18"/>
      <c r="F1311" s="18"/>
      <c r="G1311" s="18"/>
      <c r="H1311" s="18"/>
      <c r="I1311" s="18"/>
      <c r="J1311" s="18"/>
      <c r="K1311" s="3">
        <v>2.6421729954895929</v>
      </c>
      <c r="L1311" s="3">
        <v>2.6245516028675775</v>
      </c>
      <c r="M1311" s="3">
        <v>2.6168053687700561</v>
      </c>
      <c r="N1311" s="3">
        <v>2.6018862001308047</v>
      </c>
      <c r="O1311" s="3">
        <v>2.5866645252473339</v>
      </c>
      <c r="P1311" s="3">
        <v>2.5755176767676766</v>
      </c>
      <c r="Q1311" s="3">
        <v>2.5684301315462896</v>
      </c>
      <c r="R1311" s="3">
        <v>2.5671512338138287</v>
      </c>
      <c r="S1311" s="3">
        <v>2.5705351773902585</v>
      </c>
      <c r="T1311" s="3">
        <v>2.5593605683836591</v>
      </c>
      <c r="U1311" s="3">
        <v>2.6075801749271137</v>
      </c>
      <c r="V1311" s="3">
        <v>2.6045256145187228</v>
      </c>
      <c r="W1311" s="3">
        <v>2.6045256145187228</v>
      </c>
      <c r="X1311" s="3">
        <v>2.6045256145187228</v>
      </c>
      <c r="Y1311" s="3">
        <v>2.6045256145187228</v>
      </c>
      <c r="Z1311" s="3">
        <v>2.6045256145187228</v>
      </c>
      <c r="AA1311" s="3">
        <v>2.6045256145187228</v>
      </c>
      <c r="AB1311" s="3">
        <v>2.6045256145187223</v>
      </c>
      <c r="AC1311" s="3">
        <v>2.6045256145187223</v>
      </c>
      <c r="AD1311" s="3">
        <v>2.6045256145187219</v>
      </c>
      <c r="AE1311" s="3">
        <v>2.6045256145187219</v>
      </c>
      <c r="AF1311" s="3">
        <v>2.6045256145187214</v>
      </c>
      <c r="AG1311" s="3">
        <v>2.6045256145187214</v>
      </c>
      <c r="AH1311" s="3">
        <v>2.6045256145187219</v>
      </c>
      <c r="AI1311" s="3">
        <v>2.6045256145187219</v>
      </c>
      <c r="AJ1311" s="3">
        <v>2.6045256145187214</v>
      </c>
      <c r="AK1311" s="3">
        <v>2.6045256145187214</v>
      </c>
      <c r="AL1311" s="3">
        <v>2.604525614518721</v>
      </c>
      <c r="AM1311" s="3">
        <v>2.6045256145187214</v>
      </c>
      <c r="AN1311" s="3">
        <v>2.6045256145187214</v>
      </c>
      <c r="AO1311" s="3">
        <v>2.604525614518721</v>
      </c>
      <c r="AP1311" s="3">
        <v>2.6045256145187214</v>
      </c>
      <c r="AQ1311" s="3">
        <v>2.6045256145187214</v>
      </c>
      <c r="AR1311" s="3">
        <v>2.6045256145187214</v>
      </c>
      <c r="AS1311" s="3">
        <v>2.6045256145187214</v>
      </c>
      <c r="AT1311" s="2"/>
      <c r="AU1311" s="2"/>
    </row>
    <row r="1312" spans="1:47" hidden="1" outlineLevel="1">
      <c r="A1312" s="298"/>
      <c r="B1312" s="2"/>
      <c r="C1312" s="18"/>
      <c r="D1312" s="18"/>
      <c r="E1312" s="18"/>
      <c r="F1312" s="18"/>
      <c r="G1312" s="18"/>
      <c r="H1312" s="18"/>
      <c r="I1312" s="18"/>
      <c r="J1312" s="18"/>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2"/>
      <c r="AU1312" s="2"/>
    </row>
    <row r="1313" spans="1:47" hidden="1" outlineLevel="1">
      <c r="A1313" s="298"/>
      <c r="B1313" s="6" t="s">
        <v>1115</v>
      </c>
      <c r="C1313" s="18"/>
      <c r="D1313" s="18"/>
      <c r="E1313" s="18"/>
      <c r="F1313" s="18"/>
      <c r="G1313" s="18"/>
      <c r="H1313" s="18"/>
      <c r="I1313" s="18"/>
      <c r="J1313" s="18"/>
      <c r="K1313" s="3"/>
      <c r="L1313" s="3"/>
      <c r="M1313" s="3"/>
      <c r="N1313" s="3"/>
      <c r="O1313" s="3"/>
      <c r="P1313" s="3"/>
      <c r="Q1313" s="3"/>
      <c r="R1313" s="3"/>
      <c r="S1313" s="3"/>
      <c r="T1313" s="3"/>
      <c r="U1313" s="3"/>
      <c r="V1313" s="3"/>
      <c r="W1313" s="2"/>
      <c r="X1313" s="3"/>
      <c r="Y1313" s="3"/>
      <c r="Z1313" s="3"/>
      <c r="AA1313" s="3"/>
      <c r="AB1313" s="3"/>
      <c r="AC1313" s="3"/>
      <c r="AD1313" s="3"/>
      <c r="AE1313" s="3"/>
      <c r="AF1313" s="3"/>
      <c r="AG1313" s="3"/>
      <c r="AH1313" s="3"/>
      <c r="AI1313" s="3"/>
      <c r="AJ1313" s="3"/>
      <c r="AK1313" s="3"/>
      <c r="AL1313" s="3"/>
      <c r="AM1313" s="3"/>
      <c r="AN1313" s="3"/>
      <c r="AO1313" s="3"/>
      <c r="AP1313" s="3"/>
      <c r="AQ1313" s="3"/>
      <c r="AR1313" s="3"/>
      <c r="AS1313" s="3"/>
      <c r="AT1313" s="2"/>
      <c r="AU1313" s="2"/>
    </row>
    <row r="1314" spans="1:47" hidden="1" outlineLevel="1">
      <c r="A1314" s="298"/>
      <c r="B1314" s="55" t="s">
        <v>304</v>
      </c>
      <c r="C1314" s="18" t="s">
        <v>180</v>
      </c>
      <c r="D1314" s="18"/>
      <c r="E1314" s="18"/>
      <c r="F1314" s="18"/>
      <c r="G1314" s="18"/>
      <c r="H1314" s="18"/>
      <c r="I1314" s="18"/>
      <c r="J1314" s="18"/>
      <c r="K1314" s="83">
        <v>6.51</v>
      </c>
      <c r="L1314" s="3">
        <v>6.29</v>
      </c>
      <c r="M1314" s="3">
        <v>6.41</v>
      </c>
      <c r="N1314" s="3">
        <v>6.2</v>
      </c>
      <c r="O1314" s="3">
        <v>5.87</v>
      </c>
      <c r="P1314" s="3">
        <v>5.6</v>
      </c>
      <c r="Q1314" s="3">
        <v>5.47</v>
      </c>
      <c r="R1314" s="3">
        <v>5.56</v>
      </c>
      <c r="S1314" s="3">
        <v>5.56</v>
      </c>
      <c r="T1314" s="3">
        <v>5.4619999999999997</v>
      </c>
      <c r="U1314" s="3">
        <v>5.2030000000000003</v>
      </c>
      <c r="V1314" s="3">
        <v>5.0199999999999996</v>
      </c>
      <c r="W1314" s="3">
        <v>4.8070000000000004</v>
      </c>
      <c r="X1314" s="3">
        <v>2.1718592799561287E-2</v>
      </c>
      <c r="Y1314" s="3">
        <v>0.20321490338770795</v>
      </c>
      <c r="Z1314" s="3">
        <v>0.33022421800502538</v>
      </c>
      <c r="AA1314" s="3">
        <v>0.63504657308658741</v>
      </c>
      <c r="AB1314" s="3">
        <v>0.88906520232122233</v>
      </c>
      <c r="AC1314" s="3">
        <v>1.1430838315558574</v>
      </c>
      <c r="AD1314" s="3">
        <v>1.5241117754078095</v>
      </c>
      <c r="AE1314" s="3">
        <v>2.0321490338770798</v>
      </c>
      <c r="AF1314" s="3">
        <v>2.2861676631117147</v>
      </c>
      <c r="AG1314" s="3">
        <v>2.5401862923463496</v>
      </c>
      <c r="AH1314" s="3">
        <v>2.5401862923463496</v>
      </c>
      <c r="AI1314" s="3">
        <v>2.5401862923463496</v>
      </c>
      <c r="AJ1314" s="3">
        <v>0</v>
      </c>
      <c r="AK1314" s="3">
        <v>0</v>
      </c>
      <c r="AL1314" s="3">
        <v>0</v>
      </c>
      <c r="AM1314" s="3">
        <v>0</v>
      </c>
      <c r="AN1314" s="3">
        <v>0</v>
      </c>
      <c r="AO1314" s="3">
        <v>0</v>
      </c>
      <c r="AP1314" s="3">
        <v>0</v>
      </c>
      <c r="AQ1314" s="3">
        <v>0</v>
      </c>
      <c r="AR1314" s="3">
        <v>0</v>
      </c>
      <c r="AS1314" s="3">
        <v>0</v>
      </c>
      <c r="AT1314" s="2"/>
      <c r="AU1314" s="2"/>
    </row>
    <row r="1315" spans="1:47" hidden="1" outlineLevel="1">
      <c r="A1315" s="298"/>
      <c r="B1315" s="55" t="s">
        <v>303</v>
      </c>
      <c r="C1315" s="18" t="s">
        <v>180</v>
      </c>
      <c r="D1315" s="18"/>
      <c r="E1315" s="18"/>
      <c r="F1315" s="18"/>
      <c r="G1315" s="18"/>
      <c r="H1315" s="18"/>
      <c r="I1315" s="18"/>
      <c r="J1315" s="18"/>
      <c r="K1315" s="3">
        <v>2.36</v>
      </c>
      <c r="L1315" s="3">
        <v>2.4700000000000002</v>
      </c>
      <c r="M1315" s="3">
        <v>2.81</v>
      </c>
      <c r="N1315" s="3">
        <v>2.71</v>
      </c>
      <c r="O1315" s="3">
        <v>2.57</v>
      </c>
      <c r="P1315" s="3">
        <v>2.4500000000000002</v>
      </c>
      <c r="Q1315" s="3">
        <v>2.31</v>
      </c>
      <c r="R1315" s="3">
        <v>2.2200000000000002</v>
      </c>
      <c r="S1315" s="3">
        <v>2.31</v>
      </c>
      <c r="T1315" s="3">
        <v>2.2709999999999999</v>
      </c>
      <c r="U1315" s="3">
        <v>2.2040000000000002</v>
      </c>
      <c r="V1315" s="3">
        <v>2.1379999999999999</v>
      </c>
      <c r="W1315" s="3">
        <v>2.0737435999999998</v>
      </c>
      <c r="X1315" s="3">
        <v>1.3336407200438709E-2</v>
      </c>
      <c r="Y1315" s="3">
        <v>0.12478509661229201</v>
      </c>
      <c r="Z1315" s="3">
        <v>0.20277578199497451</v>
      </c>
      <c r="AA1315" s="3">
        <v>0.38995342691341256</v>
      </c>
      <c r="AB1315" s="3">
        <v>0.54593479767877751</v>
      </c>
      <c r="AC1315" s="3">
        <v>0.70191616844414262</v>
      </c>
      <c r="AD1315" s="3">
        <v>0.93588822459219001</v>
      </c>
      <c r="AE1315" s="3">
        <v>1.2478509661229202</v>
      </c>
      <c r="AF1315" s="3">
        <v>1.4038323368882852</v>
      </c>
      <c r="AG1315" s="3">
        <v>1.5598137076536502</v>
      </c>
      <c r="AH1315" s="3">
        <v>1.5598137076536502</v>
      </c>
      <c r="AI1315" s="3">
        <v>1.5598137076536502</v>
      </c>
      <c r="AJ1315" s="3">
        <v>0</v>
      </c>
      <c r="AK1315" s="3">
        <v>0</v>
      </c>
      <c r="AL1315" s="3">
        <v>0</v>
      </c>
      <c r="AM1315" s="3">
        <v>0</v>
      </c>
      <c r="AN1315" s="3">
        <v>0</v>
      </c>
      <c r="AO1315" s="3">
        <v>0</v>
      </c>
      <c r="AP1315" s="3">
        <v>0</v>
      </c>
      <c r="AQ1315" s="3">
        <v>0</v>
      </c>
      <c r="AR1315" s="3">
        <v>0</v>
      </c>
      <c r="AS1315" s="3">
        <v>0</v>
      </c>
      <c r="AT1315" s="2"/>
      <c r="AU1315" s="2"/>
    </row>
    <row r="1316" spans="1:47" hidden="1" outlineLevel="1">
      <c r="A1316" s="298"/>
      <c r="B1316" s="57" t="s">
        <v>295</v>
      </c>
      <c r="C1316" s="22" t="s">
        <v>180</v>
      </c>
      <c r="D1316" s="22"/>
      <c r="E1316" s="22"/>
      <c r="F1316" s="22"/>
      <c r="G1316" s="22"/>
      <c r="H1316" s="22"/>
      <c r="I1316" s="22"/>
      <c r="J1316" s="22"/>
      <c r="K1316" s="84">
        <v>1.17</v>
      </c>
      <c r="L1316" s="84">
        <v>1.3</v>
      </c>
      <c r="M1316" s="84">
        <v>1.32</v>
      </c>
      <c r="N1316" s="84">
        <v>1.55</v>
      </c>
      <c r="O1316" s="84">
        <v>1.84</v>
      </c>
      <c r="P1316" s="84">
        <v>2.0699999999999998</v>
      </c>
      <c r="Q1316" s="84">
        <v>2.16</v>
      </c>
      <c r="R1316" s="84">
        <v>1.98</v>
      </c>
      <c r="S1316" s="84">
        <v>1.5</v>
      </c>
      <c r="T1316" s="84">
        <v>1.2849999999999999</v>
      </c>
      <c r="U1316" s="84">
        <v>1.2529999999999999</v>
      </c>
      <c r="V1316" s="84">
        <v>1.212</v>
      </c>
      <c r="W1316" s="84">
        <v>1.18</v>
      </c>
      <c r="X1316" s="84">
        <v>1.1722555110220441</v>
      </c>
      <c r="Y1316" s="84">
        <v>1.1877755511022046</v>
      </c>
      <c r="Z1316" s="84">
        <v>1.2286573146292585</v>
      </c>
      <c r="AA1316" s="84">
        <v>1.3867735470941884</v>
      </c>
      <c r="AB1316" s="84">
        <v>1.2685370741482966</v>
      </c>
      <c r="AC1316" s="84">
        <v>1.1503006012024048</v>
      </c>
      <c r="AD1316" s="84">
        <v>0.97294589178356716</v>
      </c>
      <c r="AE1316" s="84">
        <v>0.73647294589178358</v>
      </c>
      <c r="AF1316" s="84">
        <v>0.61823647294589168</v>
      </c>
      <c r="AG1316" s="84">
        <v>0.5</v>
      </c>
      <c r="AH1316" s="84">
        <v>0.5</v>
      </c>
      <c r="AI1316" s="84">
        <v>0.5</v>
      </c>
      <c r="AJ1316" s="84">
        <v>0</v>
      </c>
      <c r="AK1316" s="84">
        <v>0</v>
      </c>
      <c r="AL1316" s="84">
        <v>0</v>
      </c>
      <c r="AM1316" s="84">
        <v>0</v>
      </c>
      <c r="AN1316" s="84">
        <v>0</v>
      </c>
      <c r="AO1316" s="84">
        <v>0</v>
      </c>
      <c r="AP1316" s="84">
        <v>0</v>
      </c>
      <c r="AQ1316" s="84">
        <v>0</v>
      </c>
      <c r="AR1316" s="84">
        <v>0</v>
      </c>
      <c r="AS1316" s="84">
        <v>0</v>
      </c>
      <c r="AT1316" s="2"/>
      <c r="AU1316" s="2"/>
    </row>
    <row r="1317" spans="1:47" hidden="1" outlineLevel="1">
      <c r="A1317" s="298"/>
      <c r="B1317" s="6" t="s">
        <v>244</v>
      </c>
      <c r="C1317" s="21" t="s">
        <v>180</v>
      </c>
      <c r="D1317" s="21"/>
      <c r="E1317" s="21"/>
      <c r="F1317" s="21"/>
      <c r="G1317" s="21"/>
      <c r="H1317" s="21"/>
      <c r="I1317" s="21"/>
      <c r="J1317" s="21"/>
      <c r="K1317" s="4">
        <v>10.039999999999999</v>
      </c>
      <c r="L1317" s="4">
        <v>10.06</v>
      </c>
      <c r="M1317" s="4">
        <v>10.540000000000001</v>
      </c>
      <c r="N1317" s="4">
        <v>10.46</v>
      </c>
      <c r="O1317" s="4">
        <v>10.28</v>
      </c>
      <c r="P1317" s="4">
        <v>10.120000000000001</v>
      </c>
      <c r="Q1317" s="4">
        <v>9.94</v>
      </c>
      <c r="R1317" s="4">
        <v>9.76</v>
      </c>
      <c r="S1317" s="4">
        <v>9.3699999999999992</v>
      </c>
      <c r="T1317" s="4">
        <v>9.0179999999999989</v>
      </c>
      <c r="U1317" s="4">
        <v>8.66</v>
      </c>
      <c r="V1317" s="4">
        <v>8.3699999999999992</v>
      </c>
      <c r="W1317" s="4">
        <v>8.0607436000000003</v>
      </c>
      <c r="X1317" s="4">
        <v>1.2073105110220441</v>
      </c>
      <c r="Y1317" s="4">
        <v>1.5157755511022044</v>
      </c>
      <c r="Z1317" s="4">
        <v>1.7616573146292585</v>
      </c>
      <c r="AA1317" s="4">
        <v>2.4117735470941883</v>
      </c>
      <c r="AB1317" s="4">
        <v>2.7035370741482962</v>
      </c>
      <c r="AC1317" s="4">
        <v>2.9953006012024046</v>
      </c>
      <c r="AD1317" s="4">
        <v>3.4329458917835667</v>
      </c>
      <c r="AE1317" s="4">
        <v>4.0164729458917838</v>
      </c>
      <c r="AF1317" s="4">
        <v>4.3082364729458913</v>
      </c>
      <c r="AG1317" s="4">
        <v>4.5999999999999996</v>
      </c>
      <c r="AH1317" s="4">
        <v>4.5999999999999996</v>
      </c>
      <c r="AI1317" s="4">
        <v>4.5999999999999996</v>
      </c>
      <c r="AJ1317" s="4">
        <v>0</v>
      </c>
      <c r="AK1317" s="4">
        <v>0</v>
      </c>
      <c r="AL1317" s="4">
        <v>0</v>
      </c>
      <c r="AM1317" s="4">
        <v>0</v>
      </c>
      <c r="AN1317" s="4">
        <v>0</v>
      </c>
      <c r="AO1317" s="4">
        <v>0</v>
      </c>
      <c r="AP1317" s="4">
        <v>0</v>
      </c>
      <c r="AQ1317" s="4">
        <v>0</v>
      </c>
      <c r="AR1317" s="4">
        <v>0</v>
      </c>
      <c r="AS1317" s="4">
        <v>0</v>
      </c>
      <c r="AT1317" s="2"/>
      <c r="AU1317" s="2"/>
    </row>
    <row r="1318" spans="1:47" hidden="1" outlineLevel="1">
      <c r="A1318" s="298"/>
      <c r="B1318" s="55" t="s">
        <v>696</v>
      </c>
      <c r="C1318" s="18"/>
      <c r="D1318" s="18"/>
      <c r="E1318" s="18"/>
      <c r="F1318" s="18"/>
      <c r="G1318" s="18"/>
      <c r="H1318" s="18"/>
      <c r="I1318" s="18"/>
      <c r="J1318" s="18"/>
      <c r="K1318" s="3"/>
      <c r="L1318" s="3"/>
      <c r="M1318" s="3"/>
      <c r="N1318" s="3"/>
      <c r="O1318" s="3"/>
      <c r="P1318" s="3">
        <v>0.04</v>
      </c>
      <c r="Q1318" s="3">
        <v>0.12</v>
      </c>
      <c r="R1318" s="3">
        <v>0.23899999999999999</v>
      </c>
      <c r="S1318" s="3">
        <v>0.52700000000000002</v>
      </c>
      <c r="T1318" s="3">
        <v>0.69799999999999995</v>
      </c>
      <c r="U1318" s="3">
        <v>0.83099999999999996</v>
      </c>
      <c r="V1318" s="3">
        <v>1.0009999999999999</v>
      </c>
      <c r="W1318" s="3">
        <v>1.1599999999999999</v>
      </c>
      <c r="X1318" s="3">
        <v>1.3220000000000001</v>
      </c>
      <c r="Y1318" s="3">
        <v>1.482</v>
      </c>
      <c r="Z1318" s="3">
        <v>1.5629999999999999</v>
      </c>
      <c r="AA1318" s="3">
        <v>1.6920922446245876</v>
      </c>
      <c r="AB1318" s="3">
        <v>1.6016855247852573</v>
      </c>
      <c r="AC1318" s="3">
        <v>1.5601033044302552</v>
      </c>
      <c r="AD1318" s="3">
        <v>1.5635070670752289</v>
      </c>
      <c r="AE1318" s="3">
        <v>1.5628239870025671</v>
      </c>
      <c r="AF1318" s="3">
        <v>1.5143084945364871</v>
      </c>
      <c r="AG1318" s="3">
        <v>1.4642674820124857</v>
      </c>
      <c r="AH1318" s="3">
        <v>1.4126694850272836</v>
      </c>
      <c r="AI1318" s="3">
        <v>1.3594824789160063</v>
      </c>
      <c r="AJ1318" s="3">
        <v>1.3046738695028661</v>
      </c>
      <c r="AK1318" s="3">
        <v>1.2482104837060475</v>
      </c>
      <c r="AL1318" s="3">
        <v>1.1900585599945654</v>
      </c>
      <c r="AM1318" s="3">
        <v>1.1301837386948386</v>
      </c>
      <c r="AN1318" s="3">
        <v>1.0685510521446799</v>
      </c>
      <c r="AO1318" s="3">
        <v>1.0051249146923777</v>
      </c>
      <c r="AP1318" s="3">
        <v>0.93986911253850325</v>
      </c>
      <c r="AQ1318" s="3">
        <v>0.93986911253850325</v>
      </c>
      <c r="AR1318" s="3">
        <v>0.93986911253850325</v>
      </c>
      <c r="AS1318" s="3">
        <v>0.93986911253850325</v>
      </c>
      <c r="AT1318" s="2"/>
      <c r="AU1318" s="2"/>
    </row>
    <row r="1319" spans="1:47" hidden="1" outlineLevel="1">
      <c r="A1319" s="298"/>
      <c r="B1319" s="2"/>
      <c r="C1319" s="18"/>
      <c r="D1319" s="18"/>
      <c r="E1319" s="18"/>
      <c r="F1319" s="18"/>
      <c r="G1319" s="18"/>
      <c r="H1319" s="18"/>
      <c r="I1319" s="18"/>
      <c r="J1319" s="18"/>
      <c r="K1319" s="3"/>
      <c r="L1319" s="3"/>
      <c r="M1319" s="3"/>
      <c r="N1319" s="3"/>
      <c r="O1319" s="3"/>
      <c r="P1319" s="3"/>
      <c r="Q1319" s="3"/>
      <c r="R1319" s="3"/>
      <c r="S1319" s="3"/>
      <c r="T1319" s="3"/>
      <c r="U1319" s="3"/>
      <c r="V1319" s="3"/>
      <c r="W1319" s="3"/>
      <c r="X1319" s="3"/>
      <c r="Y1319" s="3"/>
      <c r="Z1319" s="3"/>
      <c r="AA1319" s="3"/>
      <c r="AB1319" s="3"/>
      <c r="AC1319" s="3"/>
      <c r="AD1319" s="3"/>
      <c r="AE1319" s="3"/>
      <c r="AF1319" s="3"/>
      <c r="AG1319" s="3"/>
      <c r="AH1319" s="3"/>
      <c r="AI1319" s="3"/>
      <c r="AJ1319" s="3"/>
      <c r="AK1319" s="3"/>
      <c r="AL1319" s="3"/>
      <c r="AM1319" s="3"/>
      <c r="AN1319" s="3"/>
      <c r="AO1319" s="3"/>
      <c r="AP1319" s="3"/>
      <c r="AQ1319" s="3"/>
      <c r="AR1319" s="3"/>
      <c r="AS1319" s="3"/>
      <c r="AT1319" s="2"/>
      <c r="AU1319" s="2"/>
    </row>
    <row r="1320" spans="1:47" hidden="1" outlineLevel="1">
      <c r="A1320" s="298"/>
      <c r="B1320" s="2" t="s">
        <v>245</v>
      </c>
      <c r="C1320" s="18" t="s">
        <v>733</v>
      </c>
      <c r="D1320" s="18"/>
      <c r="E1320" s="18"/>
      <c r="F1320" s="18"/>
      <c r="G1320" s="18"/>
      <c r="H1320" s="18"/>
      <c r="I1320" s="18"/>
      <c r="J1320" s="18"/>
      <c r="K1320" s="530">
        <v>0.9</v>
      </c>
      <c r="L1320" s="530">
        <v>0.9</v>
      </c>
      <c r="M1320" s="530">
        <v>0.9</v>
      </c>
      <c r="N1320" s="530">
        <v>0.9</v>
      </c>
      <c r="O1320" s="530">
        <v>0.9</v>
      </c>
      <c r="P1320" s="530">
        <v>0.9</v>
      </c>
      <c r="Q1320" s="530">
        <v>0.9</v>
      </c>
      <c r="R1320" s="530">
        <v>0.9</v>
      </c>
      <c r="S1320" s="530">
        <v>0.95</v>
      </c>
      <c r="T1320" s="530">
        <v>0.95</v>
      </c>
      <c r="U1320" s="530">
        <v>0.95</v>
      </c>
      <c r="V1320" s="530">
        <v>0.95</v>
      </c>
      <c r="W1320" s="530">
        <v>0.95</v>
      </c>
      <c r="X1320" s="530">
        <v>0.95</v>
      </c>
      <c r="Y1320" s="530">
        <v>0.9</v>
      </c>
      <c r="Z1320" s="530">
        <v>0.9</v>
      </c>
      <c r="AA1320" s="530">
        <v>0.9</v>
      </c>
      <c r="AB1320" s="530">
        <v>0.9</v>
      </c>
      <c r="AC1320" s="530">
        <v>0.9</v>
      </c>
      <c r="AD1320" s="530">
        <v>0.9</v>
      </c>
      <c r="AE1320" s="530">
        <v>0.9</v>
      </c>
      <c r="AF1320" s="530">
        <v>1.9</v>
      </c>
      <c r="AG1320" s="530">
        <v>2.9</v>
      </c>
      <c r="AH1320" s="530">
        <v>3.9</v>
      </c>
      <c r="AI1320" s="530">
        <v>4.9000000000000004</v>
      </c>
      <c r="AJ1320" s="530">
        <v>4.9000000000000004</v>
      </c>
      <c r="AK1320" s="530">
        <v>4.9000000000000004</v>
      </c>
      <c r="AL1320" s="530">
        <v>4.9000000000000004</v>
      </c>
      <c r="AM1320" s="530">
        <v>4.9000000000000004</v>
      </c>
      <c r="AN1320" s="530">
        <v>4.9000000000000004</v>
      </c>
      <c r="AO1320" s="530">
        <v>4.9000000000000004</v>
      </c>
      <c r="AP1320" s="530">
        <v>4.9000000000000004</v>
      </c>
      <c r="AQ1320" s="530">
        <v>4.9000000000000004</v>
      </c>
      <c r="AR1320" s="530">
        <v>4.9000000000000004</v>
      </c>
      <c r="AS1320" s="530">
        <v>4.9000000000000004</v>
      </c>
      <c r="AT1320" s="2"/>
      <c r="AU1320" s="2"/>
    </row>
    <row r="1321" spans="1:47" hidden="1" outlineLevel="1">
      <c r="A1321" s="298"/>
      <c r="B1321" s="2"/>
      <c r="C1321" s="18"/>
      <c r="D1321" s="18"/>
      <c r="E1321" s="18"/>
      <c r="F1321" s="18"/>
      <c r="G1321" s="18"/>
      <c r="H1321" s="18"/>
      <c r="I1321" s="18"/>
      <c r="J1321" s="18"/>
      <c r="K1321" s="3"/>
      <c r="L1321" s="3"/>
      <c r="M1321" s="3"/>
      <c r="N1321" s="3"/>
      <c r="O1321" s="3"/>
      <c r="P1321" s="3"/>
      <c r="Q1321" s="3"/>
      <c r="R1321" s="3"/>
      <c r="S1321" s="3"/>
      <c r="T1321" s="3"/>
      <c r="U1321" s="3"/>
      <c r="V1321" s="3"/>
      <c r="W1321" s="3"/>
      <c r="X1321" s="3"/>
      <c r="Y1321" s="3"/>
      <c r="Z1321" s="3"/>
      <c r="AA1321" s="3"/>
      <c r="AB1321" s="3"/>
      <c r="AC1321" s="3"/>
      <c r="AD1321" s="3"/>
      <c r="AE1321" s="3"/>
      <c r="AF1321" s="3"/>
      <c r="AG1321" s="3"/>
      <c r="AH1321" s="3"/>
      <c r="AI1321" s="3"/>
      <c r="AJ1321" s="3"/>
      <c r="AK1321" s="3"/>
      <c r="AL1321" s="3"/>
      <c r="AM1321" s="3"/>
      <c r="AN1321" s="3"/>
      <c r="AO1321" s="3"/>
      <c r="AP1321" s="3"/>
      <c r="AQ1321" s="3"/>
      <c r="AR1321" s="3"/>
      <c r="AS1321" s="3"/>
      <c r="AT1321" s="2"/>
      <c r="AU1321" s="2"/>
    </row>
    <row r="1322" spans="1:47" hidden="1" outlineLevel="1">
      <c r="A1322" s="298"/>
      <c r="B1322" s="2" t="s">
        <v>246</v>
      </c>
      <c r="C1322" s="18" t="s">
        <v>180</v>
      </c>
      <c r="D1322" s="18"/>
      <c r="E1322" s="18"/>
      <c r="F1322" s="18"/>
      <c r="G1322" s="18"/>
      <c r="H1322" s="18"/>
      <c r="I1322" s="18"/>
      <c r="J1322" s="18"/>
      <c r="K1322" s="3">
        <v>7.5629999999999997</v>
      </c>
      <c r="L1322" s="3">
        <v>7.46</v>
      </c>
      <c r="M1322" s="3">
        <v>7.5980000000000008</v>
      </c>
      <c r="N1322" s="3">
        <v>7.5950000000000006</v>
      </c>
      <c r="O1322" s="3">
        <v>7.5259999999999998</v>
      </c>
      <c r="P1322" s="3">
        <v>7.4989999999999988</v>
      </c>
      <c r="Q1322" s="3">
        <v>7.5219999999999994</v>
      </c>
      <c r="R1322" s="3">
        <v>7.5570999999999993</v>
      </c>
      <c r="S1322" s="3">
        <v>7.4856499999999997</v>
      </c>
      <c r="T1322" s="3">
        <v>7.3458499999999995</v>
      </c>
      <c r="U1322" s="3">
        <v>7.1827999999999994</v>
      </c>
      <c r="V1322" s="3">
        <v>7.1223499999999991</v>
      </c>
      <c r="W1322" s="3">
        <v>7.0300000000000011</v>
      </c>
      <c r="X1322" s="3">
        <v>2.3912613282705033</v>
      </c>
      <c r="Y1322" s="3">
        <v>2.6060128993796923</v>
      </c>
      <c r="Z1322" s="3">
        <v>2.8427158011713582</v>
      </c>
      <c r="AA1322" s="3">
        <v>3.4060257856334859</v>
      </c>
      <c r="AB1322" s="3">
        <v>3.4722655413614207</v>
      </c>
      <c r="AC1322" s="3">
        <v>3.5824473466252513</v>
      </c>
      <c r="AD1322" s="3">
        <v>3.8069194383807261</v>
      </c>
      <c r="AE1322" s="3">
        <v>4.1015162734819954</v>
      </c>
      <c r="AF1322" s="3">
        <v>6.3380031013282343</v>
      </c>
      <c r="AG1322" s="3">
        <v>8.2365619901825582</v>
      </c>
      <c r="AH1322" s="3">
        <v>9.999597283952756</v>
      </c>
      <c r="AI1322" s="3">
        <v>11.65165043903478</v>
      </c>
      <c r="AJ1322" s="3">
        <v>6.3929019605640445</v>
      </c>
      <c r="AK1322" s="3">
        <v>6.1162313701596327</v>
      </c>
      <c r="AL1322" s="3">
        <v>5.831286943973371</v>
      </c>
      <c r="AM1322" s="3">
        <v>5.5379003196047094</v>
      </c>
      <c r="AN1322" s="3">
        <v>5.235900155508932</v>
      </c>
      <c r="AO1322" s="3">
        <v>4.9251120819926513</v>
      </c>
      <c r="AP1322" s="3">
        <v>4.6053586514386664</v>
      </c>
      <c r="AQ1322" s="3">
        <v>4.6053586514386664</v>
      </c>
      <c r="AR1322" s="3">
        <v>4.6053586514386664</v>
      </c>
      <c r="AS1322" s="3">
        <v>4.6053586514386664</v>
      </c>
      <c r="AT1322" s="2"/>
      <c r="AU1322" s="2"/>
    </row>
    <row r="1323" spans="1:47" hidden="1" outlineLevel="1">
      <c r="A1323" s="298"/>
      <c r="B1323" s="2" t="s">
        <v>383</v>
      </c>
      <c r="C1323" s="18" t="s">
        <v>162</v>
      </c>
      <c r="D1323" s="18"/>
      <c r="E1323" s="18"/>
      <c r="F1323" s="18"/>
      <c r="G1323" s="18"/>
      <c r="H1323" s="18"/>
      <c r="I1323" s="18"/>
      <c r="J1323" s="18"/>
      <c r="K1323" s="3">
        <v>1.0431868025765871</v>
      </c>
      <c r="L1323" s="3">
        <v>1.0090626268091438</v>
      </c>
      <c r="M1323" s="3">
        <v>1.0117042382924328</v>
      </c>
      <c r="N1323" s="3">
        <v>0.99345977763243964</v>
      </c>
      <c r="O1323" s="3">
        <v>0.96697931388924574</v>
      </c>
      <c r="P1323" s="3">
        <v>0.94684343434343421</v>
      </c>
      <c r="Q1323" s="3">
        <v>0.93348225366095794</v>
      </c>
      <c r="R1323" s="3">
        <v>0.92317371121426817</v>
      </c>
      <c r="S1323" s="3">
        <v>0.90025856885147326</v>
      </c>
      <c r="T1323" s="3">
        <v>0.86984606275902898</v>
      </c>
      <c r="U1323" s="3">
        <v>0.83764431486880464</v>
      </c>
      <c r="V1323" s="3">
        <v>0.81809671490925795</v>
      </c>
      <c r="W1323" s="3">
        <v>0.79712644421056045</v>
      </c>
      <c r="X1323" s="3">
        <v>0.26766370607177642</v>
      </c>
      <c r="Y1323" s="3">
        <v>0.2879582742662995</v>
      </c>
      <c r="Z1323" s="3">
        <v>0.31008231610211157</v>
      </c>
      <c r="AA1323" s="3">
        <v>0.36676006572314768</v>
      </c>
      <c r="AB1323" s="3">
        <v>0.36909451849868108</v>
      </c>
      <c r="AC1323" s="3">
        <v>0.37591965694337892</v>
      </c>
      <c r="AD1323" s="3">
        <v>0.39434783486970026</v>
      </c>
      <c r="AE1323" s="3">
        <v>0.41941191873242423</v>
      </c>
      <c r="AF1323" s="3">
        <v>0.63979277430762183</v>
      </c>
      <c r="AG1323" s="3">
        <v>0.82077365779666112</v>
      </c>
      <c r="AH1323" s="3">
        <v>0.98367243781367608</v>
      </c>
      <c r="AI1323" s="3">
        <v>1.1314776880330788</v>
      </c>
      <c r="AJ1323" s="3">
        <v>0.61284005999999991</v>
      </c>
      <c r="AK1323" s="3">
        <v>0.57879338999999985</v>
      </c>
      <c r="AL1323" s="3">
        <v>0.54474671999999968</v>
      </c>
      <c r="AM1323" s="3">
        <v>0.51070004999999974</v>
      </c>
      <c r="AN1323" s="3">
        <v>0.47665337999999968</v>
      </c>
      <c r="AO1323" s="3">
        <v>0.44260670999999968</v>
      </c>
      <c r="AP1323" s="3">
        <v>0.40856003999999974</v>
      </c>
      <c r="AQ1323" s="3">
        <v>0.40856003999999974</v>
      </c>
      <c r="AR1323" s="3">
        <v>0.40856003999999974</v>
      </c>
      <c r="AS1323" s="3">
        <v>0.40856003999999974</v>
      </c>
      <c r="AT1323" s="2"/>
      <c r="AU1323" s="2"/>
    </row>
    <row r="1324" spans="1:47" hidden="1" outlineLevel="1">
      <c r="A1324" s="298"/>
      <c r="B1324" s="2"/>
      <c r="C1324" s="18"/>
      <c r="D1324" s="18"/>
      <c r="E1324" s="18"/>
      <c r="F1324" s="18"/>
      <c r="G1324" s="18"/>
      <c r="H1324" s="18"/>
      <c r="I1324" s="18"/>
      <c r="J1324" s="18"/>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2"/>
      <c r="AU1324" s="2"/>
    </row>
    <row r="1325" spans="1:47" hidden="1" outlineLevel="1">
      <c r="A1325" s="298"/>
      <c r="B1325" s="173" t="s">
        <v>247</v>
      </c>
      <c r="C1325" s="169" t="s">
        <v>733</v>
      </c>
      <c r="D1325" s="169"/>
      <c r="E1325" s="169"/>
      <c r="F1325" s="169"/>
      <c r="G1325" s="169"/>
      <c r="H1325" s="169"/>
      <c r="I1325" s="169"/>
      <c r="J1325" s="169"/>
      <c r="K1325" s="173">
        <v>0.86076953589845295</v>
      </c>
      <c r="L1325" s="173">
        <v>0.84316353887399464</v>
      </c>
      <c r="M1325" s="173">
        <v>0.84364306396420108</v>
      </c>
      <c r="N1325" s="173">
        <v>0.81632653061224481</v>
      </c>
      <c r="O1325" s="173">
        <v>0.77996279564177518</v>
      </c>
      <c r="P1325" s="173">
        <v>0.74676623549806653</v>
      </c>
      <c r="Q1325" s="173">
        <v>0.72720021270938584</v>
      </c>
      <c r="R1325" s="173">
        <v>0.73573196067274482</v>
      </c>
      <c r="S1325" s="173">
        <v>0.74275447021968699</v>
      </c>
      <c r="T1325" s="173">
        <v>0.74354907873152865</v>
      </c>
      <c r="U1325" s="173">
        <v>0.72436932672495413</v>
      </c>
      <c r="V1325" s="173">
        <v>0.70482354840747785</v>
      </c>
      <c r="W1325" s="173">
        <v>0.68378378378378368</v>
      </c>
      <c r="X1325" s="173">
        <v>9.0824840191219974E-3</v>
      </c>
      <c r="Y1325" s="173">
        <v>7.7979239257057811E-2</v>
      </c>
      <c r="Z1325" s="173">
        <v>0.11616504817996737</v>
      </c>
      <c r="AA1325" s="173">
        <v>0.18644796400696517</v>
      </c>
      <c r="AB1325" s="173">
        <v>0.25604758384136539</v>
      </c>
      <c r="AC1325" s="173">
        <v>0.31907903200103382</v>
      </c>
      <c r="AD1325" s="173">
        <v>0.40035304137039757</v>
      </c>
      <c r="AE1325" s="173">
        <v>0.49546287235668585</v>
      </c>
      <c r="AF1325" s="173">
        <v>0.36070788015749156</v>
      </c>
      <c r="AG1325" s="173">
        <v>0.30840371205535577</v>
      </c>
      <c r="AH1325" s="173">
        <v>0.25402885938444869</v>
      </c>
      <c r="AI1325" s="173">
        <v>0.21801085654237823</v>
      </c>
      <c r="AJ1325" s="173">
        <v>0</v>
      </c>
      <c r="AK1325" s="173">
        <v>0</v>
      </c>
      <c r="AL1325" s="173">
        <v>0</v>
      </c>
      <c r="AM1325" s="173">
        <v>0</v>
      </c>
      <c r="AN1325" s="173">
        <v>0</v>
      </c>
      <c r="AO1325" s="173">
        <v>0</v>
      </c>
      <c r="AP1325" s="173">
        <v>0</v>
      </c>
      <c r="AQ1325" s="173">
        <v>0</v>
      </c>
      <c r="AR1325" s="173">
        <v>0</v>
      </c>
      <c r="AS1325" s="173">
        <v>0</v>
      </c>
      <c r="AT1325" s="2"/>
      <c r="AU1325" s="2"/>
    </row>
    <row r="1326" spans="1:47" hidden="1" outlineLevel="1">
      <c r="A1326" s="298"/>
      <c r="B1326" s="2" t="s">
        <v>793</v>
      </c>
      <c r="C1326" s="18"/>
      <c r="D1326" s="18"/>
      <c r="E1326" s="18"/>
      <c r="F1326" s="18"/>
      <c r="G1326" s="18"/>
      <c r="H1326" s="18"/>
      <c r="I1326" s="18"/>
      <c r="J1326" s="18"/>
      <c r="K1326" s="3"/>
      <c r="L1326" s="3"/>
      <c r="M1326" s="3"/>
      <c r="N1326" s="3"/>
      <c r="O1326" s="3"/>
      <c r="P1326" s="3"/>
      <c r="Q1326" s="3"/>
      <c r="R1326" s="3"/>
      <c r="S1326" s="3"/>
      <c r="T1326" s="3"/>
      <c r="U1326" s="3"/>
      <c r="V1326" s="3"/>
      <c r="W1326" s="2"/>
      <c r="X1326" s="458">
        <v>3.7203166180531234E-3</v>
      </c>
      <c r="Y1326" s="458">
        <v>3.4845951293845781E-2</v>
      </c>
      <c r="Z1326" s="458">
        <v>5.4744867759589644E-2</v>
      </c>
      <c r="AA1326" s="458">
        <v>9.9016724185470237E-2</v>
      </c>
      <c r="AB1326" s="458">
        <v>0.14071089801205389</v>
      </c>
      <c r="AC1326" s="458">
        <v>0.19330213817893541</v>
      </c>
      <c r="AD1326" s="458">
        <v>0.26411041583932732</v>
      </c>
      <c r="AE1326" s="458">
        <v>0.36415542249503663</v>
      </c>
      <c r="AF1326" s="458">
        <v>0.41678095441641499</v>
      </c>
      <c r="AG1326" s="458">
        <v>0.4465421845841564</v>
      </c>
      <c r="AH1326" s="458">
        <v>0.4465421845841564</v>
      </c>
      <c r="AI1326" s="458">
        <v>0.4465421845841564</v>
      </c>
      <c r="AJ1326" s="458">
        <v>0</v>
      </c>
      <c r="AK1326" s="458">
        <v>0</v>
      </c>
      <c r="AL1326" s="458">
        <v>0</v>
      </c>
      <c r="AM1326" s="458">
        <v>0</v>
      </c>
      <c r="AN1326" s="458">
        <v>0</v>
      </c>
      <c r="AO1326" s="458">
        <v>0</v>
      </c>
      <c r="AP1326" s="458">
        <v>0</v>
      </c>
      <c r="AQ1326" s="458">
        <v>0</v>
      </c>
      <c r="AR1326" s="458">
        <v>0</v>
      </c>
      <c r="AS1326" s="458">
        <v>0</v>
      </c>
      <c r="AT1326" s="2"/>
      <c r="AU1326" s="2"/>
    </row>
    <row r="1327" spans="1:47" hidden="1" outlineLevel="1">
      <c r="A1327" s="298"/>
      <c r="B1327" s="2"/>
      <c r="C1327" s="18"/>
      <c r="D1327" s="18"/>
      <c r="E1327" s="18"/>
      <c r="F1327" s="18"/>
      <c r="G1327" s="18"/>
      <c r="H1327" s="18"/>
      <c r="I1327" s="18"/>
      <c r="J1327" s="18"/>
      <c r="K1327" s="3"/>
      <c r="L1327" s="3"/>
      <c r="M1327" s="3"/>
      <c r="N1327" s="3"/>
      <c r="O1327" s="3"/>
      <c r="P1327" s="3"/>
      <c r="Q1327" s="3"/>
      <c r="R1327" s="3"/>
      <c r="S1327" s="3"/>
      <c r="T1327" s="3"/>
      <c r="U1327" s="3"/>
      <c r="V1327" s="3"/>
      <c r="W1327" s="3"/>
      <c r="X1327" s="3"/>
      <c r="Y1327" s="3"/>
      <c r="Z1327" s="3"/>
      <c r="AA1327" s="3"/>
      <c r="AB1327" s="3"/>
      <c r="AC1327" s="3"/>
      <c r="AD1327" s="3"/>
      <c r="AE1327" s="3"/>
      <c r="AF1327" s="3"/>
      <c r="AG1327" s="3"/>
      <c r="AH1327" s="3"/>
      <c r="AI1327" s="3"/>
      <c r="AJ1327" s="3"/>
      <c r="AK1327" s="3"/>
      <c r="AL1327" s="3"/>
      <c r="AM1327" s="3"/>
      <c r="AN1327" s="3"/>
      <c r="AO1327" s="3"/>
      <c r="AP1327" s="3"/>
      <c r="AQ1327" s="3"/>
      <c r="AR1327" s="3"/>
      <c r="AS1327" s="3"/>
      <c r="AT1327" s="2"/>
      <c r="AU1327" s="2"/>
    </row>
    <row r="1328" spans="1:47" ht="15.6" hidden="1" outlineLevel="1">
      <c r="A1328" s="298"/>
      <c r="B1328" s="237" t="s">
        <v>892</v>
      </c>
      <c r="C1328" s="238"/>
      <c r="D1328" s="239"/>
      <c r="E1328" s="239"/>
      <c r="F1328" s="239"/>
      <c r="G1328" s="239"/>
      <c r="H1328" s="239"/>
      <c r="I1328" s="239"/>
      <c r="J1328" s="239"/>
      <c r="K1328" s="239"/>
      <c r="L1328" s="239"/>
      <c r="M1328" s="239"/>
      <c r="N1328" s="239"/>
      <c r="O1328" s="239"/>
      <c r="P1328" s="239"/>
      <c r="Q1328" s="239"/>
      <c r="R1328" s="239"/>
      <c r="S1328" s="239"/>
      <c r="T1328" s="239"/>
      <c r="U1328" s="239"/>
      <c r="V1328" s="239"/>
      <c r="W1328" s="239"/>
      <c r="X1328" s="239"/>
      <c r="Y1328" s="239"/>
      <c r="Z1328" s="239"/>
      <c r="AA1328" s="239"/>
      <c r="AB1328" s="239"/>
      <c r="AC1328" s="239"/>
      <c r="AD1328" s="239"/>
      <c r="AE1328" s="239"/>
      <c r="AF1328" s="239"/>
      <c r="AG1328" s="239"/>
      <c r="AH1328" s="239"/>
      <c r="AI1328" s="239"/>
      <c r="AJ1328" s="239"/>
      <c r="AK1328" s="239"/>
      <c r="AL1328" s="239"/>
      <c r="AM1328" s="239"/>
      <c r="AN1328" s="239"/>
      <c r="AO1328" s="270"/>
      <c r="AP1328" s="240"/>
      <c r="AQ1328" s="240"/>
      <c r="AR1328" s="240"/>
      <c r="AS1328" s="240"/>
      <c r="AT1328" s="2"/>
      <c r="AU1328" s="2"/>
    </row>
    <row r="1329" spans="1:47" ht="12.75" hidden="1" customHeight="1" outlineLevel="1">
      <c r="A1329" s="298"/>
      <c r="B1329" s="2"/>
      <c r="C1329" s="18"/>
      <c r="D1329" s="18"/>
      <c r="E1329" s="18"/>
      <c r="F1329" s="18"/>
      <c r="G1329" s="18"/>
      <c r="H1329" s="18"/>
      <c r="I1329" s="18"/>
      <c r="J1329" s="18"/>
      <c r="K1329" s="3"/>
      <c r="L1329" s="3"/>
      <c r="M1329" s="3"/>
      <c r="N1329" s="3"/>
      <c r="O1329" s="3"/>
      <c r="P1329" s="3"/>
      <c r="Q1329" s="3"/>
      <c r="R1329" s="3"/>
      <c r="S1329" s="3"/>
      <c r="T1329" s="3"/>
      <c r="U1329" s="3"/>
      <c r="V1329" s="3"/>
      <c r="W1329" s="3"/>
      <c r="X1329" s="3"/>
      <c r="Y1329" s="3"/>
      <c r="Z1329" s="3"/>
      <c r="AA1329" s="3"/>
      <c r="AB1329" s="3"/>
      <c r="AC1329" s="3"/>
      <c r="AD1329" s="3"/>
      <c r="AE1329" s="3"/>
      <c r="AF1329" s="3"/>
      <c r="AG1329" s="3"/>
      <c r="AH1329" s="3"/>
      <c r="AI1329" s="3"/>
      <c r="AJ1329" s="3"/>
      <c r="AK1329" s="3"/>
      <c r="AL1329" s="3"/>
      <c r="AM1329" s="3"/>
      <c r="AN1329" s="3"/>
      <c r="AO1329" s="3"/>
      <c r="AP1329" s="3"/>
      <c r="AQ1329" s="3"/>
      <c r="AR1329" s="3"/>
      <c r="AS1329" s="3"/>
      <c r="AT1329" s="2"/>
      <c r="AU1329" s="2"/>
    </row>
    <row r="1330" spans="1:47" ht="12.75" hidden="1" customHeight="1" outlineLevel="1">
      <c r="A1330" s="298"/>
      <c r="B1330" s="2" t="s">
        <v>296</v>
      </c>
      <c r="C1330" s="18" t="s">
        <v>298</v>
      </c>
      <c r="D1330" s="18"/>
      <c r="E1330" s="18"/>
      <c r="F1330" s="18"/>
      <c r="G1330" s="18"/>
      <c r="H1330" s="18"/>
      <c r="I1330" s="18"/>
      <c r="J1330" s="18"/>
      <c r="K1330" s="3">
        <v>19.15549</v>
      </c>
      <c r="L1330" s="3">
        <v>19.403310000000001</v>
      </c>
      <c r="M1330" s="3">
        <v>19.652470000000001</v>
      </c>
      <c r="N1330" s="3">
        <v>19.89142</v>
      </c>
      <c r="O1330" s="3">
        <v>20.132010000000001</v>
      </c>
      <c r="P1330" s="3">
        <v>20.398099999999999</v>
      </c>
      <c r="Q1330" s="3">
        <v>20.69641</v>
      </c>
      <c r="R1330" s="3">
        <v>21.014700000000001</v>
      </c>
      <c r="S1330" s="3">
        <v>21.373999999999999</v>
      </c>
      <c r="T1330" s="3">
        <v>21.613800000000001</v>
      </c>
      <c r="U1330" s="3">
        <v>22.36</v>
      </c>
      <c r="V1330" s="3">
        <v>22.675000000000001</v>
      </c>
      <c r="W1330" s="3">
        <v>22.969774999999998</v>
      </c>
      <c r="X1330" s="3">
        <v>23.268382074999995</v>
      </c>
      <c r="Y1330" s="3">
        <v>23.570871041974993</v>
      </c>
      <c r="Z1330" s="3">
        <v>23.877292365520667</v>
      </c>
      <c r="AA1330" s="3">
        <v>24.187697166272432</v>
      </c>
      <c r="AB1330" s="3">
        <v>24.50213722943397</v>
      </c>
      <c r="AC1330" s="3">
        <v>24.820665013416608</v>
      </c>
      <c r="AD1330" s="3">
        <v>25.143333658591022</v>
      </c>
      <c r="AE1330" s="3">
        <v>25.470196996152701</v>
      </c>
      <c r="AF1330" s="3">
        <v>25.801309557102684</v>
      </c>
      <c r="AG1330" s="3">
        <v>26.136726581345016</v>
      </c>
      <c r="AH1330" s="3">
        <v>26.4765040269025</v>
      </c>
      <c r="AI1330" s="3">
        <v>26.82069857925223</v>
      </c>
      <c r="AJ1330" s="3">
        <v>27.169367660782505</v>
      </c>
      <c r="AK1330" s="3">
        <v>27.522569440372674</v>
      </c>
      <c r="AL1330" s="3">
        <v>27.880362843097515</v>
      </c>
      <c r="AM1330" s="3">
        <v>28.242807560057781</v>
      </c>
      <c r="AN1330" s="3">
        <v>28.60996405833853</v>
      </c>
      <c r="AO1330" s="3">
        <v>28.981893591096927</v>
      </c>
      <c r="AP1330" s="3">
        <v>29.358658207781186</v>
      </c>
      <c r="AQ1330" s="3">
        <v>29.358658207781186</v>
      </c>
      <c r="AR1330" s="3">
        <v>29.358658207781186</v>
      </c>
      <c r="AS1330" s="3">
        <v>29.358658207781186</v>
      </c>
      <c r="AT1330" s="2"/>
      <c r="AU1330" s="2"/>
    </row>
    <row r="1331" spans="1:47" ht="12.75" hidden="1" customHeight="1" outlineLevel="1">
      <c r="A1331" s="298"/>
      <c r="B1331" s="241" t="s">
        <v>1099</v>
      </c>
      <c r="C1331" s="18" t="s">
        <v>733</v>
      </c>
      <c r="D1331" s="18"/>
      <c r="E1331" s="18"/>
      <c r="F1331" s="18"/>
      <c r="G1331" s="18"/>
      <c r="H1331" s="18"/>
      <c r="I1331" s="18"/>
      <c r="J1331" s="18"/>
      <c r="K1331" s="3"/>
      <c r="L1331" s="80">
        <v>1.2937283254043752E-2</v>
      </c>
      <c r="M1331" s="80">
        <v>1.2841108037752402E-2</v>
      </c>
      <c r="N1331" s="80">
        <v>1.2158776988337783E-2</v>
      </c>
      <c r="O1331" s="80">
        <v>1.209516464887872E-2</v>
      </c>
      <c r="P1331" s="80">
        <v>1.3217259478810028E-2</v>
      </c>
      <c r="Q1331" s="80">
        <v>1.4624401292277156E-2</v>
      </c>
      <c r="R1331" s="80">
        <v>1.5378995680893404E-2</v>
      </c>
      <c r="S1331" s="80">
        <v>1.7097555520659169E-2</v>
      </c>
      <c r="T1331" s="80">
        <v>1.1219238326939385E-2</v>
      </c>
      <c r="U1331" s="80">
        <v>3.4524239143510105E-2</v>
      </c>
      <c r="V1331" s="80">
        <v>1.4087656529517156E-2</v>
      </c>
      <c r="W1331" s="80">
        <v>1.2999999999999999E-2</v>
      </c>
      <c r="X1331" s="80">
        <v>1.2999999999999999E-2</v>
      </c>
      <c r="Y1331" s="80">
        <v>1.2999999999999999E-2</v>
      </c>
      <c r="Z1331" s="80">
        <v>1.2999999999999999E-2</v>
      </c>
      <c r="AA1331" s="80">
        <v>1.2999999999999999E-2</v>
      </c>
      <c r="AB1331" s="80">
        <v>1.2999999999999999E-2</v>
      </c>
      <c r="AC1331" s="80">
        <v>1.2999999999999999E-2</v>
      </c>
      <c r="AD1331" s="80">
        <v>1.2999999999999999E-2</v>
      </c>
      <c r="AE1331" s="80">
        <v>1.2999999999999999E-2</v>
      </c>
      <c r="AF1331" s="80">
        <v>1.2999999999999999E-2</v>
      </c>
      <c r="AG1331" s="80">
        <v>1.2999999999999999E-2</v>
      </c>
      <c r="AH1331" s="80">
        <v>1.2999999999999999E-2</v>
      </c>
      <c r="AI1331" s="80">
        <v>1.2999999999999999E-2</v>
      </c>
      <c r="AJ1331" s="80">
        <v>1.2999999999999999E-2</v>
      </c>
      <c r="AK1331" s="80">
        <v>1.2999999999999999E-2</v>
      </c>
      <c r="AL1331" s="80">
        <v>1.2999999999999999E-2</v>
      </c>
      <c r="AM1331" s="80">
        <v>1.2999999999999999E-2</v>
      </c>
      <c r="AN1331" s="80">
        <v>1.2999999999999999E-2</v>
      </c>
      <c r="AO1331" s="80">
        <v>1.2999999999999999E-2</v>
      </c>
      <c r="AP1331" s="80">
        <v>1.2999999999999999E-2</v>
      </c>
      <c r="AQ1331" s="80">
        <v>1.2999999999999999E-2</v>
      </c>
      <c r="AR1331" s="80">
        <v>1.2999999999999999E-2</v>
      </c>
      <c r="AS1331" s="80">
        <v>1.2999999999999999E-2</v>
      </c>
      <c r="AT1331" s="2"/>
      <c r="AU1331" s="2"/>
    </row>
    <row r="1332" spans="1:47" ht="12.75" hidden="1" customHeight="1" outlineLevel="1">
      <c r="A1332" s="298"/>
      <c r="B1332" s="2"/>
      <c r="C1332" s="18"/>
      <c r="D1332" s="18"/>
      <c r="E1332" s="18"/>
      <c r="F1332" s="18"/>
      <c r="G1332" s="18"/>
      <c r="H1332" s="18"/>
      <c r="I1332" s="18"/>
      <c r="J1332" s="18"/>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2"/>
      <c r="AU1332" s="2"/>
    </row>
    <row r="1333" spans="1:47" ht="12.75" hidden="1" customHeight="1" outlineLevel="1">
      <c r="A1333" s="298"/>
      <c r="B1333" s="6" t="s">
        <v>266</v>
      </c>
      <c r="C1333" s="18"/>
      <c r="D1333" s="18"/>
      <c r="E1333" s="18"/>
      <c r="F1333" s="18"/>
      <c r="G1333" s="18"/>
      <c r="H1333" s="18"/>
      <c r="I1333" s="18"/>
      <c r="J1333" s="18"/>
      <c r="K1333" s="2"/>
      <c r="L1333" s="2"/>
      <c r="M1333" s="2"/>
      <c r="N1333" s="2"/>
      <c r="O1333" s="2"/>
      <c r="P1333" s="2"/>
      <c r="Q1333" s="2"/>
      <c r="R1333" s="2"/>
      <c r="S1333" s="2"/>
      <c r="T1333" s="2"/>
      <c r="U1333" s="2"/>
      <c r="V1333" s="2"/>
      <c r="W1333" s="2"/>
      <c r="X1333" s="2"/>
      <c r="Y1333" s="2"/>
      <c r="Z1333" s="2"/>
      <c r="AA1333" s="2"/>
      <c r="AB1333" s="2"/>
      <c r="AC1333" s="2"/>
      <c r="AD1333" s="2"/>
      <c r="AE1333" s="2"/>
      <c r="AF1333" s="2"/>
      <c r="AG1333" s="2"/>
      <c r="AH1333" s="2"/>
      <c r="AI1333" s="2"/>
      <c r="AJ1333" s="2"/>
      <c r="AK1333" s="2"/>
      <c r="AL1333" s="2"/>
      <c r="AM1333" s="2"/>
      <c r="AN1333" s="2"/>
      <c r="AO1333" s="2"/>
      <c r="AP1333" s="2"/>
      <c r="AQ1333" s="2"/>
      <c r="AR1333" s="2"/>
      <c r="AS1333" s="2"/>
      <c r="AT1333" s="2"/>
      <c r="AU1333" s="2"/>
    </row>
    <row r="1334" spans="1:47" ht="12.75" hidden="1" customHeight="1" outlineLevel="1">
      <c r="A1334" s="298"/>
      <c r="B1334" s="2" t="s">
        <v>893</v>
      </c>
      <c r="C1334" s="18" t="s">
        <v>733</v>
      </c>
      <c r="D1334" s="18"/>
      <c r="E1334" s="18"/>
      <c r="F1334" s="18"/>
      <c r="G1334" s="18"/>
      <c r="H1334" s="18"/>
      <c r="I1334" s="18"/>
      <c r="J1334" s="18"/>
      <c r="K1334" s="2">
        <v>0.44712361834648973</v>
      </c>
      <c r="L1334" s="2">
        <v>0.57781378537991701</v>
      </c>
      <c r="M1334" s="2">
        <v>0.63986867808473946</v>
      </c>
      <c r="N1334" s="2">
        <v>0.72128063255413644</v>
      </c>
      <c r="O1334" s="2">
        <v>0.8162622609466218</v>
      </c>
      <c r="P1334" s="2">
        <v>0.88723949779636357</v>
      </c>
      <c r="Q1334" s="2">
        <v>0.93030627050778358</v>
      </c>
      <c r="R1334" s="2">
        <v>0.98987851361190016</v>
      </c>
      <c r="S1334" s="2">
        <v>1.0349490034621505</v>
      </c>
      <c r="T1334" s="2">
        <v>1.1599999999999999</v>
      </c>
      <c r="U1334" s="2">
        <v>1.21</v>
      </c>
      <c r="V1334" s="2">
        <v>1.28</v>
      </c>
      <c r="W1334" s="2">
        <v>1.3</v>
      </c>
      <c r="X1334" s="2">
        <v>1.33</v>
      </c>
      <c r="Y1334" s="2">
        <v>1.35</v>
      </c>
      <c r="Z1334" s="2">
        <v>1.415</v>
      </c>
      <c r="AA1334" s="2">
        <v>1.415</v>
      </c>
      <c r="AB1334" s="2">
        <v>1.415</v>
      </c>
      <c r="AC1334" s="2">
        <v>1.415</v>
      </c>
      <c r="AD1334" s="2">
        <v>1.42</v>
      </c>
      <c r="AE1334" s="2">
        <v>1.43</v>
      </c>
      <c r="AF1334" s="2">
        <v>1.44</v>
      </c>
      <c r="AG1334" s="2">
        <v>1.45</v>
      </c>
      <c r="AH1334" s="2">
        <v>1.46</v>
      </c>
      <c r="AI1334" s="2">
        <v>1.5</v>
      </c>
      <c r="AJ1334" s="2">
        <v>1.5</v>
      </c>
      <c r="AK1334" s="2">
        <v>1.5</v>
      </c>
      <c r="AL1334" s="2">
        <v>1.5</v>
      </c>
      <c r="AM1334" s="2">
        <v>1.5</v>
      </c>
      <c r="AN1334" s="2">
        <v>1.5</v>
      </c>
      <c r="AO1334" s="2">
        <v>1.5</v>
      </c>
      <c r="AP1334" s="2">
        <v>1.5</v>
      </c>
      <c r="AQ1334" s="2">
        <v>1.5</v>
      </c>
      <c r="AR1334" s="2">
        <v>1.5</v>
      </c>
      <c r="AS1334" s="2">
        <v>1.5</v>
      </c>
      <c r="AT1334" s="2"/>
      <c r="AU1334" s="2"/>
    </row>
    <row r="1335" spans="1:47" ht="12.75" hidden="1" customHeight="1" outlineLevel="1">
      <c r="A1335" s="298"/>
      <c r="B1335" s="2" t="s">
        <v>264</v>
      </c>
      <c r="C1335" s="18" t="s">
        <v>298</v>
      </c>
      <c r="D1335" s="18"/>
      <c r="E1335" s="18"/>
      <c r="F1335" s="18"/>
      <c r="G1335" s="18"/>
      <c r="H1335" s="18"/>
      <c r="I1335" s="18"/>
      <c r="J1335" s="18"/>
      <c r="K1335" s="3">
        <v>8.5648720000000012</v>
      </c>
      <c r="L1335" s="3">
        <v>11.211499999999997</v>
      </c>
      <c r="M1335" s="3">
        <v>12.575000000000001</v>
      </c>
      <c r="N1335" s="3">
        <v>14.347296</v>
      </c>
      <c r="O1335" s="3">
        <v>16.433</v>
      </c>
      <c r="P1335" s="3">
        <v>18.098000000000003</v>
      </c>
      <c r="Q1335" s="3">
        <v>19.253999999999998</v>
      </c>
      <c r="R1335" s="3">
        <v>20.802</v>
      </c>
      <c r="S1335" s="3">
        <v>22.121000000000002</v>
      </c>
      <c r="T1335" s="3">
        <v>25.072008</v>
      </c>
      <c r="U1335" s="3">
        <v>27.055599999999998</v>
      </c>
      <c r="V1335" s="3">
        <v>29.024000000000001</v>
      </c>
      <c r="W1335" s="3">
        <v>29.8607075</v>
      </c>
      <c r="X1335" s="3">
        <v>30.946948159749994</v>
      </c>
      <c r="Y1335" s="3">
        <v>31.820675906666242</v>
      </c>
      <c r="Z1335" s="3">
        <v>33.786368697211742</v>
      </c>
      <c r="AA1335" s="3">
        <v>34.225591490275491</v>
      </c>
      <c r="AB1335" s="3">
        <v>34.670524179649071</v>
      </c>
      <c r="AC1335" s="3">
        <v>35.1212409939845</v>
      </c>
      <c r="AD1335" s="3">
        <v>35.703533795199249</v>
      </c>
      <c r="AE1335" s="3">
        <v>36.422381704498363</v>
      </c>
      <c r="AF1335" s="3">
        <v>37.153885762227866</v>
      </c>
      <c r="AG1335" s="3">
        <v>37.898253542950272</v>
      </c>
      <c r="AH1335" s="3">
        <v>38.655695879277651</v>
      </c>
      <c r="AI1335" s="3">
        <v>40.231047868878349</v>
      </c>
      <c r="AJ1335" s="3">
        <v>40.754051491173755</v>
      </c>
      <c r="AK1335" s="3">
        <v>41.283854160559009</v>
      </c>
      <c r="AL1335" s="3">
        <v>41.820544264646273</v>
      </c>
      <c r="AM1335" s="3">
        <v>42.364211340086669</v>
      </c>
      <c r="AN1335" s="3">
        <v>42.914946087507793</v>
      </c>
      <c r="AO1335" s="3">
        <v>43.472840386645387</v>
      </c>
      <c r="AP1335" s="3">
        <v>44.037987311671777</v>
      </c>
      <c r="AQ1335" s="3">
        <v>44.037987311671777</v>
      </c>
      <c r="AR1335" s="3">
        <v>44.037987311671777</v>
      </c>
      <c r="AS1335" s="3">
        <v>44.037987311671777</v>
      </c>
      <c r="AT1335" s="2"/>
      <c r="AU1335" s="2"/>
    </row>
    <row r="1336" spans="1:47" ht="12.75" hidden="1" customHeight="1" outlineLevel="1">
      <c r="A1336" s="298"/>
      <c r="B1336" s="2"/>
      <c r="C1336" s="18"/>
      <c r="D1336" s="18"/>
      <c r="E1336" s="18"/>
      <c r="F1336" s="18"/>
      <c r="G1336" s="18"/>
      <c r="H1336" s="18"/>
      <c r="I1336" s="18"/>
      <c r="J1336" s="18"/>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2"/>
      <c r="AU1336" s="2"/>
    </row>
    <row r="1337" spans="1:47" ht="12.75" hidden="1" customHeight="1" outlineLevel="1">
      <c r="A1337" s="298"/>
      <c r="B1337" s="2" t="s">
        <v>265</v>
      </c>
      <c r="C1337" s="18" t="s">
        <v>298</v>
      </c>
      <c r="D1337" s="18"/>
      <c r="E1337" s="18"/>
      <c r="F1337" s="18"/>
      <c r="G1337" s="18"/>
      <c r="H1337" s="18"/>
      <c r="I1337" s="18"/>
      <c r="J1337" s="18"/>
      <c r="K1337" s="3">
        <v>4.1260000000000003</v>
      </c>
      <c r="L1337" s="3">
        <v>5.1760000000000002</v>
      </c>
      <c r="M1337" s="3">
        <v>5.9420000000000002</v>
      </c>
      <c r="N1337" s="3">
        <v>6.569</v>
      </c>
      <c r="O1337" s="3">
        <v>7.6039999999999992</v>
      </c>
      <c r="P1337" s="3">
        <v>8.2270000000000003</v>
      </c>
      <c r="Q1337" s="3">
        <v>8.5289999999999999</v>
      </c>
      <c r="R1337" s="3">
        <v>9.2119999999999997</v>
      </c>
      <c r="S1337" s="3">
        <v>9.3350000000000009</v>
      </c>
      <c r="T1337" s="3">
        <v>10.191000000000001</v>
      </c>
      <c r="U1337" s="3">
        <v>10.555</v>
      </c>
      <c r="V1337" s="3">
        <v>12.223000000000001</v>
      </c>
      <c r="W1337" s="3">
        <v>13.815</v>
      </c>
      <c r="X1337" s="3">
        <v>15.071999999999999</v>
      </c>
      <c r="Y1337" s="3">
        <v>15.910337953333121</v>
      </c>
      <c r="Z1337" s="3">
        <v>16.672999999999998</v>
      </c>
      <c r="AA1337" s="3">
        <v>17.233000000000001</v>
      </c>
      <c r="AB1337" s="3">
        <v>17.373999999999999</v>
      </c>
      <c r="AC1337" s="3">
        <v>17.716000000000001</v>
      </c>
      <c r="AD1337" s="3">
        <v>18.338000000000001</v>
      </c>
      <c r="AE1337" s="3">
        <v>18.774999999999999</v>
      </c>
      <c r="AF1337" s="3">
        <v>21.18674258791323</v>
      </c>
      <c r="AG1337" s="3">
        <v>21.421721822741041</v>
      </c>
      <c r="AH1337" s="3">
        <v>18.168177063260494</v>
      </c>
      <c r="AI1337" s="3">
        <v>18.103971540995257</v>
      </c>
      <c r="AJ1337" s="3">
        <v>18.339323171028191</v>
      </c>
      <c r="AK1337" s="3">
        <v>18.577734372251555</v>
      </c>
      <c r="AL1337" s="3">
        <v>18.819244919090824</v>
      </c>
      <c r="AM1337" s="3">
        <v>19.063895103039002</v>
      </c>
      <c r="AN1337" s="3">
        <v>19.311725739378506</v>
      </c>
      <c r="AO1337" s="3">
        <v>19.562778173990424</v>
      </c>
      <c r="AP1337" s="3">
        <v>19.8170942902523</v>
      </c>
      <c r="AQ1337" s="3">
        <v>19.8170942902523</v>
      </c>
      <c r="AR1337" s="3">
        <v>19.8170942902523</v>
      </c>
      <c r="AS1337" s="3">
        <v>19.8170942902523</v>
      </c>
      <c r="AT1337" s="2"/>
      <c r="AU1337" s="2"/>
    </row>
    <row r="1338" spans="1:47" ht="12.75" hidden="1" customHeight="1" outlineLevel="1">
      <c r="A1338" s="298"/>
      <c r="B1338" s="86" t="s">
        <v>669</v>
      </c>
      <c r="C1338" s="85" t="s">
        <v>733</v>
      </c>
      <c r="D1338" s="85"/>
      <c r="E1338" s="85"/>
      <c r="F1338" s="85"/>
      <c r="G1338" s="85"/>
      <c r="H1338" s="85"/>
      <c r="I1338" s="85"/>
      <c r="J1338" s="85"/>
      <c r="K1338" s="86">
        <v>0.48173516194988086</v>
      </c>
      <c r="L1338" s="86">
        <v>0.46166882219149991</v>
      </c>
      <c r="M1338" s="86">
        <v>0.4725248508946322</v>
      </c>
      <c r="N1338" s="86">
        <v>0.45785630964887042</v>
      </c>
      <c r="O1338" s="86">
        <v>0.46272743869043992</v>
      </c>
      <c r="P1338" s="86">
        <v>0.45458061664272292</v>
      </c>
      <c r="Q1338" s="86">
        <v>0.44297288875038959</v>
      </c>
      <c r="R1338" s="86">
        <v>0.44284203441976733</v>
      </c>
      <c r="S1338" s="86">
        <v>0.42199719723339812</v>
      </c>
      <c r="T1338" s="86">
        <v>0.40646923852289774</v>
      </c>
      <c r="U1338" s="86">
        <v>0.39012256242700216</v>
      </c>
      <c r="V1338" s="86">
        <v>0.42113423373759651</v>
      </c>
      <c r="W1338" s="86">
        <v>0.46264811374613274</v>
      </c>
      <c r="X1338" s="86">
        <v>0.48702702192789532</v>
      </c>
      <c r="Y1338" s="86">
        <v>0.5</v>
      </c>
      <c r="Z1338" s="86">
        <v>0.517162732204554</v>
      </c>
      <c r="AA1338" s="86">
        <v>0.53373445353427207</v>
      </c>
      <c r="AB1338" s="86">
        <v>0.53487222556691416</v>
      </c>
      <c r="AC1338" s="86">
        <v>0.54426632365868</v>
      </c>
      <c r="AD1338" s="86">
        <v>0.56300695310525584</v>
      </c>
      <c r="AE1338" s="86">
        <v>0.57524298140714325</v>
      </c>
      <c r="AF1338" s="86">
        <v>0.57024298140714325</v>
      </c>
      <c r="AG1338" s="86">
        <v>0.56524298140714324</v>
      </c>
      <c r="AH1338" s="86">
        <v>0.47</v>
      </c>
      <c r="AI1338" s="86">
        <v>0.45</v>
      </c>
      <c r="AJ1338" s="86">
        <v>0.45</v>
      </c>
      <c r="AK1338" s="86">
        <v>0.45</v>
      </c>
      <c r="AL1338" s="86">
        <v>0.45</v>
      </c>
      <c r="AM1338" s="86">
        <v>0.45</v>
      </c>
      <c r="AN1338" s="86">
        <v>0.45</v>
      </c>
      <c r="AO1338" s="86">
        <v>0.45</v>
      </c>
      <c r="AP1338" s="86">
        <v>0.45</v>
      </c>
      <c r="AQ1338" s="86">
        <v>0.45</v>
      </c>
      <c r="AR1338" s="86">
        <v>0.45</v>
      </c>
      <c r="AS1338" s="86">
        <v>0.45</v>
      </c>
      <c r="AT1338" s="2"/>
      <c r="AU1338" s="2"/>
    </row>
    <row r="1339" spans="1:47" ht="12.75" hidden="1" customHeight="1" outlineLevel="1">
      <c r="A1339" s="298"/>
      <c r="B1339" s="2"/>
      <c r="C1339" s="18"/>
      <c r="D1339" s="18"/>
      <c r="E1339" s="18"/>
      <c r="F1339" s="18"/>
      <c r="G1339" s="18"/>
      <c r="H1339" s="18"/>
      <c r="I1339" s="18"/>
      <c r="J1339" s="18"/>
      <c r="K1339" s="3"/>
      <c r="L1339" s="3"/>
      <c r="M1339" s="3"/>
      <c r="N1339" s="3"/>
      <c r="O1339" s="3"/>
      <c r="P1339" s="3"/>
      <c r="Q1339" s="3"/>
      <c r="R1339" s="3"/>
      <c r="S1339" s="3"/>
      <c r="T1339" s="3"/>
      <c r="U1339" s="3"/>
      <c r="V1339" s="3"/>
      <c r="W1339" s="3"/>
      <c r="X1339" s="3"/>
      <c r="Y1339" s="3"/>
      <c r="Z1339" s="3"/>
      <c r="AA1339" s="3"/>
      <c r="AB1339" s="3"/>
      <c r="AC1339" s="3"/>
      <c r="AD1339" s="3"/>
      <c r="AE1339" s="3"/>
      <c r="AF1339" s="3"/>
      <c r="AG1339" s="3"/>
      <c r="AH1339" s="3"/>
      <c r="AI1339" s="3"/>
      <c r="AJ1339" s="3"/>
      <c r="AK1339" s="3"/>
      <c r="AL1339" s="3"/>
      <c r="AM1339" s="3"/>
      <c r="AN1339" s="3"/>
      <c r="AO1339" s="3"/>
      <c r="AP1339" s="3"/>
      <c r="AQ1339" s="3"/>
      <c r="AR1339" s="3"/>
      <c r="AS1339" s="3"/>
      <c r="AT1339" s="2"/>
      <c r="AU1339" s="2"/>
    </row>
    <row r="1340" spans="1:47" ht="12.75" hidden="1" customHeight="1" outlineLevel="1">
      <c r="A1340" s="298"/>
      <c r="B1340" s="6" t="s">
        <v>267</v>
      </c>
      <c r="C1340" s="18"/>
      <c r="D1340" s="18"/>
      <c r="E1340" s="18"/>
      <c r="F1340" s="18"/>
      <c r="G1340" s="18"/>
      <c r="H1340" s="18"/>
      <c r="I1340" s="18"/>
      <c r="J1340" s="18"/>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2"/>
      <c r="AU1340" s="2"/>
    </row>
    <row r="1341" spans="1:47" ht="12.75" hidden="1" customHeight="1" outlineLevel="1">
      <c r="A1341" s="298"/>
      <c r="B1341" s="2" t="s">
        <v>268</v>
      </c>
      <c r="C1341" s="18" t="s">
        <v>733</v>
      </c>
      <c r="D1341" s="18"/>
      <c r="E1341" s="18"/>
      <c r="F1341" s="18"/>
      <c r="G1341" s="18"/>
      <c r="H1341" s="18"/>
      <c r="I1341" s="18"/>
      <c r="J1341" s="18"/>
      <c r="K1341" s="2">
        <v>0</v>
      </c>
      <c r="L1341" s="2">
        <v>0</v>
      </c>
      <c r="M1341" s="2">
        <v>0</v>
      </c>
      <c r="N1341" s="2">
        <v>0</v>
      </c>
      <c r="O1341" s="2">
        <v>0</v>
      </c>
      <c r="P1341" s="2">
        <v>0</v>
      </c>
      <c r="Q1341" s="2">
        <v>1.34E-2</v>
      </c>
      <c r="R1341" s="2">
        <v>2.06E-2</v>
      </c>
      <c r="S1341" s="2">
        <v>3.78E-2</v>
      </c>
      <c r="T1341" s="2">
        <v>9.8100000000000007E-2</v>
      </c>
      <c r="U1341" s="2">
        <v>0.17</v>
      </c>
      <c r="V1341" s="2">
        <v>0.24</v>
      </c>
      <c r="W1341" s="2">
        <v>0.27500000000000002</v>
      </c>
      <c r="X1341" s="2">
        <v>0.33</v>
      </c>
      <c r="Y1341" s="2">
        <v>0.37</v>
      </c>
      <c r="Z1341" s="2">
        <v>0.41</v>
      </c>
      <c r="AA1341" s="2">
        <v>1.41</v>
      </c>
      <c r="AB1341" s="2">
        <v>2.41</v>
      </c>
      <c r="AC1341" s="2">
        <v>2.41</v>
      </c>
      <c r="AD1341" s="2">
        <v>2.41</v>
      </c>
      <c r="AE1341" s="2">
        <v>2.39</v>
      </c>
      <c r="AF1341" s="2">
        <v>2.37</v>
      </c>
      <c r="AG1341" s="2">
        <v>2.35</v>
      </c>
      <c r="AH1341" s="2">
        <v>2.33</v>
      </c>
      <c r="AI1341" s="2">
        <v>2.31</v>
      </c>
      <c r="AJ1341" s="2">
        <v>2.29</v>
      </c>
      <c r="AK1341" s="2">
        <v>2.27</v>
      </c>
      <c r="AL1341" s="2">
        <v>2.25</v>
      </c>
      <c r="AM1341" s="2">
        <v>2.23</v>
      </c>
      <c r="AN1341" s="2">
        <v>2.21</v>
      </c>
      <c r="AO1341" s="2">
        <v>2.19</v>
      </c>
      <c r="AP1341" s="2">
        <v>2.17</v>
      </c>
      <c r="AQ1341" s="2">
        <v>2.17</v>
      </c>
      <c r="AR1341" s="2">
        <v>2.17</v>
      </c>
      <c r="AS1341" s="2">
        <v>2.17</v>
      </c>
      <c r="AT1341" s="2"/>
      <c r="AU1341" s="2"/>
    </row>
    <row r="1342" spans="1:47" ht="12.75" hidden="1" customHeight="1" outlineLevel="1">
      <c r="A1342" s="298"/>
      <c r="B1342" s="2" t="s">
        <v>269</v>
      </c>
      <c r="C1342" s="18" t="s">
        <v>298</v>
      </c>
      <c r="D1342" s="18"/>
      <c r="E1342" s="18"/>
      <c r="F1342" s="18"/>
      <c r="G1342" s="18"/>
      <c r="H1342" s="18"/>
      <c r="I1342" s="18"/>
      <c r="J1342" s="18"/>
      <c r="K1342" s="3">
        <v>0</v>
      </c>
      <c r="L1342" s="3">
        <v>0</v>
      </c>
      <c r="M1342" s="3">
        <v>0</v>
      </c>
      <c r="N1342" s="3">
        <v>0</v>
      </c>
      <c r="O1342" s="3">
        <v>0</v>
      </c>
      <c r="P1342" s="3">
        <v>0</v>
      </c>
      <c r="Q1342" s="3">
        <v>0.27733189400000002</v>
      </c>
      <c r="R1342" s="3">
        <v>0.43290282000000002</v>
      </c>
      <c r="S1342" s="3">
        <v>0.80793719999999991</v>
      </c>
      <c r="T1342" s="3">
        <v>2.1203137800000005</v>
      </c>
      <c r="U1342" s="3">
        <v>3.8012000000000001</v>
      </c>
      <c r="V1342" s="3">
        <v>5.4420000000000002</v>
      </c>
      <c r="W1342" s="3">
        <v>6.3166881249999998</v>
      </c>
      <c r="X1342" s="3">
        <v>7.6785660847499981</v>
      </c>
      <c r="Y1342" s="3">
        <v>8.7212222855307466</v>
      </c>
      <c r="Z1342" s="3">
        <v>9.7896898698634729</v>
      </c>
      <c r="AA1342" s="3">
        <v>34.104653004444124</v>
      </c>
      <c r="AB1342" s="3">
        <v>59.050150722935868</v>
      </c>
      <c r="AC1342" s="3">
        <v>59.817802682334026</v>
      </c>
      <c r="AD1342" s="3">
        <v>60.59543411720437</v>
      </c>
      <c r="AE1342" s="3">
        <v>60.873770820804957</v>
      </c>
      <c r="AF1342" s="3">
        <v>61.149103650333366</v>
      </c>
      <c r="AG1342" s="3">
        <v>61.421307466160791</v>
      </c>
      <c r="AH1342" s="3">
        <v>61.690254382682824</v>
      </c>
      <c r="AI1342" s="3">
        <v>61.955813718072655</v>
      </c>
      <c r="AJ1342" s="3">
        <v>62.217851943191938</v>
      </c>
      <c r="AK1342" s="3">
        <v>62.47623262964597</v>
      </c>
      <c r="AL1342" s="3">
        <v>62.730816396969409</v>
      </c>
      <c r="AM1342" s="3">
        <v>62.981460858928848</v>
      </c>
      <c r="AN1342" s="3">
        <v>63.228020568928152</v>
      </c>
      <c r="AO1342" s="3">
        <v>63.470346964502269</v>
      </c>
      <c r="AP1342" s="3">
        <v>63.708288310885173</v>
      </c>
      <c r="AQ1342" s="3">
        <v>63.708288310885173</v>
      </c>
      <c r="AR1342" s="3">
        <v>63.708288310885173</v>
      </c>
      <c r="AS1342" s="3">
        <v>63.708288310885173</v>
      </c>
      <c r="AT1342" s="2"/>
      <c r="AU1342" s="2"/>
    </row>
    <row r="1343" spans="1:47" ht="12.75" hidden="1" customHeight="1" outlineLevel="1">
      <c r="A1343" s="298"/>
      <c r="B1343" s="2"/>
      <c r="C1343" s="18"/>
      <c r="D1343" s="18"/>
      <c r="E1343" s="18"/>
      <c r="F1343" s="18"/>
      <c r="G1343" s="18"/>
      <c r="H1343" s="18"/>
      <c r="I1343" s="18"/>
      <c r="J1343" s="18"/>
      <c r="K1343" s="3"/>
      <c r="L1343" s="3"/>
      <c r="M1343" s="3"/>
      <c r="N1343" s="3"/>
      <c r="O1343" s="3"/>
      <c r="P1343" s="3"/>
      <c r="Q1343" s="3"/>
      <c r="R1343" s="3"/>
      <c r="S1343" s="3"/>
      <c r="T1343" s="3"/>
      <c r="U1343" s="3"/>
      <c r="V1343" s="3"/>
      <c r="W1343" s="3"/>
      <c r="X1343" s="3"/>
      <c r="Y1343" s="3"/>
      <c r="Z1343" s="3"/>
      <c r="AA1343" s="3"/>
      <c r="AB1343" s="3"/>
      <c r="AC1343" s="3"/>
      <c r="AD1343" s="3"/>
      <c r="AE1343" s="3"/>
      <c r="AF1343" s="3"/>
      <c r="AG1343" s="3"/>
      <c r="AH1343" s="3"/>
      <c r="AI1343" s="3"/>
      <c r="AJ1343" s="3"/>
      <c r="AK1343" s="3"/>
      <c r="AL1343" s="3"/>
      <c r="AM1343" s="3"/>
      <c r="AN1343" s="3"/>
      <c r="AO1343" s="3"/>
      <c r="AP1343" s="3"/>
      <c r="AQ1343" s="3"/>
      <c r="AR1343" s="3"/>
      <c r="AS1343" s="3"/>
      <c r="AT1343" s="2"/>
      <c r="AU1343" s="2"/>
    </row>
    <row r="1344" spans="1:47" ht="12.75" hidden="1" customHeight="1" outlineLevel="1">
      <c r="A1344" s="298"/>
      <c r="B1344" s="2" t="s">
        <v>270</v>
      </c>
      <c r="C1344" s="18" t="s">
        <v>298</v>
      </c>
      <c r="D1344" s="18"/>
      <c r="E1344" s="18"/>
      <c r="F1344" s="18"/>
      <c r="G1344" s="18"/>
      <c r="H1344" s="18"/>
      <c r="I1344" s="18"/>
      <c r="J1344" s="18"/>
      <c r="K1344" s="3">
        <v>0</v>
      </c>
      <c r="L1344" s="3">
        <v>0</v>
      </c>
      <c r="M1344" s="3">
        <v>0</v>
      </c>
      <c r="N1344" s="3">
        <v>0</v>
      </c>
      <c r="O1344" s="3">
        <v>0</v>
      </c>
      <c r="P1344" s="3">
        <v>0</v>
      </c>
      <c r="Q1344" s="3">
        <v>0</v>
      </c>
      <c r="R1344" s="3">
        <v>0</v>
      </c>
      <c r="S1344" s="3">
        <v>0.52600000000000002</v>
      </c>
      <c r="T1344" s="3">
        <v>1.046</v>
      </c>
      <c r="U1344" s="3">
        <v>1.498</v>
      </c>
      <c r="V1344" s="3">
        <v>2.31</v>
      </c>
      <c r="W1344" s="3">
        <v>3.1179999999999999</v>
      </c>
      <c r="X1344" s="3">
        <v>3.57</v>
      </c>
      <c r="Y1344" s="3">
        <v>3.6789999999999998</v>
      </c>
      <c r="Z1344" s="3">
        <v>3.8660000000000001</v>
      </c>
      <c r="AA1344" s="3">
        <v>3.9590000000000001</v>
      </c>
      <c r="AB1344" s="3">
        <v>3.93</v>
      </c>
      <c r="AC1344" s="3">
        <v>3.8929999999999998</v>
      </c>
      <c r="AD1344" s="3">
        <v>3.6269999999999998</v>
      </c>
      <c r="AE1344" s="3">
        <v>3.1579999999999999</v>
      </c>
      <c r="AF1344" s="3">
        <v>3.0230000000000001</v>
      </c>
      <c r="AG1344" s="3">
        <v>3.0350000000000001</v>
      </c>
      <c r="AH1344" s="3">
        <v>3.0046500000000003</v>
      </c>
      <c r="AI1344" s="3">
        <v>2.9746035000000002</v>
      </c>
      <c r="AJ1344" s="3">
        <v>2.9448574650000001</v>
      </c>
      <c r="AK1344" s="3">
        <v>2.9154088903500002</v>
      </c>
      <c r="AL1344" s="3">
        <v>2.8862548014464999</v>
      </c>
      <c r="AM1344" s="3">
        <v>2.8573922534320348</v>
      </c>
      <c r="AN1344" s="3">
        <v>2.8288183308977146</v>
      </c>
      <c r="AO1344" s="3">
        <v>2.8005301475887374</v>
      </c>
      <c r="AP1344" s="3">
        <v>2.7725248461128502</v>
      </c>
      <c r="AQ1344" s="3">
        <v>2.7725248461128502</v>
      </c>
      <c r="AR1344" s="3">
        <v>2.7725248461128502</v>
      </c>
      <c r="AS1344" s="3">
        <v>2.7725248461128502</v>
      </c>
      <c r="AT1344" s="2"/>
      <c r="AU1344" s="2"/>
    </row>
    <row r="1345" spans="1:47" ht="12.75" hidden="1" customHeight="1" outlineLevel="1">
      <c r="A1345" s="298"/>
      <c r="B1345" s="86" t="s">
        <v>271</v>
      </c>
      <c r="C1345" s="85" t="s">
        <v>733</v>
      </c>
      <c r="D1345" s="85"/>
      <c r="E1345" s="85"/>
      <c r="F1345" s="85"/>
      <c r="G1345" s="85"/>
      <c r="H1345" s="85"/>
      <c r="I1345" s="85"/>
      <c r="J1345" s="85"/>
      <c r="K1345" s="86">
        <v>0</v>
      </c>
      <c r="L1345" s="86">
        <v>0</v>
      </c>
      <c r="M1345" s="86">
        <v>0</v>
      </c>
      <c r="N1345" s="86">
        <v>0</v>
      </c>
      <c r="O1345" s="86">
        <v>0</v>
      </c>
      <c r="P1345" s="86">
        <v>0</v>
      </c>
      <c r="Q1345" s="86">
        <v>0</v>
      </c>
      <c r="R1345" s="86">
        <v>0</v>
      </c>
      <c r="S1345" s="86">
        <v>0.65104069969794687</v>
      </c>
      <c r="T1345" s="86">
        <v>0.49332320992603262</v>
      </c>
      <c r="U1345" s="86">
        <v>0.39408607808060608</v>
      </c>
      <c r="V1345" s="86">
        <v>0.42447629547960308</v>
      </c>
      <c r="W1345" s="86">
        <v>0.49361309887370763</v>
      </c>
      <c r="X1345" s="86">
        <v>0.46493055612169459</v>
      </c>
      <c r="Y1345" s="86">
        <v>0.42184453962419644</v>
      </c>
      <c r="Z1345" s="86">
        <v>0.3949052576119978</v>
      </c>
      <c r="AA1345" s="86">
        <v>0.11608386689886888</v>
      </c>
      <c r="AB1345" s="86">
        <v>6.65535981176342E-2</v>
      </c>
      <c r="AC1345" s="86">
        <v>6.5080959604517846E-2</v>
      </c>
      <c r="AD1345" s="86">
        <v>5.9855994974549E-2</v>
      </c>
      <c r="AE1345" s="86">
        <v>5.9855994974549E-2</v>
      </c>
      <c r="AF1345" s="86">
        <v>5.9855994974549E-2</v>
      </c>
      <c r="AG1345" s="86">
        <v>5.9855994974549E-2</v>
      </c>
      <c r="AH1345" s="86">
        <v>5.9855994974549E-2</v>
      </c>
      <c r="AI1345" s="86">
        <v>5.9855994974549E-2</v>
      </c>
      <c r="AJ1345" s="86">
        <v>5.9855994974549E-2</v>
      </c>
      <c r="AK1345" s="86">
        <v>5.9855994974549E-2</v>
      </c>
      <c r="AL1345" s="86">
        <v>5.9855994974549E-2</v>
      </c>
      <c r="AM1345" s="86">
        <v>5.9855994974549E-2</v>
      </c>
      <c r="AN1345" s="86">
        <v>5.9855994974549E-2</v>
      </c>
      <c r="AO1345" s="86">
        <v>5.9855994974549E-2</v>
      </c>
      <c r="AP1345" s="86">
        <v>5.9855994974549E-2</v>
      </c>
      <c r="AQ1345" s="86">
        <v>5.9855994974549E-2</v>
      </c>
      <c r="AR1345" s="86">
        <v>5.9855994974549E-2</v>
      </c>
      <c r="AS1345" s="86">
        <v>5.9855994974549E-2</v>
      </c>
      <c r="AT1345" s="2"/>
      <c r="AU1345" s="2"/>
    </row>
    <row r="1346" spans="1:47" ht="12.75" hidden="1" customHeight="1" outlineLevel="1">
      <c r="A1346" s="298"/>
      <c r="B1346" s="2"/>
      <c r="C1346" s="18"/>
      <c r="D1346" s="18"/>
      <c r="E1346" s="18"/>
      <c r="F1346" s="18"/>
      <c r="G1346" s="18"/>
      <c r="H1346" s="18"/>
      <c r="I1346" s="18"/>
      <c r="J1346" s="18"/>
      <c r="K1346" s="3"/>
      <c r="L1346" s="3"/>
      <c r="M1346" s="3"/>
      <c r="N1346" s="3"/>
      <c r="O1346" s="3"/>
      <c r="P1346" s="3"/>
      <c r="Q1346" s="3"/>
      <c r="R1346" s="3"/>
      <c r="S1346" s="3"/>
      <c r="T1346" s="3"/>
      <c r="U1346" s="3"/>
      <c r="V1346" s="3"/>
      <c r="W1346" s="3"/>
      <c r="X1346" s="3"/>
      <c r="Y1346" s="3"/>
      <c r="Z1346" s="3"/>
      <c r="AA1346" s="3"/>
      <c r="AB1346" s="3"/>
      <c r="AC1346" s="3"/>
      <c r="AD1346" s="3"/>
      <c r="AE1346" s="3"/>
      <c r="AF1346" s="3"/>
      <c r="AG1346" s="3"/>
      <c r="AH1346" s="3"/>
      <c r="AI1346" s="3"/>
      <c r="AJ1346" s="3"/>
      <c r="AK1346" s="3"/>
      <c r="AL1346" s="3"/>
      <c r="AM1346" s="3"/>
      <c r="AN1346" s="3"/>
      <c r="AO1346" s="3"/>
      <c r="AP1346" s="3"/>
      <c r="AQ1346" s="3"/>
      <c r="AR1346" s="3"/>
      <c r="AS1346" s="3"/>
      <c r="AT1346" s="2"/>
      <c r="AU1346" s="2"/>
    </row>
    <row r="1347" spans="1:47" ht="15.6" hidden="1" outlineLevel="1">
      <c r="A1347" s="298"/>
      <c r="B1347" s="237" t="s">
        <v>1034</v>
      </c>
      <c r="C1347" s="269"/>
      <c r="D1347" s="270"/>
      <c r="E1347" s="270"/>
      <c r="F1347" s="270"/>
      <c r="G1347" s="270"/>
      <c r="H1347" s="270"/>
      <c r="I1347" s="270"/>
      <c r="J1347" s="270"/>
      <c r="K1347" s="270"/>
      <c r="L1347" s="270"/>
      <c r="M1347" s="270"/>
      <c r="N1347" s="270"/>
      <c r="O1347" s="270"/>
      <c r="P1347" s="270"/>
      <c r="Q1347" s="270"/>
      <c r="R1347" s="270"/>
      <c r="S1347" s="270"/>
      <c r="T1347" s="270"/>
      <c r="U1347" s="270"/>
      <c r="V1347" s="270"/>
      <c r="W1347" s="270"/>
      <c r="X1347" s="270"/>
      <c r="Y1347" s="270"/>
      <c r="Z1347" s="270"/>
      <c r="AA1347" s="270"/>
      <c r="AB1347" s="270"/>
      <c r="AC1347" s="270"/>
      <c r="AD1347" s="270"/>
      <c r="AE1347" s="270"/>
      <c r="AF1347" s="270"/>
      <c r="AG1347" s="270"/>
      <c r="AH1347" s="270"/>
      <c r="AI1347" s="270"/>
      <c r="AJ1347" s="270"/>
      <c r="AK1347" s="270"/>
      <c r="AL1347" s="270"/>
      <c r="AM1347" s="270"/>
      <c r="AN1347" s="270"/>
      <c r="AO1347" s="271"/>
      <c r="AP1347" s="271"/>
      <c r="AQ1347" s="271"/>
      <c r="AR1347" s="271"/>
      <c r="AS1347" s="271"/>
      <c r="AT1347" s="2"/>
      <c r="AU1347" s="2"/>
    </row>
    <row r="1348" spans="1:47" hidden="1" outlineLevel="1">
      <c r="A1348" s="298"/>
      <c r="B1348" s="73"/>
      <c r="C1348" s="18"/>
      <c r="D1348" s="18"/>
      <c r="E1348" s="18"/>
      <c r="F1348" s="18"/>
      <c r="G1348" s="18"/>
      <c r="H1348" s="18"/>
      <c r="I1348" s="18"/>
      <c r="J1348" s="18"/>
      <c r="K1348" s="7"/>
      <c r="L1348" s="7"/>
      <c r="M1348" s="7"/>
      <c r="N1348" s="7"/>
      <c r="O1348" s="7"/>
      <c r="P1348" s="7"/>
      <c r="Q1348" s="7"/>
      <c r="R1348" s="7"/>
      <c r="S1348" s="7"/>
      <c r="T1348" s="7"/>
      <c r="U1348" s="7"/>
      <c r="V1348" s="2"/>
      <c r="W1348" s="7"/>
      <c r="X1348" s="7"/>
      <c r="Y1348" s="31"/>
      <c r="Z1348" s="31"/>
      <c r="AA1348" s="31"/>
      <c r="AB1348" s="31"/>
      <c r="AC1348" s="31"/>
      <c r="AD1348" s="31"/>
      <c r="AE1348" s="31"/>
      <c r="AF1348" s="31"/>
      <c r="AG1348" s="31"/>
      <c r="AH1348" s="31"/>
      <c r="AI1348" s="31"/>
      <c r="AJ1348" s="31"/>
      <c r="AK1348" s="31"/>
      <c r="AL1348" s="31"/>
      <c r="AM1348" s="31"/>
      <c r="AN1348" s="31"/>
      <c r="AO1348" s="31"/>
      <c r="AP1348" s="31"/>
      <c r="AQ1348" s="31"/>
      <c r="AR1348" s="31"/>
      <c r="AS1348" s="31"/>
      <c r="AT1348" s="2"/>
      <c r="AU1348" s="2"/>
    </row>
    <row r="1349" spans="1:47" hidden="1" outlineLevel="1">
      <c r="A1349" s="298"/>
      <c r="B1349" s="173" t="s">
        <v>731</v>
      </c>
      <c r="C1349" s="169" t="s">
        <v>732</v>
      </c>
      <c r="D1349" s="169"/>
      <c r="E1349" s="169"/>
      <c r="F1349" s="169"/>
      <c r="G1349" s="169"/>
      <c r="H1349" s="169"/>
      <c r="I1349" s="169"/>
      <c r="J1349" s="169"/>
      <c r="K1349" s="26"/>
      <c r="L1349" s="26"/>
      <c r="M1349" s="26"/>
      <c r="N1349" s="26"/>
      <c r="O1349" s="26"/>
      <c r="P1349" s="211"/>
      <c r="Q1349" s="211"/>
      <c r="R1349" s="211"/>
      <c r="S1349" s="212"/>
      <c r="T1349" s="212"/>
      <c r="U1349" s="212"/>
      <c r="V1349" s="212"/>
      <c r="W1349" s="213"/>
      <c r="X1349" s="213"/>
      <c r="Y1349" s="552">
        <v>201</v>
      </c>
      <c r="Z1349" s="552">
        <v>178</v>
      </c>
      <c r="AA1349" s="552">
        <v>77</v>
      </c>
      <c r="AB1349" s="552">
        <v>103</v>
      </c>
      <c r="AC1349" s="552">
        <v>344</v>
      </c>
      <c r="AD1349" s="278">
        <v>344</v>
      </c>
      <c r="AE1349" s="278">
        <v>344</v>
      </c>
      <c r="AF1349" s="278">
        <v>344</v>
      </c>
      <c r="AG1349" s="278">
        <v>344</v>
      </c>
      <c r="AH1349" s="278">
        <v>344</v>
      </c>
      <c r="AI1349" s="278">
        <v>344</v>
      </c>
      <c r="AJ1349" s="278">
        <v>344</v>
      </c>
      <c r="AK1349" s="278">
        <v>344</v>
      </c>
      <c r="AL1349" s="278">
        <v>344</v>
      </c>
      <c r="AM1349" s="278">
        <v>344</v>
      </c>
      <c r="AN1349" s="278">
        <v>344</v>
      </c>
      <c r="AO1349" s="278">
        <v>344</v>
      </c>
      <c r="AP1349" s="278">
        <v>344</v>
      </c>
      <c r="AQ1349" s="278">
        <v>344</v>
      </c>
      <c r="AR1349" s="278">
        <v>344</v>
      </c>
      <c r="AS1349" s="278">
        <v>344</v>
      </c>
      <c r="AT1349" s="2"/>
      <c r="AU1349" s="2"/>
    </row>
    <row r="1350" spans="1:47" hidden="1" outlineLevel="1">
      <c r="A1350" s="298"/>
      <c r="B1350" s="241" t="s">
        <v>1099</v>
      </c>
      <c r="C1350" s="18" t="s">
        <v>733</v>
      </c>
      <c r="D1350" s="18"/>
      <c r="E1350" s="18"/>
      <c r="F1350" s="18"/>
      <c r="G1350" s="18"/>
      <c r="H1350" s="18"/>
      <c r="I1350" s="18"/>
      <c r="J1350" s="18"/>
      <c r="K1350" s="7"/>
      <c r="L1350" s="7"/>
      <c r="M1350" s="7"/>
      <c r="N1350" s="7"/>
      <c r="O1350" s="7"/>
      <c r="P1350" s="7"/>
      <c r="Q1350" s="2"/>
      <c r="R1350" s="2"/>
      <c r="S1350" s="2"/>
      <c r="T1350" s="2"/>
      <c r="U1350" s="2"/>
      <c r="V1350" s="2"/>
      <c r="W1350" s="2"/>
      <c r="X1350" s="2"/>
      <c r="Y1350" s="2"/>
      <c r="Z1350" s="2"/>
      <c r="AA1350" s="2">
        <v>-0.56741573033707859</v>
      </c>
      <c r="AB1350" s="2">
        <v>0.33766233766233755</v>
      </c>
      <c r="AC1350" s="2">
        <v>2.3398058252427183</v>
      </c>
      <c r="AD1350" s="574">
        <v>0</v>
      </c>
      <c r="AE1350" s="574">
        <v>0</v>
      </c>
      <c r="AF1350" s="574">
        <v>0</v>
      </c>
      <c r="AG1350" s="133">
        <v>0</v>
      </c>
      <c r="AH1350" s="87">
        <v>0</v>
      </c>
      <c r="AI1350" s="87">
        <v>0</v>
      </c>
      <c r="AJ1350" s="87">
        <v>0</v>
      </c>
      <c r="AK1350" s="87">
        <v>0</v>
      </c>
      <c r="AL1350" s="87">
        <v>0</v>
      </c>
      <c r="AM1350" s="87">
        <v>0</v>
      </c>
      <c r="AN1350" s="87">
        <v>0</v>
      </c>
      <c r="AO1350" s="88">
        <v>0</v>
      </c>
      <c r="AP1350" s="88">
        <v>0</v>
      </c>
      <c r="AQ1350" s="88">
        <v>0</v>
      </c>
      <c r="AR1350" s="88">
        <v>0</v>
      </c>
      <c r="AS1350" s="88">
        <v>0</v>
      </c>
      <c r="AT1350" s="2"/>
      <c r="AU1350" s="2"/>
    </row>
    <row r="1351" spans="1:47" hidden="1" outlineLevel="1">
      <c r="A1351" s="298"/>
      <c r="B1351" s="73"/>
      <c r="C1351" s="18"/>
      <c r="D1351" s="18"/>
      <c r="E1351" s="18"/>
      <c r="F1351" s="18"/>
      <c r="G1351" s="18"/>
      <c r="H1351" s="18"/>
      <c r="I1351" s="18"/>
      <c r="J1351" s="18"/>
      <c r="K1351" s="7"/>
      <c r="L1351" s="7"/>
      <c r="M1351" s="7"/>
      <c r="N1351" s="7"/>
      <c r="O1351" s="7"/>
      <c r="P1351" s="7"/>
      <c r="Q1351" s="7"/>
      <c r="R1351" s="7"/>
      <c r="S1351" s="7"/>
      <c r="T1351" s="7"/>
      <c r="U1351" s="7"/>
      <c r="V1351" s="2"/>
      <c r="W1351" s="7"/>
      <c r="X1351" s="7"/>
      <c r="Y1351" s="31"/>
      <c r="Z1351" s="31"/>
      <c r="AA1351" s="31"/>
      <c r="AB1351" s="31"/>
      <c r="AC1351" s="31"/>
      <c r="AD1351" s="31"/>
      <c r="AE1351" s="31"/>
      <c r="AF1351" s="31"/>
      <c r="AG1351" s="31"/>
      <c r="AH1351" s="31"/>
      <c r="AI1351" s="31"/>
      <c r="AJ1351" s="31"/>
      <c r="AK1351" s="31"/>
      <c r="AL1351" s="31"/>
      <c r="AM1351" s="31"/>
      <c r="AN1351" s="31"/>
      <c r="AO1351" s="31"/>
      <c r="AP1351" s="31"/>
      <c r="AQ1351" s="31"/>
      <c r="AR1351" s="31"/>
      <c r="AS1351" s="31"/>
      <c r="AT1351" s="2"/>
      <c r="AU1351" s="2"/>
    </row>
    <row r="1352" spans="1:47" ht="15.6" hidden="1" outlineLevel="1">
      <c r="A1352" s="298"/>
      <c r="B1352" s="237" t="s">
        <v>1091</v>
      </c>
      <c r="C1352" s="238"/>
      <c r="D1352" s="239"/>
      <c r="E1352" s="239"/>
      <c r="F1352" s="239"/>
      <c r="G1352" s="239"/>
      <c r="H1352" s="239"/>
      <c r="I1352" s="239"/>
      <c r="J1352" s="239"/>
      <c r="K1352" s="239"/>
      <c r="L1352" s="239"/>
      <c r="M1352" s="239"/>
      <c r="N1352" s="239"/>
      <c r="O1352" s="239"/>
      <c r="P1352" s="239"/>
      <c r="Q1352" s="239"/>
      <c r="R1352" s="239"/>
      <c r="S1352" s="239"/>
      <c r="T1352" s="239"/>
      <c r="U1352" s="239"/>
      <c r="V1352" s="239"/>
      <c r="W1352" s="239"/>
      <c r="X1352" s="239"/>
      <c r="Y1352" s="239"/>
      <c r="Z1352" s="239"/>
      <c r="AA1352" s="239"/>
      <c r="AB1352" s="239"/>
      <c r="AC1352" s="239"/>
      <c r="AD1352" s="239"/>
      <c r="AE1352" s="239"/>
      <c r="AF1352" s="239"/>
      <c r="AG1352" s="239"/>
      <c r="AH1352" s="239"/>
      <c r="AI1352" s="239"/>
      <c r="AJ1352" s="239"/>
      <c r="AK1352" s="239"/>
      <c r="AL1352" s="239"/>
      <c r="AM1352" s="239"/>
      <c r="AN1352" s="239"/>
      <c r="AO1352" s="270"/>
      <c r="AP1352" s="240"/>
      <c r="AQ1352" s="240"/>
      <c r="AR1352" s="240"/>
      <c r="AS1352" s="240"/>
      <c r="AT1352" s="2"/>
      <c r="AU1352" s="2"/>
    </row>
    <row r="1353" spans="1:47" hidden="1" outlineLevel="1">
      <c r="A1353" s="298"/>
      <c r="B1353" s="2"/>
      <c r="C1353" s="18"/>
      <c r="D1353" s="18"/>
      <c r="E1353" s="18"/>
      <c r="F1353" s="18"/>
      <c r="G1353" s="18"/>
      <c r="H1353" s="18"/>
      <c r="I1353" s="18"/>
      <c r="J1353" s="18"/>
      <c r="K1353" s="7"/>
      <c r="L1353" s="7"/>
      <c r="M1353" s="7"/>
      <c r="N1353" s="7"/>
      <c r="O1353" s="7"/>
      <c r="P1353" s="7"/>
      <c r="Q1353" s="7"/>
      <c r="R1353" s="7"/>
      <c r="S1353" s="7"/>
      <c r="T1353" s="7"/>
      <c r="U1353" s="7"/>
      <c r="V1353" s="7"/>
      <c r="W1353" s="7"/>
      <c r="X1353" s="7"/>
      <c r="Y1353" s="7"/>
      <c r="Z1353" s="7"/>
      <c r="AA1353" s="7"/>
      <c r="AB1353" s="7"/>
      <c r="AC1353" s="7"/>
      <c r="AD1353" s="7"/>
      <c r="AE1353" s="7"/>
      <c r="AF1353" s="7"/>
      <c r="AG1353" s="7"/>
      <c r="AH1353" s="7"/>
      <c r="AI1353" s="7"/>
      <c r="AJ1353" s="7"/>
      <c r="AK1353" s="7"/>
      <c r="AL1353" s="7"/>
      <c r="AM1353" s="7"/>
      <c r="AN1353" s="7"/>
      <c r="AO1353" s="7"/>
      <c r="AP1353" s="7"/>
      <c r="AQ1353" s="7"/>
      <c r="AR1353" s="7"/>
      <c r="AS1353" s="7"/>
      <c r="AT1353" s="2"/>
      <c r="AU1353" s="2"/>
    </row>
    <row r="1354" spans="1:47" hidden="1" outlineLevel="1">
      <c r="A1354" s="298"/>
      <c r="B1354" s="6" t="s">
        <v>561</v>
      </c>
      <c r="C1354" s="18"/>
      <c r="D1354" s="18"/>
      <c r="E1354" s="18"/>
      <c r="F1354" s="18"/>
      <c r="G1354" s="18"/>
      <c r="H1354" s="18"/>
      <c r="I1354" s="18"/>
      <c r="J1354" s="18"/>
      <c r="K1354" s="7"/>
      <c r="L1354" s="7"/>
      <c r="M1354" s="7"/>
      <c r="N1354" s="7"/>
      <c r="O1354" s="7"/>
      <c r="P1354" s="7"/>
      <c r="Q1354" s="7"/>
      <c r="R1354" s="7"/>
      <c r="S1354" s="7"/>
      <c r="T1354" s="7"/>
      <c r="U1354" s="7"/>
      <c r="V1354" s="7"/>
      <c r="W1354" s="7"/>
      <c r="X1354" s="7"/>
      <c r="Y1354" s="7"/>
      <c r="Z1354" s="7"/>
      <c r="AA1354" s="7"/>
      <c r="AB1354" s="7"/>
      <c r="AC1354" s="7"/>
      <c r="AD1354" s="7"/>
      <c r="AE1354" s="7"/>
      <c r="AF1354" s="7"/>
      <c r="AG1354" s="7"/>
      <c r="AH1354" s="7"/>
      <c r="AI1354" s="7"/>
      <c r="AJ1354" s="7"/>
      <c r="AK1354" s="7"/>
      <c r="AL1354" s="7"/>
      <c r="AM1354" s="7"/>
      <c r="AN1354" s="7"/>
      <c r="AO1354" s="7"/>
      <c r="AP1354" s="7"/>
      <c r="AQ1354" s="7"/>
      <c r="AR1354" s="7"/>
      <c r="AS1354" s="7"/>
      <c r="AT1354" s="2"/>
      <c r="AU1354" s="2"/>
    </row>
    <row r="1355" spans="1:47" hidden="1" outlineLevel="1">
      <c r="A1355" s="298"/>
      <c r="B1355" s="55" t="s">
        <v>562</v>
      </c>
      <c r="C1355" s="18" t="s">
        <v>846</v>
      </c>
      <c r="D1355" s="18"/>
      <c r="E1355" s="18"/>
      <c r="F1355" s="18"/>
      <c r="G1355" s="18"/>
      <c r="H1355" s="18"/>
      <c r="I1355" s="18"/>
      <c r="J1355" s="18"/>
      <c r="K1355" s="532">
        <v>1049</v>
      </c>
      <c r="L1355" s="532">
        <v>1235</v>
      </c>
      <c r="M1355" s="532">
        <v>1268</v>
      </c>
      <c r="N1355" s="532">
        <v>1213</v>
      </c>
      <c r="O1355" s="532">
        <v>1288</v>
      </c>
      <c r="P1355" s="532">
        <v>1327</v>
      </c>
      <c r="Q1355" s="532">
        <v>1214</v>
      </c>
      <c r="R1355" s="532">
        <v>1229</v>
      </c>
      <c r="S1355" s="532">
        <v>1298</v>
      </c>
      <c r="T1355" s="532">
        <v>1291</v>
      </c>
      <c r="U1355" s="532">
        <v>1308</v>
      </c>
      <c r="V1355" s="532">
        <v>1316</v>
      </c>
      <c r="W1355" s="549">
        <v>1306</v>
      </c>
      <c r="X1355" s="549">
        <v>1285</v>
      </c>
      <c r="Y1355" s="549">
        <v>1225</v>
      </c>
      <c r="Z1355" s="549">
        <v>1137</v>
      </c>
      <c r="AA1355" s="56">
        <v>1057.4099999999999</v>
      </c>
      <c r="AB1355" s="56">
        <v>993.96539999999982</v>
      </c>
      <c r="AC1355" s="56">
        <v>934.32747599999982</v>
      </c>
      <c r="AD1355" s="56">
        <v>887.61110219999978</v>
      </c>
      <c r="AE1355" s="56">
        <v>843.23054708999973</v>
      </c>
      <c r="AF1355" s="56">
        <v>801.06901973549975</v>
      </c>
      <c r="AG1355" s="56">
        <v>761.01556874872472</v>
      </c>
      <c r="AH1355" s="56">
        <v>722.96479031128843</v>
      </c>
      <c r="AI1355" s="56">
        <v>708.50549450506264</v>
      </c>
      <c r="AJ1355" s="56">
        <v>694.33538461496141</v>
      </c>
      <c r="AK1355" s="56">
        <v>680.44867692266212</v>
      </c>
      <c r="AL1355" s="56">
        <v>666.83970338420886</v>
      </c>
      <c r="AM1355" s="56">
        <v>653.50290931652466</v>
      </c>
      <c r="AN1355" s="56">
        <v>640.43285113019419</v>
      </c>
      <c r="AO1355" s="56">
        <v>627.62419410759026</v>
      </c>
      <c r="AP1355" s="56">
        <v>615.07171022543844</v>
      </c>
      <c r="AQ1355" s="56">
        <v>615.07171022543844</v>
      </c>
      <c r="AR1355" s="56">
        <v>615.07171022543844</v>
      </c>
      <c r="AS1355" s="56">
        <v>615.07171022543844</v>
      </c>
      <c r="AT1355" s="2"/>
      <c r="AU1355" s="2"/>
    </row>
    <row r="1356" spans="1:47" hidden="1" outlineLevel="1">
      <c r="A1356" s="298"/>
      <c r="B1356" s="241" t="s">
        <v>1099</v>
      </c>
      <c r="C1356" s="18" t="s">
        <v>733</v>
      </c>
      <c r="D1356" s="18"/>
      <c r="E1356" s="18"/>
      <c r="F1356" s="18"/>
      <c r="G1356" s="18"/>
      <c r="H1356" s="18"/>
      <c r="I1356" s="18"/>
      <c r="J1356" s="18"/>
      <c r="K1356" s="7"/>
      <c r="L1356" s="7">
        <v>0.17731172545281226</v>
      </c>
      <c r="M1356" s="7">
        <v>2.6720647773279316E-2</v>
      </c>
      <c r="N1356" s="7">
        <v>-4.3375394321766514E-2</v>
      </c>
      <c r="O1356" s="7">
        <v>6.18301731244848E-2</v>
      </c>
      <c r="P1356" s="7">
        <v>3.0279503105590022E-2</v>
      </c>
      <c r="Q1356" s="7">
        <v>-8.5154483798040692E-2</v>
      </c>
      <c r="R1356" s="7">
        <v>1.2355848434925765E-2</v>
      </c>
      <c r="S1356" s="7">
        <v>5.6143205858421474E-2</v>
      </c>
      <c r="T1356" s="7">
        <v>-5.3929121725732054E-3</v>
      </c>
      <c r="U1356" s="7">
        <v>1.3168086754453912E-2</v>
      </c>
      <c r="V1356" s="7">
        <v>6.1162079510703737E-3</v>
      </c>
      <c r="W1356" s="56">
        <v>-7.5987841945288626E-3</v>
      </c>
      <c r="X1356" s="7">
        <v>-1.607963246554367E-2</v>
      </c>
      <c r="Y1356" s="7">
        <v>-4.6692607003890996E-2</v>
      </c>
      <c r="Z1356" s="102">
        <v>-7.1836734693877524E-2</v>
      </c>
      <c r="AA1356" s="557">
        <v>-7.0000000000000007E-2</v>
      </c>
      <c r="AB1356" s="557">
        <v>-0.06</v>
      </c>
      <c r="AC1356" s="557">
        <v>-0.06</v>
      </c>
      <c r="AD1356" s="557">
        <v>-0.05</v>
      </c>
      <c r="AE1356" s="557">
        <v>-0.05</v>
      </c>
      <c r="AF1356" s="557">
        <v>-0.05</v>
      </c>
      <c r="AG1356" s="557">
        <v>-0.05</v>
      </c>
      <c r="AH1356" s="557">
        <v>-0.05</v>
      </c>
      <c r="AI1356" s="557">
        <v>-0.02</v>
      </c>
      <c r="AJ1356" s="557">
        <v>-0.02</v>
      </c>
      <c r="AK1356" s="557">
        <v>-0.02</v>
      </c>
      <c r="AL1356" s="557">
        <v>-0.02</v>
      </c>
      <c r="AM1356" s="557">
        <v>-0.02</v>
      </c>
      <c r="AN1356" s="557">
        <v>-0.02</v>
      </c>
      <c r="AO1356" s="575">
        <v>-0.02</v>
      </c>
      <c r="AP1356" s="575">
        <v>-0.02</v>
      </c>
      <c r="AQ1356" s="575">
        <v>-0.02</v>
      </c>
      <c r="AR1356" s="575">
        <v>-0.02</v>
      </c>
      <c r="AS1356" s="575">
        <v>-0.02</v>
      </c>
      <c r="AT1356" s="2"/>
      <c r="AU1356" s="2"/>
    </row>
    <row r="1357" spans="1:47" hidden="1" outlineLevel="1">
      <c r="A1357" s="298"/>
      <c r="B1357" s="55" t="s">
        <v>563</v>
      </c>
      <c r="C1357" s="18" t="s">
        <v>846</v>
      </c>
      <c r="D1357" s="18"/>
      <c r="E1357" s="18"/>
      <c r="F1357" s="18"/>
      <c r="G1357" s="18"/>
      <c r="H1357" s="18"/>
      <c r="I1357" s="18"/>
      <c r="J1357" s="18"/>
      <c r="K1357" s="7">
        <v>1049</v>
      </c>
      <c r="L1357" s="7">
        <v>1142</v>
      </c>
      <c r="M1357" s="31">
        <v>1251.5</v>
      </c>
      <c r="N1357" s="31">
        <v>1240.5</v>
      </c>
      <c r="O1357" s="31">
        <v>1250.5</v>
      </c>
      <c r="P1357" s="31">
        <v>1307.5</v>
      </c>
      <c r="Q1357" s="31">
        <v>1270.5</v>
      </c>
      <c r="R1357" s="31">
        <v>1221.5</v>
      </c>
      <c r="S1357" s="31">
        <v>1263.5</v>
      </c>
      <c r="T1357" s="31">
        <v>1294.5</v>
      </c>
      <c r="U1357" s="31">
        <v>1299.5</v>
      </c>
      <c r="V1357" s="7">
        <v>1312</v>
      </c>
      <c r="W1357" s="31">
        <v>1311</v>
      </c>
      <c r="X1357" s="31">
        <v>1295.5</v>
      </c>
      <c r="Y1357" s="31">
        <v>1255</v>
      </c>
      <c r="Z1357" s="31">
        <v>1181</v>
      </c>
      <c r="AA1357" s="31">
        <v>1097.2049999999999</v>
      </c>
      <c r="AB1357" s="31">
        <v>1025.6876999999999</v>
      </c>
      <c r="AC1357" s="31">
        <v>964.14643799999976</v>
      </c>
      <c r="AD1357" s="31">
        <v>910.96928909999974</v>
      </c>
      <c r="AE1357" s="31">
        <v>865.42082464499981</v>
      </c>
      <c r="AF1357" s="31">
        <v>822.14978341274968</v>
      </c>
      <c r="AG1357" s="31">
        <v>781.04229424211223</v>
      </c>
      <c r="AH1357" s="31">
        <v>741.99017953000657</v>
      </c>
      <c r="AI1357" s="31">
        <v>715.73514240817553</v>
      </c>
      <c r="AJ1357" s="31">
        <v>701.42043956001203</v>
      </c>
      <c r="AK1357" s="31">
        <v>687.39203076881176</v>
      </c>
      <c r="AL1357" s="31">
        <v>673.64419015343549</v>
      </c>
      <c r="AM1357" s="31">
        <v>660.17130635036676</v>
      </c>
      <c r="AN1357" s="31">
        <v>646.96788022335943</v>
      </c>
      <c r="AO1357" s="31">
        <v>634.02852261889223</v>
      </c>
      <c r="AP1357" s="31">
        <v>621.34795216651435</v>
      </c>
      <c r="AQ1357" s="31">
        <v>621.34795216651435</v>
      </c>
      <c r="AR1357" s="31">
        <v>621.34795216651435</v>
      </c>
      <c r="AS1357" s="31">
        <v>621.34795216651435</v>
      </c>
      <c r="AT1357" s="2"/>
      <c r="AU1357" s="2"/>
    </row>
    <row r="1358" spans="1:47" hidden="1" outlineLevel="1">
      <c r="A1358" s="298"/>
      <c r="B1358" s="2"/>
      <c r="C1358" s="18"/>
      <c r="D1358" s="18"/>
      <c r="E1358" s="18"/>
      <c r="F1358" s="18"/>
      <c r="G1358" s="18"/>
      <c r="H1358" s="18"/>
      <c r="I1358" s="18"/>
      <c r="J1358" s="18"/>
      <c r="K1358" s="7"/>
      <c r="L1358" s="7"/>
      <c r="M1358" s="7"/>
      <c r="N1358" s="7"/>
      <c r="O1358" s="7"/>
      <c r="P1358" s="7"/>
      <c r="Q1358" s="7"/>
      <c r="R1358" s="7"/>
      <c r="S1358" s="7"/>
      <c r="T1358" s="7"/>
      <c r="U1358" s="7"/>
      <c r="V1358" s="7"/>
      <c r="W1358" s="7"/>
      <c r="X1358" s="7"/>
      <c r="Y1358" s="7"/>
      <c r="Z1358" s="7"/>
      <c r="AA1358" s="7"/>
      <c r="AB1358" s="7"/>
      <c r="AC1358" s="7"/>
      <c r="AD1358" s="7"/>
      <c r="AE1358" s="7"/>
      <c r="AF1358" s="7"/>
      <c r="AG1358" s="7"/>
      <c r="AH1358" s="7"/>
      <c r="AI1358" s="7"/>
      <c r="AJ1358" s="7"/>
      <c r="AK1358" s="7"/>
      <c r="AL1358" s="7"/>
      <c r="AM1358" s="7"/>
      <c r="AN1358" s="7"/>
      <c r="AO1358" s="7"/>
      <c r="AP1358" s="7"/>
      <c r="AQ1358" s="7"/>
      <c r="AR1358" s="7"/>
      <c r="AS1358" s="7"/>
      <c r="AT1358" s="2"/>
      <c r="AU1358" s="2"/>
    </row>
    <row r="1359" spans="1:47" hidden="1" outlineLevel="1">
      <c r="A1359" s="298"/>
      <c r="B1359" s="6" t="s">
        <v>1089</v>
      </c>
      <c r="C1359" s="18"/>
      <c r="D1359" s="18"/>
      <c r="E1359" s="18"/>
      <c r="F1359" s="18"/>
      <c r="G1359" s="18"/>
      <c r="H1359" s="18"/>
      <c r="I1359" s="18"/>
      <c r="J1359" s="18"/>
      <c r="K1359" s="6"/>
      <c r="L1359" s="6"/>
      <c r="M1359" s="6"/>
      <c r="N1359" s="6"/>
      <c r="O1359" s="6"/>
      <c r="P1359" s="6"/>
      <c r="Q1359" s="6"/>
      <c r="R1359" s="6"/>
      <c r="S1359" s="6"/>
      <c r="T1359" s="7"/>
      <c r="U1359" s="7"/>
      <c r="V1359" s="7"/>
      <c r="W1359" s="7"/>
      <c r="X1359" s="7"/>
      <c r="Y1359" s="7"/>
      <c r="Z1359" s="7"/>
      <c r="AA1359" s="7"/>
      <c r="AB1359" s="7"/>
      <c r="AC1359" s="7"/>
      <c r="AD1359" s="7"/>
      <c r="AE1359" s="7"/>
      <c r="AF1359" s="7"/>
      <c r="AG1359" s="7"/>
      <c r="AH1359" s="7"/>
      <c r="AI1359" s="7"/>
      <c r="AJ1359" s="7"/>
      <c r="AK1359" s="7"/>
      <c r="AL1359" s="7"/>
      <c r="AM1359" s="7"/>
      <c r="AN1359" s="7"/>
      <c r="AO1359" s="7"/>
      <c r="AP1359" s="7"/>
      <c r="AQ1359" s="7"/>
      <c r="AR1359" s="7"/>
      <c r="AS1359" s="7"/>
      <c r="AT1359" s="2"/>
      <c r="AU1359" s="2"/>
    </row>
    <row r="1360" spans="1:47" hidden="1" outlineLevel="1">
      <c r="A1360" s="298"/>
      <c r="B1360" s="2" t="s">
        <v>564</v>
      </c>
      <c r="C1360" s="18" t="s">
        <v>306</v>
      </c>
      <c r="D1360" s="18"/>
      <c r="E1360" s="18"/>
      <c r="F1360" s="18"/>
      <c r="G1360" s="18"/>
      <c r="H1360" s="18"/>
      <c r="I1360" s="18"/>
      <c r="J1360" s="18"/>
      <c r="K1360" s="42">
        <v>36.224976167778841</v>
      </c>
      <c r="L1360" s="42">
        <v>36.923525977816695</v>
      </c>
      <c r="M1360" s="42">
        <v>30.097216673325338</v>
      </c>
      <c r="N1360" s="42">
        <v>26.199113260781946</v>
      </c>
      <c r="O1360" s="42">
        <v>26.722644275623082</v>
      </c>
      <c r="P1360" s="42">
        <v>26.832377310388786</v>
      </c>
      <c r="Q1360" s="42">
        <v>27.351436442345531</v>
      </c>
      <c r="R1360" s="42">
        <v>28.585072997680445</v>
      </c>
      <c r="S1360" s="42">
        <v>27.437013586598074</v>
      </c>
      <c r="T1360" s="42">
        <v>27.437013586598074</v>
      </c>
      <c r="U1360" s="42">
        <v>27.437013586598074</v>
      </c>
      <c r="V1360" s="42">
        <v>27.437013586598074</v>
      </c>
      <c r="W1360" s="61">
        <v>23.321461548608362</v>
      </c>
      <c r="X1360" s="61">
        <v>27.855032317636194</v>
      </c>
      <c r="Y1360" s="61">
        <v>27.297931671283472</v>
      </c>
      <c r="Z1360" s="61">
        <v>26.751973037857802</v>
      </c>
      <c r="AA1360" s="61">
        <v>26.216933577100644</v>
      </c>
      <c r="AB1360" s="61">
        <v>25.692594905558629</v>
      </c>
      <c r="AC1360" s="61">
        <v>25.178743007447455</v>
      </c>
      <c r="AD1360" s="61">
        <v>23.91980585707508</v>
      </c>
      <c r="AE1360" s="61">
        <v>21.527825271367572</v>
      </c>
      <c r="AF1360" s="61">
        <v>19.375042744230814</v>
      </c>
      <c r="AG1360" s="61">
        <v>17.437538469807734</v>
      </c>
      <c r="AH1360" s="61">
        <v>15.693784622826961</v>
      </c>
      <c r="AI1360" s="61">
        <v>14.124406160544265</v>
      </c>
      <c r="AJ1360" s="61">
        <v>12.711965544489839</v>
      </c>
      <c r="AK1360" s="61">
        <v>11.440768990040855</v>
      </c>
      <c r="AL1360" s="61">
        <v>10.296692091036769</v>
      </c>
      <c r="AM1360" s="61">
        <v>9.2670228819330926</v>
      </c>
      <c r="AN1360" s="61">
        <v>8.3403205937397829</v>
      </c>
      <c r="AO1360" s="61">
        <v>7.5062885343658046</v>
      </c>
      <c r="AP1360" s="61">
        <v>6.7556596809292246</v>
      </c>
      <c r="AQ1360" s="61">
        <v>6.7556596809292246</v>
      </c>
      <c r="AR1360" s="61">
        <v>6.7556596809292246</v>
      </c>
      <c r="AS1360" s="61">
        <v>6.7556596809292246</v>
      </c>
      <c r="AT1360" s="2"/>
      <c r="AU1360" s="2"/>
    </row>
    <row r="1361" spans="1:47" hidden="1" outlineLevel="1">
      <c r="A1361" s="298"/>
      <c r="B1361" s="241" t="s">
        <v>1099</v>
      </c>
      <c r="C1361" s="18" t="s">
        <v>733</v>
      </c>
      <c r="D1361" s="18"/>
      <c r="E1361" s="18"/>
      <c r="F1361" s="18"/>
      <c r="G1361" s="18"/>
      <c r="H1361" s="18"/>
      <c r="I1361" s="18"/>
      <c r="J1361" s="18"/>
      <c r="K1361" s="7"/>
      <c r="L1361" s="7">
        <v>1.9283651334992324E-2</v>
      </c>
      <c r="M1361" s="7">
        <v>-0.18487696187499914</v>
      </c>
      <c r="N1361" s="7">
        <v>-0.12951707311853244</v>
      </c>
      <c r="O1361" s="7">
        <v>1.9982776120320844E-2</v>
      </c>
      <c r="P1361" s="7">
        <v>4.1063688770428541E-3</v>
      </c>
      <c r="Q1361" s="7">
        <v>1.9344507791927201E-2</v>
      </c>
      <c r="R1361" s="7">
        <v>4.5103172476345543E-2</v>
      </c>
      <c r="S1361" s="7">
        <v>-4.0162899397721774E-2</v>
      </c>
      <c r="T1361" s="558">
        <v>0</v>
      </c>
      <c r="U1361" s="558">
        <v>0</v>
      </c>
      <c r="V1361" s="558">
        <v>0</v>
      </c>
      <c r="W1361" s="559">
        <v>-0.15</v>
      </c>
      <c r="X1361" s="557">
        <v>-0.02</v>
      </c>
      <c r="Y1361" s="557">
        <v>-0.02</v>
      </c>
      <c r="Z1361" s="114">
        <v>-0.02</v>
      </c>
      <c r="AA1361" s="114">
        <v>-0.02</v>
      </c>
      <c r="AB1361" s="114">
        <v>-0.02</v>
      </c>
      <c r="AC1361" s="114">
        <v>-0.02</v>
      </c>
      <c r="AD1361" s="557">
        <v>-0.05</v>
      </c>
      <c r="AE1361" s="557">
        <v>-0.1</v>
      </c>
      <c r="AF1361" s="114">
        <v>-0.1</v>
      </c>
      <c r="AG1361" s="114">
        <v>-0.1</v>
      </c>
      <c r="AH1361" s="114">
        <v>-0.1</v>
      </c>
      <c r="AI1361" s="114">
        <v>-0.1</v>
      </c>
      <c r="AJ1361" s="114">
        <v>-0.1</v>
      </c>
      <c r="AK1361" s="114">
        <v>-0.1</v>
      </c>
      <c r="AL1361" s="114">
        <v>-0.1</v>
      </c>
      <c r="AM1361" s="114">
        <v>-0.1</v>
      </c>
      <c r="AN1361" s="114">
        <v>-0.1</v>
      </c>
      <c r="AO1361" s="115">
        <v>-0.1</v>
      </c>
      <c r="AP1361" s="115">
        <v>-0.1</v>
      </c>
      <c r="AQ1361" s="115">
        <v>-0.1</v>
      </c>
      <c r="AR1361" s="115">
        <v>-0.1</v>
      </c>
      <c r="AS1361" s="115">
        <v>-0.1</v>
      </c>
      <c r="AT1361" s="2"/>
      <c r="AU1361" s="2"/>
    </row>
    <row r="1362" spans="1:47" hidden="1" outlineLevel="1">
      <c r="A1362" s="298"/>
      <c r="B1362" s="2" t="s">
        <v>565</v>
      </c>
      <c r="C1362" s="18" t="s">
        <v>309</v>
      </c>
      <c r="D1362" s="18"/>
      <c r="E1362" s="18"/>
      <c r="F1362" s="18"/>
      <c r="G1362" s="18"/>
      <c r="H1362" s="18"/>
      <c r="I1362" s="18"/>
      <c r="J1362" s="18"/>
      <c r="K1362" s="532">
        <v>456</v>
      </c>
      <c r="L1362" s="532">
        <v>506</v>
      </c>
      <c r="M1362" s="532">
        <v>452</v>
      </c>
      <c r="N1362" s="532">
        <v>390</v>
      </c>
      <c r="O1362" s="532">
        <v>401</v>
      </c>
      <c r="P1362" s="532">
        <v>421</v>
      </c>
      <c r="Q1362" s="532">
        <v>417</v>
      </c>
      <c r="R1362" s="532">
        <v>419</v>
      </c>
      <c r="S1362" s="532">
        <v>416</v>
      </c>
      <c r="T1362" s="31">
        <v>426.20656905421453</v>
      </c>
      <c r="U1362" s="31">
        <v>427.85278986941034</v>
      </c>
      <c r="V1362" s="31">
        <v>431.96834190740003</v>
      </c>
      <c r="W1362" s="31">
        <v>366.89323308270673</v>
      </c>
      <c r="X1362" s="31">
        <v>433.03433240997219</v>
      </c>
      <c r="Y1362" s="31">
        <v>411.10685096952909</v>
      </c>
      <c r="Z1362" s="31">
        <v>379.12896189252075</v>
      </c>
      <c r="AA1362" s="31">
        <v>345.18420726555252</v>
      </c>
      <c r="AB1362" s="31">
        <v>316.23094290856977</v>
      </c>
      <c r="AC1362" s="31">
        <v>291.31194460737436</v>
      </c>
      <c r="AD1362" s="31">
        <v>261.48250244435633</v>
      </c>
      <c r="AE1362" s="31">
        <v>223.56753958992468</v>
      </c>
      <c r="AF1362" s="31">
        <v>191.15024634938558</v>
      </c>
      <c r="AG1362" s="31">
        <v>163.43346062872467</v>
      </c>
      <c r="AH1362" s="31">
        <v>139.7356088375596</v>
      </c>
      <c r="AI1362" s="31">
        <v>121.31200625697674</v>
      </c>
      <c r="AJ1362" s="31">
        <v>106.99718951865349</v>
      </c>
      <c r="AK1362" s="31">
        <v>94.371521155452371</v>
      </c>
      <c r="AL1362" s="31">
        <v>83.235681659108991</v>
      </c>
      <c r="AM1362" s="31">
        <v>73.413871223334127</v>
      </c>
      <c r="AN1362" s="31">
        <v>64.751034418980694</v>
      </c>
      <c r="AO1362" s="31">
        <v>57.110412357540973</v>
      </c>
      <c r="AP1362" s="31">
        <v>50.371383699351135</v>
      </c>
      <c r="AQ1362" s="31">
        <v>50.371383699351135</v>
      </c>
      <c r="AR1362" s="31">
        <v>50.371383699351135</v>
      </c>
      <c r="AS1362" s="31">
        <v>50.371383699351135</v>
      </c>
      <c r="AT1362" s="2"/>
      <c r="AU1362" s="2"/>
    </row>
    <row r="1363" spans="1:47" hidden="1" outlineLevel="1">
      <c r="A1363" s="298"/>
      <c r="B1363" s="241" t="s">
        <v>1099</v>
      </c>
      <c r="C1363" s="18" t="s">
        <v>733</v>
      </c>
      <c r="D1363" s="18"/>
      <c r="E1363" s="18"/>
      <c r="F1363" s="18"/>
      <c r="G1363" s="18"/>
      <c r="H1363" s="18"/>
      <c r="I1363" s="18"/>
      <c r="J1363" s="18"/>
      <c r="K1363" s="7"/>
      <c r="L1363" s="7">
        <v>0.10964912280701755</v>
      </c>
      <c r="M1363" s="7">
        <v>-0.10671936758893286</v>
      </c>
      <c r="N1363" s="7">
        <v>-0.13716814159292035</v>
      </c>
      <c r="O1363" s="7">
        <v>2.8205128205128105E-2</v>
      </c>
      <c r="P1363" s="7">
        <v>4.9875311720698257E-2</v>
      </c>
      <c r="Q1363" s="7">
        <v>-9.5011876484560887E-3</v>
      </c>
      <c r="R1363" s="7">
        <v>4.7961630695443347E-3</v>
      </c>
      <c r="S1363" s="7">
        <v>-7.1599045346062429E-3</v>
      </c>
      <c r="T1363" s="7">
        <v>2.4535021764938714E-2</v>
      </c>
      <c r="U1363" s="7">
        <v>3.8624951718808642E-3</v>
      </c>
      <c r="V1363" s="7">
        <v>9.6190842631780349E-3</v>
      </c>
      <c r="W1363" s="7">
        <v>-0.15064786585365852</v>
      </c>
      <c r="X1363" s="7">
        <v>0.18027342388284295</v>
      </c>
      <c r="Y1363" s="7">
        <v>-5.0636819760709884E-2</v>
      </c>
      <c r="Z1363" s="7">
        <v>-7.7784860557769009E-2</v>
      </c>
      <c r="AA1363" s="7">
        <v>-8.9533530906011904E-2</v>
      </c>
      <c r="AB1363" s="7">
        <v>-8.3877720207253925E-2</v>
      </c>
      <c r="AC1363" s="7">
        <v>-7.8800000000000425E-2</v>
      </c>
      <c r="AD1363" s="7">
        <v>-0.10239690721649497</v>
      </c>
      <c r="AE1363" s="7">
        <v>-0.14499999999999991</v>
      </c>
      <c r="AF1363" s="7">
        <v>-0.14500000000000013</v>
      </c>
      <c r="AG1363" s="7">
        <v>-0.14500000000000002</v>
      </c>
      <c r="AH1363" s="7">
        <v>-0.14500000000000002</v>
      </c>
      <c r="AI1363" s="7">
        <v>-0.13184615384615384</v>
      </c>
      <c r="AJ1363" s="7">
        <v>-0.11799999999999999</v>
      </c>
      <c r="AK1363" s="7">
        <v>-0.11799999999999999</v>
      </c>
      <c r="AL1363" s="7">
        <v>-0.11799999999999999</v>
      </c>
      <c r="AM1363" s="7">
        <v>-0.11799999999999999</v>
      </c>
      <c r="AN1363" s="7">
        <v>-0.1180000000000001</v>
      </c>
      <c r="AO1363" s="7">
        <v>-0.11799999999999999</v>
      </c>
      <c r="AP1363" s="7">
        <v>-0.1180000000000001</v>
      </c>
      <c r="AQ1363" s="7">
        <v>-0.1180000000000001</v>
      </c>
      <c r="AR1363" s="7">
        <v>-0.1180000000000001</v>
      </c>
      <c r="AS1363" s="7">
        <v>-0.1180000000000001</v>
      </c>
      <c r="AT1363" s="2"/>
      <c r="AU1363" s="2"/>
    </row>
    <row r="1364" spans="1:47" hidden="1" outlineLevel="1">
      <c r="A1364" s="298"/>
      <c r="B1364" s="2"/>
      <c r="C1364" s="18"/>
      <c r="D1364" s="18"/>
      <c r="E1364" s="18"/>
      <c r="F1364" s="18"/>
      <c r="G1364" s="18"/>
      <c r="H1364" s="18"/>
      <c r="I1364" s="18"/>
      <c r="J1364" s="18"/>
      <c r="K1364" s="7"/>
      <c r="L1364" s="7"/>
      <c r="M1364" s="7"/>
      <c r="N1364" s="7"/>
      <c r="O1364" s="7"/>
      <c r="P1364" s="7"/>
      <c r="Q1364" s="7"/>
      <c r="R1364" s="7"/>
      <c r="S1364" s="7"/>
      <c r="T1364" s="7"/>
      <c r="U1364" s="7"/>
      <c r="V1364" s="7"/>
      <c r="W1364" s="7"/>
      <c r="X1364" s="7"/>
      <c r="Y1364" s="7"/>
      <c r="Z1364" s="7"/>
      <c r="AA1364" s="7"/>
      <c r="AB1364" s="7"/>
      <c r="AC1364" s="7"/>
      <c r="AD1364" s="7"/>
      <c r="AE1364" s="7"/>
      <c r="AF1364" s="7"/>
      <c r="AG1364" s="7"/>
      <c r="AH1364" s="7"/>
      <c r="AI1364" s="7"/>
      <c r="AJ1364" s="7"/>
      <c r="AK1364" s="7"/>
      <c r="AL1364" s="7"/>
      <c r="AM1364" s="7"/>
      <c r="AN1364" s="7"/>
      <c r="AO1364" s="7"/>
      <c r="AP1364" s="7"/>
      <c r="AQ1364" s="7"/>
      <c r="AR1364" s="7"/>
      <c r="AS1364" s="7"/>
      <c r="AT1364" s="2"/>
      <c r="AU1364" s="2"/>
    </row>
    <row r="1365" spans="1:47" hidden="1" outlineLevel="1">
      <c r="A1365" s="298"/>
      <c r="B1365" s="6" t="s">
        <v>1090</v>
      </c>
      <c r="C1365" s="18"/>
      <c r="D1365" s="18"/>
      <c r="E1365" s="18"/>
      <c r="F1365" s="18"/>
      <c r="G1365" s="18"/>
      <c r="H1365" s="18"/>
      <c r="I1365" s="18"/>
      <c r="J1365" s="18"/>
      <c r="K1365" s="7"/>
      <c r="L1365" s="7"/>
      <c r="M1365" s="7"/>
      <c r="N1365" s="7"/>
      <c r="O1365" s="7"/>
      <c r="P1365" s="7"/>
      <c r="Q1365" s="7"/>
      <c r="R1365" s="7"/>
      <c r="S1365" s="7"/>
      <c r="T1365" s="7"/>
      <c r="U1365" s="7"/>
      <c r="V1365" s="7"/>
      <c r="W1365" s="7"/>
      <c r="X1365" s="7"/>
      <c r="Y1365" s="7"/>
      <c r="Z1365" s="7"/>
      <c r="AA1365" s="7"/>
      <c r="AB1365" s="7"/>
      <c r="AC1365" s="7"/>
      <c r="AD1365" s="7"/>
      <c r="AE1365" s="7"/>
      <c r="AF1365" s="7"/>
      <c r="AG1365" s="7"/>
      <c r="AH1365" s="7"/>
      <c r="AI1365" s="7"/>
      <c r="AJ1365" s="7"/>
      <c r="AK1365" s="7"/>
      <c r="AL1365" s="7"/>
      <c r="AM1365" s="7"/>
      <c r="AN1365" s="7"/>
      <c r="AO1365" s="7"/>
      <c r="AP1365" s="7"/>
      <c r="AQ1365" s="7"/>
      <c r="AR1365" s="7"/>
      <c r="AS1365" s="7"/>
      <c r="AT1365" s="2"/>
      <c r="AU1365" s="2"/>
    </row>
    <row r="1366" spans="1:47" hidden="1" outlineLevel="1">
      <c r="A1366" s="298"/>
      <c r="B1366" s="2" t="s">
        <v>567</v>
      </c>
      <c r="C1366" s="18" t="s">
        <v>306</v>
      </c>
      <c r="D1366" s="18"/>
      <c r="E1366" s="18"/>
      <c r="F1366" s="18"/>
      <c r="G1366" s="18"/>
      <c r="H1366" s="18"/>
      <c r="I1366" s="18"/>
      <c r="J1366" s="18"/>
      <c r="K1366" s="42">
        <v>57.991738163330147</v>
      </c>
      <c r="L1366" s="42">
        <v>54.72854640980735</v>
      </c>
      <c r="M1366" s="42">
        <v>38.953256092688775</v>
      </c>
      <c r="N1366" s="42">
        <v>37.686416767432483</v>
      </c>
      <c r="O1366" s="42">
        <v>35.052645608423298</v>
      </c>
      <c r="P1366" s="42">
        <v>46.590184831102611</v>
      </c>
      <c r="Q1366" s="42">
        <v>42.568542568542568</v>
      </c>
      <c r="R1366" s="42">
        <v>40.592168099331424</v>
      </c>
      <c r="S1366" s="42">
        <v>37.066350085740666</v>
      </c>
      <c r="T1366" s="61">
        <v>33.217458478176901</v>
      </c>
      <c r="U1366" s="61">
        <v>30.588687956906501</v>
      </c>
      <c r="V1366" s="61">
        <v>28.264735772357721</v>
      </c>
      <c r="W1366" s="61">
        <v>25.155614837398371</v>
      </c>
      <c r="X1366" s="61">
        <v>24.904058689024389</v>
      </c>
      <c r="Y1366" s="61">
        <v>24.655018102134143</v>
      </c>
      <c r="Z1366" s="61">
        <v>24.408467921112802</v>
      </c>
      <c r="AA1366" s="61">
        <v>24.164383241901675</v>
      </c>
      <c r="AB1366" s="61">
        <v>23.922739409482659</v>
      </c>
      <c r="AC1366" s="61">
        <v>23.683512015387834</v>
      </c>
      <c r="AD1366" s="61">
        <v>23.446676895233956</v>
      </c>
      <c r="AE1366" s="61">
        <v>23.212210126281615</v>
      </c>
      <c r="AF1366" s="61">
        <v>22.980088025018798</v>
      </c>
      <c r="AG1366" s="61">
        <v>22.75028714476861</v>
      </c>
      <c r="AH1366" s="61">
        <v>22.522784273320923</v>
      </c>
      <c r="AI1366" s="61">
        <v>22.297556430587715</v>
      </c>
      <c r="AJ1366" s="61">
        <v>22.074580866281838</v>
      </c>
      <c r="AK1366" s="61">
        <v>21.853835057619019</v>
      </c>
      <c r="AL1366" s="61">
        <v>21.63529670704283</v>
      </c>
      <c r="AM1366" s="61">
        <v>21.418943739972402</v>
      </c>
      <c r="AN1366" s="61">
        <v>21.204754302572677</v>
      </c>
      <c r="AO1366" s="61">
        <v>20.992706759546952</v>
      </c>
      <c r="AP1366" s="61">
        <v>20.782779691951482</v>
      </c>
      <c r="AQ1366" s="61">
        <v>20.782779691951482</v>
      </c>
      <c r="AR1366" s="61">
        <v>20.782779691951482</v>
      </c>
      <c r="AS1366" s="61">
        <v>20.782779691951482</v>
      </c>
      <c r="AT1366" s="2"/>
      <c r="AU1366" s="2"/>
    </row>
    <row r="1367" spans="1:47" hidden="1" outlineLevel="1">
      <c r="A1367" s="298"/>
      <c r="B1367" s="241" t="s">
        <v>1099</v>
      </c>
      <c r="C1367" s="18" t="s">
        <v>733</v>
      </c>
      <c r="D1367" s="18"/>
      <c r="E1367" s="18"/>
      <c r="F1367" s="18"/>
      <c r="G1367" s="18"/>
      <c r="H1367" s="18"/>
      <c r="I1367" s="18"/>
      <c r="J1367" s="18"/>
      <c r="K1367" s="7"/>
      <c r="L1367" s="7">
        <v>-5.6269942182664345E-2</v>
      </c>
      <c r="M1367" s="7">
        <v>-0.2882461046743906</v>
      </c>
      <c r="N1367" s="7">
        <v>-3.2522039293502503E-2</v>
      </c>
      <c r="O1367" s="7">
        <v>-6.9886483909110009E-2</v>
      </c>
      <c r="P1367" s="7">
        <v>0.32914888512457363</v>
      </c>
      <c r="Q1367" s="7">
        <v>-8.6319517236069898E-2</v>
      </c>
      <c r="R1367" s="7">
        <v>-4.6428051090282141E-2</v>
      </c>
      <c r="S1367" s="7">
        <v>-8.6859563770106396E-2</v>
      </c>
      <c r="T1367" s="532">
        <v>-0.10383789066527016</v>
      </c>
      <c r="U1367" s="532">
        <v>-7.9138219529872877E-2</v>
      </c>
      <c r="V1367" s="532">
        <v>-7.5974235567827453E-2</v>
      </c>
      <c r="W1367" s="576">
        <v>-0.11</v>
      </c>
      <c r="X1367" s="574">
        <v>-0.01</v>
      </c>
      <c r="Y1367" s="221">
        <v>-0.01</v>
      </c>
      <c r="Z1367" s="221">
        <v>-0.01</v>
      </c>
      <c r="AA1367" s="221">
        <v>-0.01</v>
      </c>
      <c r="AB1367" s="221">
        <v>-0.01</v>
      </c>
      <c r="AC1367" s="221">
        <v>-0.01</v>
      </c>
      <c r="AD1367" s="221">
        <v>-0.01</v>
      </c>
      <c r="AE1367" s="221">
        <v>-0.01</v>
      </c>
      <c r="AF1367" s="221">
        <v>-0.01</v>
      </c>
      <c r="AG1367" s="221">
        <v>-0.01</v>
      </c>
      <c r="AH1367" s="221">
        <v>-0.01</v>
      </c>
      <c r="AI1367" s="221">
        <v>-0.01</v>
      </c>
      <c r="AJ1367" s="221">
        <v>-0.01</v>
      </c>
      <c r="AK1367" s="221">
        <v>-0.01</v>
      </c>
      <c r="AL1367" s="221">
        <v>-0.01</v>
      </c>
      <c r="AM1367" s="221">
        <v>-0.01</v>
      </c>
      <c r="AN1367" s="221">
        <v>-0.01</v>
      </c>
      <c r="AO1367" s="222">
        <v>-0.01</v>
      </c>
      <c r="AP1367" s="222">
        <v>-0.01</v>
      </c>
      <c r="AQ1367" s="222">
        <v>-0.01</v>
      </c>
      <c r="AR1367" s="222">
        <v>-0.01</v>
      </c>
      <c r="AS1367" s="222">
        <v>-0.01</v>
      </c>
      <c r="AT1367" s="2"/>
      <c r="AU1367" s="2"/>
    </row>
    <row r="1368" spans="1:47" hidden="1" outlineLevel="1">
      <c r="A1368" s="298"/>
      <c r="B1368" s="2" t="s">
        <v>566</v>
      </c>
      <c r="C1368" s="18" t="s">
        <v>309</v>
      </c>
      <c r="D1368" s="18"/>
      <c r="E1368" s="18"/>
      <c r="F1368" s="18"/>
      <c r="G1368" s="18"/>
      <c r="H1368" s="18"/>
      <c r="I1368" s="18"/>
      <c r="J1368" s="18"/>
      <c r="K1368" s="532">
        <v>730</v>
      </c>
      <c r="L1368" s="532">
        <v>750</v>
      </c>
      <c r="M1368" s="532">
        <v>585</v>
      </c>
      <c r="N1368" s="532">
        <v>561</v>
      </c>
      <c r="O1368" s="532">
        <v>526</v>
      </c>
      <c r="P1368" s="532">
        <v>731</v>
      </c>
      <c r="Q1368" s="532">
        <v>649</v>
      </c>
      <c r="R1368" s="532">
        <v>595</v>
      </c>
      <c r="S1368" s="532">
        <v>562</v>
      </c>
      <c r="T1368" s="42">
        <v>516</v>
      </c>
      <c r="U1368" s="42">
        <v>477</v>
      </c>
      <c r="V1368" s="42">
        <v>444.99999999999994</v>
      </c>
      <c r="W1368" s="42">
        <v>509.74813262195119</v>
      </c>
      <c r="X1368" s="42">
        <v>387.15849637957314</v>
      </c>
      <c r="Y1368" s="42">
        <v>371.30457261814024</v>
      </c>
      <c r="Z1368" s="42">
        <v>345.91680737801067</v>
      </c>
      <c r="AA1368" s="42">
        <v>318.15938537916873</v>
      </c>
      <c r="AB1368" s="42">
        <v>294.44711475133948</v>
      </c>
      <c r="AC1368" s="42">
        <v>274.01248498759651</v>
      </c>
      <c r="AD1368" s="42">
        <v>256.31043099610395</v>
      </c>
      <c r="AE1368" s="42">
        <v>241.0599603518358</v>
      </c>
      <c r="AF1368" s="42">
        <v>226.7168927109015</v>
      </c>
      <c r="AG1368" s="42">
        <v>213.22723759460288</v>
      </c>
      <c r="AH1368" s="42">
        <v>200.540216957724</v>
      </c>
      <c r="AI1368" s="42">
        <v>191.50973672641231</v>
      </c>
      <c r="AJ1368" s="42">
        <v>185.80274657196526</v>
      </c>
      <c r="AK1368" s="42">
        <v>180.26582472412068</v>
      </c>
      <c r="AL1368" s="42">
        <v>174.89390314734189</v>
      </c>
      <c r="AM1368" s="42">
        <v>169.6820648335511</v>
      </c>
      <c r="AN1368" s="42">
        <v>164.62553930151125</v>
      </c>
      <c r="AO1368" s="42">
        <v>159.71969823032623</v>
      </c>
      <c r="AP1368" s="42">
        <v>154.96005122306249</v>
      </c>
      <c r="AQ1368" s="42">
        <v>154.96005122306249</v>
      </c>
      <c r="AR1368" s="42">
        <v>154.96005122306249</v>
      </c>
      <c r="AS1368" s="42">
        <v>154.96005122306249</v>
      </c>
      <c r="AT1368" s="2"/>
      <c r="AU1368" s="2"/>
    </row>
    <row r="1369" spans="1:47" hidden="1" outlineLevel="1">
      <c r="A1369" s="298"/>
      <c r="B1369" s="241" t="s">
        <v>1099</v>
      </c>
      <c r="C1369" s="18" t="s">
        <v>733</v>
      </c>
      <c r="D1369" s="18"/>
      <c r="E1369" s="18"/>
      <c r="F1369" s="18"/>
      <c r="G1369" s="18"/>
      <c r="H1369" s="18"/>
      <c r="I1369" s="18"/>
      <c r="J1369" s="18"/>
      <c r="K1369" s="7"/>
      <c r="L1369" s="7">
        <v>2.7397260273972712E-2</v>
      </c>
      <c r="M1369" s="7">
        <v>-0.21999999999999997</v>
      </c>
      <c r="N1369" s="7">
        <v>-4.1025641025640991E-2</v>
      </c>
      <c r="O1369" s="7">
        <v>-6.2388591800356497E-2</v>
      </c>
      <c r="P1369" s="7">
        <v>0.38973384030418257</v>
      </c>
      <c r="Q1369" s="7">
        <v>-0.11217510259917918</v>
      </c>
      <c r="R1369" s="7">
        <v>-8.3204930662557741E-2</v>
      </c>
      <c r="S1369" s="7">
        <v>-5.5462184873949605E-2</v>
      </c>
      <c r="T1369" s="7">
        <v>-8.185053380782914E-2</v>
      </c>
      <c r="U1369" s="7">
        <v>-7.5581395348837233E-2</v>
      </c>
      <c r="V1369" s="7">
        <v>-6.7085953878406879E-2</v>
      </c>
      <c r="W1369" s="7">
        <v>0.14550142162236246</v>
      </c>
      <c r="X1369" s="7">
        <v>-0.24049060388279098</v>
      </c>
      <c r="Y1369" s="7">
        <v>-4.094944037051329E-2</v>
      </c>
      <c r="Z1369" s="7">
        <v>-6.8374501992031878E-2</v>
      </c>
      <c r="AA1369" s="7">
        <v>-8.0243056731583495E-2</v>
      </c>
      <c r="AB1369" s="7">
        <v>-7.4529533678756588E-2</v>
      </c>
      <c r="AC1369" s="7">
        <v>-6.9400000000000017E-2</v>
      </c>
      <c r="AD1369" s="7">
        <v>-6.4603092783505289E-2</v>
      </c>
      <c r="AE1369" s="7">
        <v>-5.9499999999999886E-2</v>
      </c>
      <c r="AF1369" s="7">
        <v>-5.9500000000000219E-2</v>
      </c>
      <c r="AG1369" s="7">
        <v>-5.9499999999999886E-2</v>
      </c>
      <c r="AH1369" s="7">
        <v>-5.9500000000000108E-2</v>
      </c>
      <c r="AI1369" s="7">
        <v>-4.5030769230769319E-2</v>
      </c>
      <c r="AJ1369" s="7">
        <v>-2.9799999999999827E-2</v>
      </c>
      <c r="AK1369" s="7">
        <v>-2.9800000000000049E-2</v>
      </c>
      <c r="AL1369" s="7">
        <v>-2.9799999999999938E-2</v>
      </c>
      <c r="AM1369" s="7">
        <v>-2.9800000000000049E-2</v>
      </c>
      <c r="AN1369" s="7">
        <v>-2.980000000000016E-2</v>
      </c>
      <c r="AO1369" s="7">
        <v>-2.9799999999999938E-2</v>
      </c>
      <c r="AP1369" s="7">
        <v>-2.9800000000000049E-2</v>
      </c>
      <c r="AQ1369" s="7">
        <v>-2.9800000000000049E-2</v>
      </c>
      <c r="AR1369" s="7">
        <v>-2.9800000000000049E-2</v>
      </c>
      <c r="AS1369" s="7">
        <v>-2.9800000000000049E-2</v>
      </c>
      <c r="AT1369" s="2"/>
      <c r="AU1369" s="2"/>
    </row>
    <row r="1370" spans="1:47" hidden="1" outlineLevel="1">
      <c r="A1370" s="298"/>
      <c r="B1370" s="55"/>
      <c r="C1370" s="18"/>
      <c r="D1370" s="18"/>
      <c r="E1370" s="18"/>
      <c r="F1370" s="18"/>
      <c r="G1370" s="18"/>
      <c r="H1370" s="18"/>
      <c r="I1370" s="18"/>
      <c r="J1370" s="18"/>
      <c r="K1370" s="7"/>
      <c r="L1370" s="7"/>
      <c r="M1370" s="7"/>
      <c r="N1370" s="7"/>
      <c r="O1370" s="7"/>
      <c r="P1370" s="7"/>
      <c r="Q1370" s="7"/>
      <c r="R1370" s="7"/>
      <c r="S1370" s="7"/>
      <c r="T1370" s="7"/>
      <c r="U1370" s="7"/>
      <c r="V1370" s="7"/>
      <c r="W1370" s="7"/>
      <c r="X1370" s="7"/>
      <c r="Y1370" s="7"/>
      <c r="Z1370" s="7"/>
      <c r="AA1370" s="7"/>
      <c r="AB1370" s="7"/>
      <c r="AC1370" s="7"/>
      <c r="AD1370" s="7"/>
      <c r="AE1370" s="7"/>
      <c r="AF1370" s="7"/>
      <c r="AG1370" s="7"/>
      <c r="AH1370" s="7"/>
      <c r="AI1370" s="7"/>
      <c r="AJ1370" s="7"/>
      <c r="AK1370" s="7"/>
      <c r="AL1370" s="7"/>
      <c r="AM1370" s="7"/>
      <c r="AN1370" s="7"/>
      <c r="AO1370" s="7"/>
      <c r="AP1370" s="7"/>
      <c r="AQ1370" s="7"/>
      <c r="AR1370" s="7"/>
      <c r="AS1370" s="7"/>
      <c r="AT1370" s="2"/>
      <c r="AU1370" s="2"/>
    </row>
    <row r="1371" spans="1:47" hidden="1" outlineLevel="1">
      <c r="A1371" s="298"/>
      <c r="B1371" s="6" t="s">
        <v>564</v>
      </c>
      <c r="C1371" s="18" t="s">
        <v>306</v>
      </c>
      <c r="D1371" s="18"/>
      <c r="E1371" s="18"/>
      <c r="F1371" s="18"/>
      <c r="G1371" s="18"/>
      <c r="H1371" s="18"/>
      <c r="I1371" s="18"/>
      <c r="J1371" s="18"/>
      <c r="K1371" s="7"/>
      <c r="L1371" s="7"/>
      <c r="M1371" s="7"/>
      <c r="N1371" s="7"/>
      <c r="O1371" s="7"/>
      <c r="P1371" s="7"/>
      <c r="Q1371" s="7"/>
      <c r="R1371" s="7"/>
      <c r="S1371" s="28">
        <v>64.50336367233875</v>
      </c>
      <c r="T1371" s="28">
        <v>60.654472064774978</v>
      </c>
      <c r="U1371" s="28">
        <v>58.025701543504574</v>
      </c>
      <c r="V1371" s="28">
        <v>55.701749358955787</v>
      </c>
      <c r="W1371" s="28">
        <v>52.504449529621155</v>
      </c>
      <c r="X1371" s="28">
        <v>49.980702431493633</v>
      </c>
      <c r="Y1371" s="28">
        <v>47.277556440903055</v>
      </c>
      <c r="Z1371" s="61">
        <v>45.859229747675961</v>
      </c>
      <c r="AA1371" s="61">
        <v>44.48345285524568</v>
      </c>
      <c r="AB1371" s="61">
        <v>43.148949269588307</v>
      </c>
      <c r="AC1371" s="61">
        <v>41.854480791500656</v>
      </c>
      <c r="AD1371" s="61">
        <v>39.761756751925624</v>
      </c>
      <c r="AE1371" s="61">
        <v>35.78558107673306</v>
      </c>
      <c r="AF1371" s="61">
        <v>33.996302022896408</v>
      </c>
      <c r="AG1371" s="61">
        <v>32.296486921751587</v>
      </c>
      <c r="AH1371" s="61">
        <v>30.681662575664006</v>
      </c>
      <c r="AI1371" s="61">
        <v>29.147579446880805</v>
      </c>
      <c r="AJ1371" s="61">
        <v>27.690200474536763</v>
      </c>
      <c r="AK1371" s="61">
        <v>26.305690450809923</v>
      </c>
      <c r="AL1371" s="61">
        <v>24.990405928269425</v>
      </c>
      <c r="AM1371" s="61">
        <v>23.740885631855953</v>
      </c>
      <c r="AN1371" s="61">
        <v>22.553841350263156</v>
      </c>
      <c r="AO1371" s="61">
        <v>21.426149282749996</v>
      </c>
      <c r="AP1371" s="61">
        <v>20.354841818612496</v>
      </c>
      <c r="AQ1371" s="61">
        <v>20.354841818612496</v>
      </c>
      <c r="AR1371" s="61">
        <v>20.354841818612496</v>
      </c>
      <c r="AS1371" s="61">
        <v>20.354841818612496</v>
      </c>
      <c r="AT1371" s="2"/>
      <c r="AU1371" s="2"/>
    </row>
    <row r="1372" spans="1:47" hidden="1" outlineLevel="1">
      <c r="A1372" s="298"/>
      <c r="B1372" s="241" t="s">
        <v>1099</v>
      </c>
      <c r="C1372" s="18" t="s">
        <v>733</v>
      </c>
      <c r="D1372" s="18"/>
      <c r="E1372" s="18"/>
      <c r="F1372" s="18"/>
      <c r="G1372" s="18"/>
      <c r="H1372" s="18"/>
      <c r="I1372" s="18"/>
      <c r="J1372" s="18"/>
      <c r="K1372" s="7"/>
      <c r="L1372" s="7"/>
      <c r="M1372" s="7"/>
      <c r="N1372" s="7"/>
      <c r="O1372" s="7"/>
      <c r="P1372" s="7"/>
      <c r="Q1372" s="7"/>
      <c r="R1372" s="7"/>
      <c r="S1372" s="7"/>
      <c r="T1372" s="7">
        <v>-5.96696263332126E-2</v>
      </c>
      <c r="U1372" s="7">
        <v>-4.3340094007628172E-2</v>
      </c>
      <c r="V1372" s="7">
        <v>-4.0050393579583177E-2</v>
      </c>
      <c r="W1372" s="7">
        <v>-5.7400348573084181E-2</v>
      </c>
      <c r="X1372" s="7">
        <v>-4.8067299452472345E-2</v>
      </c>
      <c r="Y1372" s="102">
        <v>-5.4083793526024659E-2</v>
      </c>
      <c r="Z1372" s="574">
        <v>-0.03</v>
      </c>
      <c r="AA1372" s="221">
        <v>-0.03</v>
      </c>
      <c r="AB1372" s="221">
        <v>-0.03</v>
      </c>
      <c r="AC1372" s="221">
        <v>-0.03</v>
      </c>
      <c r="AD1372" s="574">
        <v>-0.05</v>
      </c>
      <c r="AE1372" s="574">
        <v>-0.1</v>
      </c>
      <c r="AF1372" s="574">
        <v>-0.05</v>
      </c>
      <c r="AG1372" s="221">
        <v>-0.05</v>
      </c>
      <c r="AH1372" s="221">
        <v>-0.05</v>
      </c>
      <c r="AI1372" s="221">
        <v>-0.05</v>
      </c>
      <c r="AJ1372" s="221">
        <v>-0.05</v>
      </c>
      <c r="AK1372" s="221">
        <v>-0.05</v>
      </c>
      <c r="AL1372" s="221">
        <v>-0.05</v>
      </c>
      <c r="AM1372" s="221">
        <v>-0.05</v>
      </c>
      <c r="AN1372" s="221">
        <v>-0.05</v>
      </c>
      <c r="AO1372" s="222">
        <v>-0.05</v>
      </c>
      <c r="AP1372" s="222">
        <v>-0.05</v>
      </c>
      <c r="AQ1372" s="222">
        <v>-0.05</v>
      </c>
      <c r="AR1372" s="222">
        <v>-0.05</v>
      </c>
      <c r="AS1372" s="222">
        <v>-0.05</v>
      </c>
      <c r="AT1372" s="2"/>
      <c r="AU1372" s="2"/>
    </row>
    <row r="1373" spans="1:47" hidden="1" outlineLevel="1">
      <c r="A1373" s="298"/>
      <c r="B1373" s="55"/>
      <c r="C1373" s="18"/>
      <c r="D1373" s="18"/>
      <c r="E1373" s="18"/>
      <c r="F1373" s="18"/>
      <c r="G1373" s="18"/>
      <c r="H1373" s="18"/>
      <c r="I1373" s="18"/>
      <c r="J1373" s="18"/>
      <c r="K1373" s="7"/>
      <c r="L1373" s="7"/>
      <c r="M1373" s="7"/>
      <c r="N1373" s="7"/>
      <c r="O1373" s="7"/>
      <c r="P1373" s="7"/>
      <c r="Q1373" s="7"/>
      <c r="R1373" s="7"/>
      <c r="S1373" s="7"/>
      <c r="T1373" s="7"/>
      <c r="U1373" s="7"/>
      <c r="V1373" s="7"/>
      <c r="W1373" s="7"/>
      <c r="X1373" s="7"/>
      <c r="Y1373" s="7"/>
      <c r="Z1373" s="7"/>
      <c r="AA1373" s="7"/>
      <c r="AB1373" s="7"/>
      <c r="AC1373" s="7"/>
      <c r="AD1373" s="7"/>
      <c r="AE1373" s="7"/>
      <c r="AF1373" s="7"/>
      <c r="AG1373" s="7"/>
      <c r="AH1373" s="7"/>
      <c r="AI1373" s="7"/>
      <c r="AJ1373" s="7"/>
      <c r="AK1373" s="7"/>
      <c r="AL1373" s="7"/>
      <c r="AM1373" s="7"/>
      <c r="AN1373" s="7"/>
      <c r="AO1373" s="7"/>
      <c r="AP1373" s="7"/>
      <c r="AQ1373" s="7"/>
      <c r="AR1373" s="7"/>
      <c r="AS1373" s="7"/>
      <c r="AT1373" s="2"/>
      <c r="AU1373" s="2"/>
    </row>
    <row r="1374" spans="1:47" hidden="1" outlineLevel="1">
      <c r="A1374" s="298"/>
      <c r="B1374" s="2"/>
      <c r="C1374" s="18"/>
      <c r="D1374" s="18"/>
      <c r="E1374" s="18"/>
      <c r="F1374" s="18"/>
      <c r="G1374" s="18"/>
      <c r="H1374" s="18"/>
      <c r="I1374" s="18"/>
      <c r="J1374" s="18"/>
      <c r="K1374" s="7"/>
      <c r="L1374" s="7"/>
      <c r="M1374" s="7"/>
      <c r="N1374" s="7"/>
      <c r="O1374" s="7"/>
      <c r="P1374" s="7"/>
      <c r="Q1374" s="7"/>
      <c r="R1374" s="7"/>
      <c r="S1374" s="7"/>
      <c r="T1374" s="7"/>
      <c r="U1374" s="7"/>
      <c r="V1374" s="7"/>
      <c r="W1374" s="7"/>
      <c r="X1374" s="7"/>
      <c r="Y1374" s="7"/>
      <c r="Z1374" s="7"/>
      <c r="AA1374" s="7"/>
      <c r="AB1374" s="7"/>
      <c r="AC1374" s="7"/>
      <c r="AD1374" s="7"/>
      <c r="AE1374" s="7"/>
      <c r="AF1374" s="7"/>
      <c r="AG1374" s="7"/>
      <c r="AH1374" s="7"/>
      <c r="AI1374" s="7"/>
      <c r="AJ1374" s="7"/>
      <c r="AK1374" s="7"/>
      <c r="AL1374" s="7"/>
      <c r="AM1374" s="7"/>
      <c r="AN1374" s="7"/>
      <c r="AO1374" s="7"/>
      <c r="AP1374" s="7"/>
      <c r="AQ1374" s="7"/>
      <c r="AR1374" s="7"/>
      <c r="AS1374" s="7"/>
      <c r="AT1374" s="2"/>
      <c r="AU1374" s="2"/>
    </row>
    <row r="1375" spans="1:47" hidden="1" outlineLevel="1">
      <c r="A1375" s="298"/>
      <c r="B1375" s="6" t="s">
        <v>731</v>
      </c>
      <c r="C1375" s="18"/>
      <c r="D1375" s="18"/>
      <c r="E1375" s="18"/>
      <c r="F1375" s="18"/>
      <c r="G1375" s="18"/>
      <c r="H1375" s="18"/>
      <c r="I1375" s="18"/>
      <c r="J1375" s="18"/>
      <c r="K1375" s="7"/>
      <c r="L1375" s="7"/>
      <c r="M1375" s="7"/>
      <c r="N1375" s="7"/>
      <c r="O1375" s="7"/>
      <c r="P1375" s="7"/>
      <c r="Q1375" s="7"/>
      <c r="R1375" s="7"/>
      <c r="S1375" s="7"/>
      <c r="T1375" s="7"/>
      <c r="U1375" s="7"/>
      <c r="V1375" s="7"/>
      <c r="W1375" s="7"/>
      <c r="X1375" s="7"/>
      <c r="Y1375" s="7"/>
      <c r="Z1375" s="7"/>
      <c r="AA1375" s="7"/>
      <c r="AB1375" s="7"/>
      <c r="AC1375" s="7"/>
      <c r="AD1375" s="7"/>
      <c r="AE1375" s="7"/>
      <c r="AF1375" s="7"/>
      <c r="AG1375" s="7"/>
      <c r="AH1375" s="7"/>
      <c r="AI1375" s="7"/>
      <c r="AJ1375" s="7"/>
      <c r="AK1375" s="7"/>
      <c r="AL1375" s="7"/>
      <c r="AM1375" s="7"/>
      <c r="AN1375" s="7"/>
      <c r="AO1375" s="7"/>
      <c r="AP1375" s="7"/>
      <c r="AQ1375" s="7"/>
      <c r="AR1375" s="7"/>
      <c r="AS1375" s="7"/>
      <c r="AT1375" s="2"/>
      <c r="AU1375" s="2"/>
    </row>
    <row r="1376" spans="1:47" hidden="1" outlineLevel="1">
      <c r="A1376" s="298"/>
      <c r="B1376" s="55" t="s">
        <v>887</v>
      </c>
      <c r="C1376" s="18" t="s">
        <v>732</v>
      </c>
      <c r="D1376" s="18"/>
      <c r="E1376" s="18"/>
      <c r="F1376" s="18"/>
      <c r="G1376" s="18"/>
      <c r="H1376" s="18"/>
      <c r="I1376" s="18"/>
      <c r="J1376" s="18"/>
      <c r="K1376" s="7">
        <v>456</v>
      </c>
      <c r="L1376" s="7">
        <v>506</v>
      </c>
      <c r="M1376" s="7">
        <v>452</v>
      </c>
      <c r="N1376" s="7">
        <v>390</v>
      </c>
      <c r="O1376" s="7">
        <v>401</v>
      </c>
      <c r="P1376" s="7">
        <v>421</v>
      </c>
      <c r="Q1376" s="7">
        <v>417</v>
      </c>
      <c r="R1376" s="7">
        <v>419</v>
      </c>
      <c r="S1376" s="7">
        <v>416</v>
      </c>
      <c r="T1376" s="31">
        <v>426.20656905421453</v>
      </c>
      <c r="U1376" s="31">
        <v>427.85278986941034</v>
      </c>
      <c r="V1376" s="31">
        <v>431.96834190740003</v>
      </c>
      <c r="W1376" s="31">
        <v>366.89323308270673</v>
      </c>
      <c r="X1376" s="31">
        <v>433.03433240997219</v>
      </c>
      <c r="Y1376" s="31">
        <v>411.10685096952909</v>
      </c>
      <c r="Z1376" s="31">
        <v>379.12896189252075</v>
      </c>
      <c r="AA1376" s="31">
        <v>345.18420726555252</v>
      </c>
      <c r="AB1376" s="31">
        <v>316.23094290856977</v>
      </c>
      <c r="AC1376" s="31">
        <v>291.31194460737436</v>
      </c>
      <c r="AD1376" s="31">
        <v>261.48250244435633</v>
      </c>
      <c r="AE1376" s="31">
        <v>223.56753958992468</v>
      </c>
      <c r="AF1376" s="31">
        <v>191.15024634938558</v>
      </c>
      <c r="AG1376" s="31">
        <v>163.43346062872467</v>
      </c>
      <c r="AH1376" s="31">
        <v>139.7356088375596</v>
      </c>
      <c r="AI1376" s="31">
        <v>121.31200625697674</v>
      </c>
      <c r="AJ1376" s="31">
        <v>106.99718951865349</v>
      </c>
      <c r="AK1376" s="31">
        <v>94.371521155452371</v>
      </c>
      <c r="AL1376" s="31">
        <v>83.235681659108991</v>
      </c>
      <c r="AM1376" s="31">
        <v>73.413871223334127</v>
      </c>
      <c r="AN1376" s="31">
        <v>64.751034418980694</v>
      </c>
      <c r="AO1376" s="31">
        <v>57.110412357540973</v>
      </c>
      <c r="AP1376" s="31">
        <v>50.371383699351135</v>
      </c>
      <c r="AQ1376" s="31">
        <v>50.371383699351135</v>
      </c>
      <c r="AR1376" s="31">
        <v>50.371383699351135</v>
      </c>
      <c r="AS1376" s="31">
        <v>50.371383699351135</v>
      </c>
      <c r="AT1376" s="2"/>
      <c r="AU1376" s="2"/>
    </row>
    <row r="1377" spans="1:47" hidden="1" outlineLevel="1">
      <c r="A1377" s="308"/>
      <c r="B1377" s="322" t="s">
        <v>1099</v>
      </c>
      <c r="C1377" s="310" t="s">
        <v>733</v>
      </c>
      <c r="D1377" s="310"/>
      <c r="E1377" s="310"/>
      <c r="F1377" s="310"/>
      <c r="G1377" s="310"/>
      <c r="H1377" s="310"/>
      <c r="I1377" s="310"/>
      <c r="J1377" s="310"/>
      <c r="K1377" s="311"/>
      <c r="L1377" s="311">
        <v>0.10964912280701755</v>
      </c>
      <c r="M1377" s="311">
        <v>-0.10671936758893286</v>
      </c>
      <c r="N1377" s="311">
        <v>-0.13716814159292035</v>
      </c>
      <c r="O1377" s="311">
        <v>2.8205128205128105E-2</v>
      </c>
      <c r="P1377" s="311">
        <v>4.9875311720698257E-2</v>
      </c>
      <c r="Q1377" s="311">
        <v>-9.5011876484560887E-3</v>
      </c>
      <c r="R1377" s="311">
        <v>4.7961630695443347E-3</v>
      </c>
      <c r="S1377" s="311">
        <v>-7.1599045346062429E-3</v>
      </c>
      <c r="T1377" s="311">
        <v>2.4535021764938714E-2</v>
      </c>
      <c r="U1377" s="311">
        <v>3.8624951718808642E-3</v>
      </c>
      <c r="V1377" s="311">
        <v>9.6190842631780349E-3</v>
      </c>
      <c r="W1377" s="311">
        <v>-0.15064786585365852</v>
      </c>
      <c r="X1377" s="311">
        <v>0.18027342388284295</v>
      </c>
      <c r="Y1377" s="311">
        <v>-5.0636819760709884E-2</v>
      </c>
      <c r="Z1377" s="311">
        <v>-7.7784860557769009E-2</v>
      </c>
      <c r="AA1377" s="311">
        <v>-8.9533530906011904E-2</v>
      </c>
      <c r="AB1377" s="311">
        <v>-8.3877720207253925E-2</v>
      </c>
      <c r="AC1377" s="311">
        <v>-7.8800000000000425E-2</v>
      </c>
      <c r="AD1377" s="311">
        <v>-0.10239690721649497</v>
      </c>
      <c r="AE1377" s="311">
        <v>-0.14499999999999991</v>
      </c>
      <c r="AF1377" s="311">
        <v>-0.14500000000000013</v>
      </c>
      <c r="AG1377" s="311">
        <v>-0.14500000000000002</v>
      </c>
      <c r="AH1377" s="311">
        <v>-0.14500000000000002</v>
      </c>
      <c r="AI1377" s="311">
        <v>-0.13184615384615384</v>
      </c>
      <c r="AJ1377" s="311">
        <v>-0.11799999999999999</v>
      </c>
      <c r="AK1377" s="311">
        <v>-0.11799999999999999</v>
      </c>
      <c r="AL1377" s="311">
        <v>-0.11799999999999999</v>
      </c>
      <c r="AM1377" s="311">
        <v>-0.11799999999999999</v>
      </c>
      <c r="AN1377" s="311">
        <v>-0.1180000000000001</v>
      </c>
      <c r="AO1377" s="311">
        <v>-0.11799999999999999</v>
      </c>
      <c r="AP1377" s="311">
        <v>-0.1180000000000001</v>
      </c>
      <c r="AQ1377" s="311">
        <v>-0.1180000000000001</v>
      </c>
      <c r="AR1377" s="311">
        <v>-0.1180000000000001</v>
      </c>
      <c r="AS1377" s="311">
        <v>-0.1180000000000001</v>
      </c>
      <c r="AT1377" s="312"/>
      <c r="AU1377" s="514"/>
    </row>
    <row r="1378" spans="1:47" hidden="1" outlineLevel="1">
      <c r="A1378" s="298"/>
      <c r="B1378" s="55" t="s">
        <v>886</v>
      </c>
      <c r="C1378" s="18" t="s">
        <v>732</v>
      </c>
      <c r="D1378" s="18"/>
      <c r="E1378" s="18"/>
      <c r="F1378" s="18"/>
      <c r="G1378" s="18"/>
      <c r="H1378" s="18"/>
      <c r="I1378" s="18"/>
      <c r="J1378" s="18"/>
      <c r="K1378" s="7">
        <v>730</v>
      </c>
      <c r="L1378" s="7">
        <v>750</v>
      </c>
      <c r="M1378" s="7">
        <v>585</v>
      </c>
      <c r="N1378" s="7">
        <v>561</v>
      </c>
      <c r="O1378" s="7">
        <v>526</v>
      </c>
      <c r="P1378" s="7">
        <v>731</v>
      </c>
      <c r="Q1378" s="7">
        <v>649</v>
      </c>
      <c r="R1378" s="7">
        <v>595</v>
      </c>
      <c r="S1378" s="7">
        <v>562</v>
      </c>
      <c r="T1378" s="31">
        <v>516</v>
      </c>
      <c r="U1378" s="31">
        <v>477</v>
      </c>
      <c r="V1378" s="31">
        <v>444.99999999999994</v>
      </c>
      <c r="W1378" s="31">
        <v>509.74813262195119</v>
      </c>
      <c r="X1378" s="31">
        <v>387.15849637957314</v>
      </c>
      <c r="Y1378" s="31">
        <v>371.30457261814024</v>
      </c>
      <c r="Z1378" s="31">
        <v>345.91680737801067</v>
      </c>
      <c r="AA1378" s="31">
        <v>318.15938537916873</v>
      </c>
      <c r="AB1378" s="31">
        <v>294.44711475133948</v>
      </c>
      <c r="AC1378" s="31">
        <v>274.01248498759651</v>
      </c>
      <c r="AD1378" s="31">
        <v>256.31043099610395</v>
      </c>
      <c r="AE1378" s="31">
        <v>241.0599603518358</v>
      </c>
      <c r="AF1378" s="31">
        <v>226.7168927109015</v>
      </c>
      <c r="AG1378" s="31">
        <v>213.22723759460288</v>
      </c>
      <c r="AH1378" s="31">
        <v>200.540216957724</v>
      </c>
      <c r="AI1378" s="31">
        <v>191.50973672641231</v>
      </c>
      <c r="AJ1378" s="31">
        <v>185.80274657196526</v>
      </c>
      <c r="AK1378" s="31">
        <v>180.26582472412068</v>
      </c>
      <c r="AL1378" s="31">
        <v>174.89390314734189</v>
      </c>
      <c r="AM1378" s="31">
        <v>169.6820648335511</v>
      </c>
      <c r="AN1378" s="31">
        <v>164.62553930151125</v>
      </c>
      <c r="AO1378" s="31">
        <v>159.71969823032623</v>
      </c>
      <c r="AP1378" s="31">
        <v>154.96005122306249</v>
      </c>
      <c r="AQ1378" s="31">
        <v>154.96005122306249</v>
      </c>
      <c r="AR1378" s="31">
        <v>154.96005122306249</v>
      </c>
      <c r="AS1378" s="31">
        <v>154.96005122306249</v>
      </c>
      <c r="AT1378" s="2"/>
      <c r="AU1378" s="2"/>
    </row>
    <row r="1379" spans="1:47" hidden="1" outlineLevel="1">
      <c r="A1379" s="308"/>
      <c r="B1379" s="322" t="s">
        <v>1099</v>
      </c>
      <c r="C1379" s="310" t="s">
        <v>733</v>
      </c>
      <c r="D1379" s="310"/>
      <c r="E1379" s="310"/>
      <c r="F1379" s="310"/>
      <c r="G1379" s="310"/>
      <c r="H1379" s="310"/>
      <c r="I1379" s="310"/>
      <c r="J1379" s="310"/>
      <c r="K1379" s="311"/>
      <c r="L1379" s="311">
        <v>2.7397260273972712E-2</v>
      </c>
      <c r="M1379" s="311">
        <v>-0.21999999999999997</v>
      </c>
      <c r="N1379" s="311">
        <v>-4.1025641025640991E-2</v>
      </c>
      <c r="O1379" s="311">
        <v>-6.2388591800356497E-2</v>
      </c>
      <c r="P1379" s="311">
        <v>0.38973384030418257</v>
      </c>
      <c r="Q1379" s="311">
        <v>-0.11217510259917918</v>
      </c>
      <c r="R1379" s="311">
        <v>-8.3204930662557741E-2</v>
      </c>
      <c r="S1379" s="311">
        <v>-5.5462184873949605E-2</v>
      </c>
      <c r="T1379" s="311">
        <v>-8.185053380782914E-2</v>
      </c>
      <c r="U1379" s="311">
        <v>-7.5581395348837233E-2</v>
      </c>
      <c r="V1379" s="311">
        <v>-6.7085953878406879E-2</v>
      </c>
      <c r="W1379" s="311">
        <v>0.14550142162236246</v>
      </c>
      <c r="X1379" s="311">
        <v>-0.24049060388279098</v>
      </c>
      <c r="Y1379" s="311">
        <v>-4.094944037051329E-2</v>
      </c>
      <c r="Z1379" s="311">
        <v>-6.8374501992031878E-2</v>
      </c>
      <c r="AA1379" s="311">
        <v>-8.0243056731583495E-2</v>
      </c>
      <c r="AB1379" s="311">
        <v>-7.4529533678756588E-2</v>
      </c>
      <c r="AC1379" s="311">
        <v>-6.9400000000000017E-2</v>
      </c>
      <c r="AD1379" s="311">
        <v>-6.4603092783505289E-2</v>
      </c>
      <c r="AE1379" s="311">
        <v>-5.9499999999999886E-2</v>
      </c>
      <c r="AF1379" s="311">
        <v>-5.9500000000000219E-2</v>
      </c>
      <c r="AG1379" s="311">
        <v>-5.9499999999999886E-2</v>
      </c>
      <c r="AH1379" s="311">
        <v>-5.9500000000000108E-2</v>
      </c>
      <c r="AI1379" s="311">
        <v>-4.5030769230769319E-2</v>
      </c>
      <c r="AJ1379" s="311">
        <v>-2.9799999999999827E-2</v>
      </c>
      <c r="AK1379" s="311">
        <v>-2.9800000000000049E-2</v>
      </c>
      <c r="AL1379" s="311">
        <v>-2.9799999999999938E-2</v>
      </c>
      <c r="AM1379" s="311">
        <v>-2.9800000000000049E-2</v>
      </c>
      <c r="AN1379" s="311">
        <v>-2.980000000000016E-2</v>
      </c>
      <c r="AO1379" s="311">
        <v>-2.9799999999999938E-2</v>
      </c>
      <c r="AP1379" s="311">
        <v>-2.9800000000000049E-2</v>
      </c>
      <c r="AQ1379" s="311">
        <v>-2.9800000000000049E-2</v>
      </c>
      <c r="AR1379" s="311">
        <v>-2.9800000000000049E-2</v>
      </c>
      <c r="AS1379" s="311">
        <v>-2.9800000000000049E-2</v>
      </c>
      <c r="AT1379" s="312"/>
      <c r="AU1379" s="514"/>
    </row>
    <row r="1380" spans="1:47" hidden="1" outlineLevel="1">
      <c r="A1380" s="298"/>
      <c r="B1380" s="215" t="s">
        <v>888</v>
      </c>
      <c r="C1380" s="169" t="s">
        <v>732</v>
      </c>
      <c r="D1380" s="577"/>
      <c r="E1380" s="577"/>
      <c r="F1380" s="577"/>
      <c r="G1380" s="577"/>
      <c r="H1380" s="577"/>
      <c r="I1380" s="577"/>
      <c r="J1380" s="577"/>
      <c r="K1380" s="555">
        <v>1186</v>
      </c>
      <c r="L1380" s="555">
        <v>1256</v>
      </c>
      <c r="M1380" s="555">
        <v>1037</v>
      </c>
      <c r="N1380" s="555">
        <v>951</v>
      </c>
      <c r="O1380" s="555">
        <v>927</v>
      </c>
      <c r="P1380" s="555">
        <v>1152</v>
      </c>
      <c r="Q1380" s="555">
        <v>1066</v>
      </c>
      <c r="R1380" s="555">
        <v>1014</v>
      </c>
      <c r="S1380" s="555">
        <v>978</v>
      </c>
      <c r="T1380" s="554">
        <v>942.20656905421447</v>
      </c>
      <c r="U1380" s="554">
        <v>904.85278986941034</v>
      </c>
      <c r="V1380" s="554">
        <v>876.96834190739992</v>
      </c>
      <c r="W1380" s="554">
        <v>826</v>
      </c>
      <c r="X1380" s="554">
        <v>777</v>
      </c>
      <c r="Y1380" s="554">
        <v>712</v>
      </c>
      <c r="Z1380" s="554">
        <v>662</v>
      </c>
      <c r="AA1380" s="554">
        <v>603</v>
      </c>
      <c r="AB1380" s="554">
        <v>540</v>
      </c>
      <c r="AC1380" s="554">
        <v>471</v>
      </c>
      <c r="AD1380" s="554">
        <v>387</v>
      </c>
      <c r="AE1380" s="214">
        <v>371.63504502992191</v>
      </c>
      <c r="AF1380" s="214">
        <v>335.40062813950448</v>
      </c>
      <c r="AG1380" s="214">
        <v>302.69906689590277</v>
      </c>
      <c r="AH1380" s="214">
        <v>273.18590787355225</v>
      </c>
      <c r="AI1380" s="214">
        <v>250.34336311520212</v>
      </c>
      <c r="AJ1380" s="214">
        <v>233.06967106025317</v>
      </c>
      <c r="AK1380" s="214">
        <v>216.98786375709568</v>
      </c>
      <c r="AL1380" s="214">
        <v>202.01570115785603</v>
      </c>
      <c r="AM1380" s="214">
        <v>188.07661777796397</v>
      </c>
      <c r="AN1380" s="214">
        <v>175.09933115128445</v>
      </c>
      <c r="AO1380" s="214">
        <v>163.01747730184579</v>
      </c>
      <c r="AP1380" s="214">
        <v>151.76927136801845</v>
      </c>
      <c r="AQ1380" s="214">
        <v>151.76927136801845</v>
      </c>
      <c r="AR1380" s="214">
        <v>151.76927136801845</v>
      </c>
      <c r="AS1380" s="214">
        <v>151.76927136801845</v>
      </c>
      <c r="AT1380" s="2"/>
      <c r="AU1380" s="2"/>
    </row>
    <row r="1381" spans="1:47" hidden="1" outlineLevel="1">
      <c r="A1381" s="308"/>
      <c r="B1381" s="322" t="s">
        <v>1099</v>
      </c>
      <c r="C1381" s="310" t="s">
        <v>733</v>
      </c>
      <c r="D1381" s="310"/>
      <c r="E1381" s="310"/>
      <c r="F1381" s="310"/>
      <c r="G1381" s="310"/>
      <c r="H1381" s="310"/>
      <c r="I1381" s="310"/>
      <c r="J1381" s="310"/>
      <c r="K1381" s="311"/>
      <c r="L1381" s="311">
        <v>5.9021922428330598E-2</v>
      </c>
      <c r="M1381" s="311">
        <v>-0.17436305732484081</v>
      </c>
      <c r="N1381" s="311">
        <v>-8.2931533269045343E-2</v>
      </c>
      <c r="O1381" s="311">
        <v>-2.5236593059936863E-2</v>
      </c>
      <c r="P1381" s="311">
        <v>0.24271844660194164</v>
      </c>
      <c r="Q1381" s="311">
        <v>-7.465277777777779E-2</v>
      </c>
      <c r="R1381" s="311">
        <v>-4.8780487804878092E-2</v>
      </c>
      <c r="S1381" s="311">
        <v>-3.5502958579881616E-2</v>
      </c>
      <c r="T1381" s="311">
        <v>-3.6598600149064908E-2</v>
      </c>
      <c r="U1381" s="311">
        <v>-3.9644999739600451E-2</v>
      </c>
      <c r="V1381" s="311">
        <v>-3.0816557427020497E-2</v>
      </c>
      <c r="W1381" s="311">
        <v>-5.8118793429354776E-2</v>
      </c>
      <c r="X1381" s="311">
        <v>-5.9322033898305038E-2</v>
      </c>
      <c r="Y1381" s="311">
        <v>-8.3655083655083673E-2</v>
      </c>
      <c r="Z1381" s="311">
        <v>-7.02247191011236E-2</v>
      </c>
      <c r="AA1381" s="311">
        <v>-8.9123867069486384E-2</v>
      </c>
      <c r="AB1381" s="311">
        <v>-0.10447761194029848</v>
      </c>
      <c r="AC1381" s="311">
        <v>-0.12777777777777777</v>
      </c>
      <c r="AD1381" s="311">
        <v>-0.17834394904458595</v>
      </c>
      <c r="AE1381" s="311">
        <v>-3.9702726020873658E-2</v>
      </c>
      <c r="AF1381" s="311">
        <v>-9.7500000000000142E-2</v>
      </c>
      <c r="AG1381" s="311">
        <v>-9.7500000000000031E-2</v>
      </c>
      <c r="AH1381" s="311">
        <v>-9.7500000000000031E-2</v>
      </c>
      <c r="AI1381" s="311">
        <v>-8.3615384615384758E-2</v>
      </c>
      <c r="AJ1381" s="311">
        <v>-6.9000000000000061E-2</v>
      </c>
      <c r="AK1381" s="311">
        <v>-6.9000000000000061E-2</v>
      </c>
      <c r="AL1381" s="311">
        <v>-6.9000000000000283E-2</v>
      </c>
      <c r="AM1381" s="311">
        <v>-6.899999999999995E-2</v>
      </c>
      <c r="AN1381" s="311">
        <v>-6.9000000000000061E-2</v>
      </c>
      <c r="AO1381" s="311">
        <v>-6.9000000000000172E-2</v>
      </c>
      <c r="AP1381" s="311">
        <v>-6.8999999999999839E-2</v>
      </c>
      <c r="AQ1381" s="311">
        <v>-6.8999999999999839E-2</v>
      </c>
      <c r="AR1381" s="311">
        <v>-6.8999999999999839E-2</v>
      </c>
      <c r="AS1381" s="311">
        <v>-6.8999999999999839E-2</v>
      </c>
      <c r="AT1381" s="312"/>
      <c r="AU1381" s="514"/>
    </row>
    <row r="1382" spans="1:47" ht="14.4" hidden="1" outlineLevel="1" thickBot="1">
      <c r="A1382" s="298"/>
      <c r="B1382" s="76"/>
      <c r="C1382" s="78"/>
      <c r="D1382" s="78"/>
      <c r="E1382" s="78"/>
      <c r="F1382" s="78"/>
      <c r="G1382" s="78"/>
      <c r="H1382" s="78"/>
      <c r="I1382" s="78"/>
      <c r="J1382" s="78"/>
      <c r="K1382" s="108"/>
      <c r="L1382" s="108"/>
      <c r="M1382" s="108"/>
      <c r="N1382" s="108"/>
      <c r="O1382" s="108"/>
      <c r="P1382" s="108"/>
      <c r="Q1382" s="108"/>
      <c r="R1382" s="108"/>
      <c r="S1382" s="108"/>
      <c r="T1382" s="108"/>
      <c r="U1382" s="108"/>
      <c r="V1382" s="108"/>
      <c r="W1382" s="108"/>
      <c r="X1382" s="108"/>
      <c r="Y1382" s="108"/>
      <c r="Z1382" s="108"/>
      <c r="AA1382" s="108"/>
      <c r="AB1382" s="108"/>
      <c r="AC1382" s="108"/>
      <c r="AD1382" s="108"/>
      <c r="AE1382" s="108"/>
      <c r="AF1382" s="108"/>
      <c r="AG1382" s="108"/>
      <c r="AH1382" s="108"/>
      <c r="AI1382" s="108"/>
      <c r="AJ1382" s="108"/>
      <c r="AK1382" s="108"/>
      <c r="AL1382" s="108"/>
      <c r="AM1382" s="108"/>
      <c r="AN1382" s="108"/>
      <c r="AO1382" s="108"/>
      <c r="AP1382" s="108"/>
      <c r="AQ1382" s="108"/>
      <c r="AR1382" s="108"/>
      <c r="AS1382" s="108"/>
      <c r="AT1382" s="2"/>
      <c r="AU1382" s="2"/>
    </row>
    <row r="1383" spans="1:47" hidden="1" outlineLevel="1">
      <c r="A1383" s="298"/>
      <c r="B1383" s="2"/>
      <c r="C1383" s="18"/>
      <c r="D1383" s="18"/>
      <c r="E1383" s="18"/>
      <c r="F1383" s="18"/>
      <c r="G1383" s="18"/>
      <c r="H1383" s="18"/>
      <c r="I1383" s="18"/>
      <c r="J1383" s="18"/>
      <c r="K1383" s="7"/>
      <c r="L1383" s="7"/>
      <c r="M1383" s="7"/>
      <c r="N1383" s="7"/>
      <c r="O1383" s="7"/>
      <c r="P1383" s="7"/>
      <c r="Q1383" s="7"/>
      <c r="R1383" s="7"/>
      <c r="S1383" s="7"/>
      <c r="T1383" s="7"/>
      <c r="U1383" s="7"/>
      <c r="V1383" s="7"/>
      <c r="W1383" s="7"/>
      <c r="X1383" s="7"/>
      <c r="Y1383" s="7"/>
      <c r="Z1383" s="7"/>
      <c r="AA1383" s="7"/>
      <c r="AB1383" s="7"/>
      <c r="AC1383" s="7"/>
      <c r="AD1383" s="7"/>
      <c r="AE1383" s="7"/>
      <c r="AF1383" s="7"/>
      <c r="AG1383" s="7"/>
      <c r="AH1383" s="7"/>
      <c r="AI1383" s="7"/>
      <c r="AJ1383" s="7"/>
      <c r="AK1383" s="7"/>
      <c r="AL1383" s="7"/>
      <c r="AM1383" s="7"/>
      <c r="AN1383" s="7"/>
      <c r="AO1383" s="7"/>
      <c r="AP1383" s="7"/>
      <c r="AQ1383" s="7"/>
      <c r="AR1383" s="7"/>
      <c r="AS1383" s="7"/>
      <c r="AT1383" s="2"/>
      <c r="AU1383" s="2"/>
    </row>
    <row r="1384" spans="1:47" ht="15.6" hidden="1" outlineLevel="1">
      <c r="A1384" s="298"/>
      <c r="B1384" s="237" t="s">
        <v>1092</v>
      </c>
      <c r="C1384" s="238"/>
      <c r="D1384" s="239"/>
      <c r="E1384" s="239"/>
      <c r="F1384" s="239"/>
      <c r="G1384" s="239"/>
      <c r="H1384" s="239"/>
      <c r="I1384" s="239"/>
      <c r="J1384" s="239"/>
      <c r="K1384" s="239"/>
      <c r="L1384" s="239"/>
      <c r="M1384" s="239"/>
      <c r="N1384" s="239"/>
      <c r="O1384" s="239"/>
      <c r="P1384" s="239"/>
      <c r="Q1384" s="239"/>
      <c r="R1384" s="239"/>
      <c r="S1384" s="239"/>
      <c r="T1384" s="239"/>
      <c r="U1384" s="239"/>
      <c r="V1384" s="239"/>
      <c r="W1384" s="239"/>
      <c r="X1384" s="239"/>
      <c r="Y1384" s="239"/>
      <c r="Z1384" s="239"/>
      <c r="AA1384" s="239"/>
      <c r="AB1384" s="239"/>
      <c r="AC1384" s="239"/>
      <c r="AD1384" s="239"/>
      <c r="AE1384" s="239"/>
      <c r="AF1384" s="239"/>
      <c r="AG1384" s="239"/>
      <c r="AH1384" s="239"/>
      <c r="AI1384" s="239"/>
      <c r="AJ1384" s="239"/>
      <c r="AK1384" s="239"/>
      <c r="AL1384" s="239"/>
      <c r="AM1384" s="239"/>
      <c r="AN1384" s="239"/>
      <c r="AO1384" s="270"/>
      <c r="AP1384" s="240"/>
      <c r="AQ1384" s="240"/>
      <c r="AR1384" s="240"/>
      <c r="AS1384" s="240"/>
      <c r="AT1384" s="2"/>
      <c r="AU1384" s="2"/>
    </row>
    <row r="1385" spans="1:47" hidden="1" outlineLevel="1">
      <c r="A1385" s="298"/>
      <c r="B1385" s="2"/>
      <c r="C1385" s="18"/>
      <c r="D1385" s="18"/>
      <c r="E1385" s="18"/>
      <c r="F1385" s="18"/>
      <c r="G1385" s="18"/>
      <c r="H1385" s="18"/>
      <c r="I1385" s="18"/>
      <c r="J1385" s="18"/>
      <c r="K1385" s="7"/>
      <c r="L1385" s="7"/>
      <c r="M1385" s="7"/>
      <c r="N1385" s="7"/>
      <c r="O1385" s="7"/>
      <c r="P1385" s="7"/>
      <c r="Q1385" s="7"/>
      <c r="R1385" s="7"/>
      <c r="S1385" s="7"/>
      <c r="T1385" s="7"/>
      <c r="U1385" s="7"/>
      <c r="V1385" s="7"/>
      <c r="W1385" s="7"/>
      <c r="X1385" s="7"/>
      <c r="Y1385" s="7"/>
      <c r="Z1385" s="7"/>
      <c r="AA1385" s="7"/>
      <c r="AB1385" s="7"/>
      <c r="AC1385" s="7"/>
      <c r="AD1385" s="7"/>
      <c r="AE1385" s="7"/>
      <c r="AF1385" s="7"/>
      <c r="AG1385" s="7"/>
      <c r="AH1385" s="7"/>
      <c r="AI1385" s="7"/>
      <c r="AJ1385" s="7"/>
      <c r="AK1385" s="7"/>
      <c r="AL1385" s="7"/>
      <c r="AM1385" s="7"/>
      <c r="AN1385" s="7"/>
      <c r="AO1385" s="7"/>
      <c r="AP1385" s="7"/>
      <c r="AQ1385" s="7"/>
      <c r="AR1385" s="7"/>
      <c r="AS1385" s="7"/>
      <c r="AT1385" s="2"/>
      <c r="AU1385" s="2"/>
    </row>
    <row r="1386" spans="1:47" hidden="1" outlineLevel="1">
      <c r="A1386" s="298"/>
      <c r="B1386" s="215" t="s">
        <v>445</v>
      </c>
      <c r="C1386" s="169" t="s">
        <v>732</v>
      </c>
      <c r="D1386" s="169"/>
      <c r="E1386" s="169"/>
      <c r="F1386" s="169"/>
      <c r="G1386" s="169"/>
      <c r="H1386" s="169"/>
      <c r="I1386" s="169"/>
      <c r="J1386" s="169"/>
      <c r="K1386" s="27"/>
      <c r="L1386" s="27"/>
      <c r="M1386" s="27"/>
      <c r="N1386" s="555">
        <v>120</v>
      </c>
      <c r="O1386" s="555">
        <v>163</v>
      </c>
      <c r="P1386" s="555">
        <v>217</v>
      </c>
      <c r="Q1386" s="555">
        <v>320</v>
      </c>
      <c r="R1386" s="555">
        <v>416</v>
      </c>
      <c r="S1386" s="555">
        <v>535</v>
      </c>
      <c r="T1386" s="555">
        <v>676</v>
      </c>
      <c r="U1386" s="555">
        <v>835</v>
      </c>
      <c r="V1386" s="555">
        <v>970</v>
      </c>
      <c r="W1386" s="554">
        <v>1056</v>
      </c>
      <c r="X1386" s="554">
        <v>1118</v>
      </c>
      <c r="Y1386" s="554">
        <v>1166</v>
      </c>
      <c r="Z1386" s="554">
        <v>1180</v>
      </c>
      <c r="AA1386" s="554">
        <v>1160</v>
      </c>
      <c r="AB1386" s="554">
        <v>1088</v>
      </c>
      <c r="AC1386" s="554">
        <v>1021</v>
      </c>
      <c r="AD1386" s="554">
        <v>975</v>
      </c>
      <c r="AE1386" s="214">
        <v>931.07247796278159</v>
      </c>
      <c r="AF1386" s="214">
        <v>889.12406073820955</v>
      </c>
      <c r="AG1386" s="214">
        <v>889.12406073820955</v>
      </c>
      <c r="AH1386" s="214">
        <v>889.12406073820955</v>
      </c>
      <c r="AI1386" s="214">
        <v>889.12406073820955</v>
      </c>
      <c r="AJ1386" s="214">
        <v>889.12406073820955</v>
      </c>
      <c r="AK1386" s="214">
        <v>889.12406073820955</v>
      </c>
      <c r="AL1386" s="214">
        <v>889.12406073820955</v>
      </c>
      <c r="AM1386" s="214">
        <v>889.12406073820955</v>
      </c>
      <c r="AN1386" s="214">
        <v>889.12406073820955</v>
      </c>
      <c r="AO1386" s="214">
        <v>889.12406073820955</v>
      </c>
      <c r="AP1386" s="214">
        <v>889.12406073820955</v>
      </c>
      <c r="AQ1386" s="214">
        <v>889.12406073820955</v>
      </c>
      <c r="AR1386" s="214">
        <v>889.12406073820955</v>
      </c>
      <c r="AS1386" s="214">
        <v>889.12406073820955</v>
      </c>
      <c r="AT1386" s="2"/>
      <c r="AU1386" s="2"/>
    </row>
    <row r="1387" spans="1:47" hidden="1" outlineLevel="1">
      <c r="A1387" s="308"/>
      <c r="B1387" s="322" t="s">
        <v>1099</v>
      </c>
      <c r="C1387" s="310" t="s">
        <v>733</v>
      </c>
      <c r="D1387" s="310"/>
      <c r="E1387" s="310"/>
      <c r="F1387" s="310"/>
      <c r="G1387" s="310"/>
      <c r="H1387" s="310"/>
      <c r="I1387" s="310"/>
      <c r="J1387" s="310"/>
      <c r="K1387" s="311"/>
      <c r="L1387" s="311"/>
      <c r="M1387" s="311"/>
      <c r="N1387" s="311"/>
      <c r="O1387" s="311">
        <v>0.35833333333333339</v>
      </c>
      <c r="P1387" s="311">
        <v>0.33128834355828229</v>
      </c>
      <c r="Q1387" s="311">
        <v>0.47465437788018439</v>
      </c>
      <c r="R1387" s="311">
        <v>0.30000000000000004</v>
      </c>
      <c r="S1387" s="311">
        <v>0.28605769230769229</v>
      </c>
      <c r="T1387" s="311">
        <v>0.26355140186915893</v>
      </c>
      <c r="U1387" s="311">
        <v>0.23520710059171601</v>
      </c>
      <c r="V1387" s="311">
        <v>0.16167664670658688</v>
      </c>
      <c r="W1387" s="311">
        <v>8.8659793814432897E-2</v>
      </c>
      <c r="X1387" s="311">
        <v>5.8712121212121104E-2</v>
      </c>
      <c r="Y1387" s="311">
        <v>4.29338103756709E-2</v>
      </c>
      <c r="Z1387" s="311">
        <v>1.2006861063464935E-2</v>
      </c>
      <c r="AA1387" s="311">
        <v>-1.6949152542372836E-2</v>
      </c>
      <c r="AB1387" s="311">
        <v>-6.2068965517241392E-2</v>
      </c>
      <c r="AC1387" s="311">
        <v>-6.1580882352941124E-2</v>
      </c>
      <c r="AD1387" s="316">
        <v>-4.5053868756121496E-2</v>
      </c>
      <c r="AE1387" s="623">
        <v>-4.5053868756121496E-2</v>
      </c>
      <c r="AF1387" s="623">
        <v>-4.5053868756121496E-2</v>
      </c>
      <c r="AG1387" s="623">
        <v>0</v>
      </c>
      <c r="AH1387" s="623">
        <v>0</v>
      </c>
      <c r="AI1387" s="623">
        <v>0</v>
      </c>
      <c r="AJ1387" s="623">
        <v>0</v>
      </c>
      <c r="AK1387" s="623">
        <v>0</v>
      </c>
      <c r="AL1387" s="623">
        <v>0</v>
      </c>
      <c r="AM1387" s="623">
        <v>0</v>
      </c>
      <c r="AN1387" s="623">
        <v>0</v>
      </c>
      <c r="AO1387" s="623">
        <v>0</v>
      </c>
      <c r="AP1387" s="623">
        <v>0</v>
      </c>
      <c r="AQ1387" s="623">
        <v>0</v>
      </c>
      <c r="AR1387" s="623">
        <v>0</v>
      </c>
      <c r="AS1387" s="623">
        <v>0</v>
      </c>
      <c r="AT1387" s="312"/>
      <c r="AU1387" s="514"/>
    </row>
    <row r="1388" spans="1:47" ht="14.4" hidden="1" outlineLevel="1" thickBot="1">
      <c r="A1388" s="298"/>
      <c r="B1388" s="76"/>
      <c r="C1388" s="78"/>
      <c r="D1388" s="78"/>
      <c r="E1388" s="78"/>
      <c r="F1388" s="78"/>
      <c r="G1388" s="78"/>
      <c r="H1388" s="78"/>
      <c r="I1388" s="78"/>
      <c r="J1388" s="78"/>
      <c r="K1388" s="108"/>
      <c r="L1388" s="108"/>
      <c r="M1388" s="108"/>
      <c r="N1388" s="108"/>
      <c r="O1388" s="108"/>
      <c r="P1388" s="108"/>
      <c r="Q1388" s="108"/>
      <c r="R1388" s="108"/>
      <c r="S1388" s="108"/>
      <c r="T1388" s="108"/>
      <c r="U1388" s="108"/>
      <c r="V1388" s="108"/>
      <c r="W1388" s="108"/>
      <c r="X1388" s="108"/>
      <c r="Y1388" s="108"/>
      <c r="Z1388" s="108"/>
      <c r="AA1388" s="108"/>
      <c r="AB1388" s="108"/>
      <c r="AC1388" s="108"/>
      <c r="AD1388" s="108"/>
      <c r="AE1388" s="108"/>
      <c r="AF1388" s="108"/>
      <c r="AG1388" s="108"/>
      <c r="AH1388" s="108"/>
      <c r="AI1388" s="108"/>
      <c r="AJ1388" s="108"/>
      <c r="AK1388" s="108"/>
      <c r="AL1388" s="108"/>
      <c r="AM1388" s="108"/>
      <c r="AN1388" s="108"/>
      <c r="AO1388" s="108"/>
      <c r="AP1388" s="108"/>
      <c r="AQ1388" s="108"/>
      <c r="AR1388" s="108"/>
      <c r="AS1388" s="108"/>
      <c r="AT1388" s="2"/>
      <c r="AU1388" s="2"/>
    </row>
    <row r="1389" spans="1:47" hidden="1" outlineLevel="1">
      <c r="A1389" s="298"/>
      <c r="B1389" s="55"/>
      <c r="C1389" s="18"/>
      <c r="D1389" s="18"/>
      <c r="E1389" s="18"/>
      <c r="F1389" s="18"/>
      <c r="G1389" s="18"/>
      <c r="H1389" s="18"/>
      <c r="I1389" s="18"/>
      <c r="J1389" s="18"/>
      <c r="K1389" s="7"/>
      <c r="L1389" s="7"/>
      <c r="M1389" s="7"/>
      <c r="N1389" s="7"/>
      <c r="O1389" s="7"/>
      <c r="P1389" s="7"/>
      <c r="Q1389" s="7"/>
      <c r="R1389" s="7"/>
      <c r="S1389" s="7"/>
      <c r="T1389" s="7"/>
      <c r="U1389" s="7"/>
      <c r="V1389" s="7"/>
      <c r="W1389" s="7"/>
      <c r="X1389" s="7"/>
      <c r="Y1389" s="7"/>
      <c r="Z1389" s="7"/>
      <c r="AA1389" s="7"/>
      <c r="AB1389" s="7"/>
      <c r="AC1389" s="7"/>
      <c r="AD1389" s="7"/>
      <c r="AE1389" s="7"/>
      <c r="AF1389" s="7"/>
      <c r="AG1389" s="7"/>
      <c r="AH1389" s="7"/>
      <c r="AI1389" s="7"/>
      <c r="AJ1389" s="7"/>
      <c r="AK1389" s="7"/>
      <c r="AL1389" s="7"/>
      <c r="AM1389" s="7"/>
      <c r="AN1389" s="7"/>
      <c r="AO1389" s="7"/>
      <c r="AP1389" s="7"/>
      <c r="AQ1389" s="7"/>
      <c r="AR1389" s="7"/>
      <c r="AS1389" s="7"/>
      <c r="AT1389" s="2"/>
      <c r="AU1389" s="2"/>
    </row>
    <row r="1390" spans="1:47" ht="15.6" hidden="1" outlineLevel="1">
      <c r="A1390" s="298"/>
      <c r="B1390" s="237" t="s">
        <v>1093</v>
      </c>
      <c r="C1390" s="238"/>
      <c r="D1390" s="239"/>
      <c r="E1390" s="239"/>
      <c r="F1390" s="239"/>
      <c r="G1390" s="239"/>
      <c r="H1390" s="239"/>
      <c r="I1390" s="239"/>
      <c r="J1390" s="239"/>
      <c r="K1390" s="239"/>
      <c r="L1390" s="239"/>
      <c r="M1390" s="239"/>
      <c r="N1390" s="239"/>
      <c r="O1390" s="239"/>
      <c r="P1390" s="239"/>
      <c r="Q1390" s="239"/>
      <c r="R1390" s="239"/>
      <c r="S1390" s="239"/>
      <c r="T1390" s="239"/>
      <c r="U1390" s="239"/>
      <c r="V1390" s="239"/>
      <c r="W1390" s="239"/>
      <c r="X1390" s="239"/>
      <c r="Y1390" s="239"/>
      <c r="Z1390" s="239"/>
      <c r="AA1390" s="239"/>
      <c r="AB1390" s="239"/>
      <c r="AC1390" s="239"/>
      <c r="AD1390" s="239"/>
      <c r="AE1390" s="239"/>
      <c r="AF1390" s="239"/>
      <c r="AG1390" s="239"/>
      <c r="AH1390" s="239"/>
      <c r="AI1390" s="239"/>
      <c r="AJ1390" s="239"/>
      <c r="AK1390" s="239"/>
      <c r="AL1390" s="239"/>
      <c r="AM1390" s="239"/>
      <c r="AN1390" s="239"/>
      <c r="AO1390" s="270"/>
      <c r="AP1390" s="240"/>
      <c r="AQ1390" s="240"/>
      <c r="AR1390" s="240"/>
      <c r="AS1390" s="240"/>
      <c r="AT1390" s="2"/>
      <c r="AU1390" s="2"/>
    </row>
    <row r="1391" spans="1:47" hidden="1" outlineLevel="1">
      <c r="A1391" s="298"/>
      <c r="B1391" s="55"/>
      <c r="C1391" s="18"/>
      <c r="D1391" s="18"/>
      <c r="E1391" s="18"/>
      <c r="F1391" s="18"/>
      <c r="G1391" s="18"/>
      <c r="H1391" s="18"/>
      <c r="I1391" s="18"/>
      <c r="J1391" s="18"/>
      <c r="K1391" s="7"/>
      <c r="L1391" s="7"/>
      <c r="M1391" s="7"/>
      <c r="N1391" s="7"/>
      <c r="O1391" s="7"/>
      <c r="P1391" s="7"/>
      <c r="Q1391" s="7"/>
      <c r="R1391" s="7"/>
      <c r="S1391" s="7"/>
      <c r="T1391" s="7"/>
      <c r="U1391" s="7"/>
      <c r="V1391" s="7"/>
      <c r="W1391" s="7"/>
      <c r="X1391" s="7"/>
      <c r="Y1391" s="7"/>
      <c r="Z1391" s="7"/>
      <c r="AA1391" s="7"/>
      <c r="AB1391" s="7"/>
      <c r="AC1391" s="7"/>
      <c r="AD1391" s="7"/>
      <c r="AE1391" s="7"/>
      <c r="AF1391" s="7"/>
      <c r="AG1391" s="7"/>
      <c r="AH1391" s="7"/>
      <c r="AI1391" s="7"/>
      <c r="AJ1391" s="7"/>
      <c r="AK1391" s="7"/>
      <c r="AL1391" s="7"/>
      <c r="AM1391" s="7"/>
      <c r="AN1391" s="7"/>
      <c r="AO1391" s="7"/>
      <c r="AP1391" s="7"/>
      <c r="AQ1391" s="7"/>
      <c r="AR1391" s="7"/>
      <c r="AS1391" s="7"/>
      <c r="AT1391" s="2"/>
      <c r="AU1391" s="2"/>
    </row>
    <row r="1392" spans="1:47" hidden="1" outlineLevel="1">
      <c r="A1392" s="298"/>
      <c r="B1392" s="6" t="s">
        <v>691</v>
      </c>
      <c r="C1392" s="18"/>
      <c r="D1392" s="18"/>
      <c r="E1392" s="18"/>
      <c r="F1392" s="18"/>
      <c r="G1392" s="18"/>
      <c r="H1392" s="18"/>
      <c r="I1392" s="18"/>
      <c r="J1392" s="18"/>
      <c r="K1392" s="7"/>
      <c r="L1392" s="7"/>
      <c r="M1392" s="7"/>
      <c r="N1392" s="7"/>
      <c r="O1392" s="7"/>
      <c r="P1392" s="7"/>
      <c r="Q1392" s="7"/>
      <c r="R1392" s="7"/>
      <c r="S1392" s="7"/>
      <c r="T1392" s="7"/>
      <c r="U1392" s="7"/>
      <c r="V1392" s="7"/>
      <c r="W1392" s="7"/>
      <c r="X1392" s="7"/>
      <c r="Y1392" s="7"/>
      <c r="Z1392" s="7"/>
      <c r="AA1392" s="7"/>
      <c r="AB1392" s="7"/>
      <c r="AC1392" s="7"/>
      <c r="AD1392" s="7"/>
      <c r="AE1392" s="7"/>
      <c r="AF1392" s="7"/>
      <c r="AG1392" s="7"/>
      <c r="AH1392" s="7"/>
      <c r="AI1392" s="7"/>
      <c r="AJ1392" s="7"/>
      <c r="AK1392" s="7"/>
      <c r="AL1392" s="7"/>
      <c r="AM1392" s="7"/>
      <c r="AN1392" s="7"/>
      <c r="AO1392" s="7"/>
      <c r="AP1392" s="7"/>
      <c r="AQ1392" s="7"/>
      <c r="AR1392" s="7"/>
      <c r="AS1392" s="7"/>
      <c r="AT1392" s="2"/>
      <c r="AU1392" s="2"/>
    </row>
    <row r="1393" spans="1:47" hidden="1" outlineLevel="1">
      <c r="A1393" s="298"/>
      <c r="B1393" s="6" t="s">
        <v>690</v>
      </c>
      <c r="C1393" s="18"/>
      <c r="D1393" s="18"/>
      <c r="E1393" s="18"/>
      <c r="F1393" s="18"/>
      <c r="G1393" s="18"/>
      <c r="H1393" s="18"/>
      <c r="I1393" s="18"/>
      <c r="J1393" s="18"/>
      <c r="K1393" s="7"/>
      <c r="L1393" s="7"/>
      <c r="M1393" s="7"/>
      <c r="N1393" s="7"/>
      <c r="O1393" s="7"/>
      <c r="P1393" s="7"/>
      <c r="Q1393" s="7"/>
      <c r="R1393" s="7"/>
      <c r="S1393" s="7"/>
      <c r="T1393" s="7"/>
      <c r="U1393" s="7"/>
      <c r="V1393" s="7"/>
      <c r="W1393" s="7"/>
      <c r="X1393" s="7"/>
      <c r="Y1393" s="7"/>
      <c r="Z1393" s="7"/>
      <c r="AA1393" s="7"/>
      <c r="AB1393" s="7"/>
      <c r="AC1393" s="7"/>
      <c r="AD1393" s="7"/>
      <c r="AE1393" s="7"/>
      <c r="AF1393" s="7"/>
      <c r="AG1393" s="7"/>
      <c r="AH1393" s="7"/>
      <c r="AI1393" s="7"/>
      <c r="AJ1393" s="7"/>
      <c r="AK1393" s="7"/>
      <c r="AL1393" s="7"/>
      <c r="AM1393" s="7"/>
      <c r="AN1393" s="7"/>
      <c r="AO1393" s="7"/>
      <c r="AP1393" s="7"/>
      <c r="AQ1393" s="7"/>
      <c r="AR1393" s="7"/>
      <c r="AS1393" s="7"/>
      <c r="AT1393" s="2"/>
      <c r="AU1393" s="2"/>
    </row>
    <row r="1394" spans="1:47" hidden="1" outlineLevel="1">
      <c r="A1394" s="298"/>
      <c r="B1394" s="55"/>
      <c r="C1394" s="18"/>
      <c r="D1394" s="18"/>
      <c r="E1394" s="18"/>
      <c r="F1394" s="18"/>
      <c r="G1394" s="18"/>
      <c r="H1394" s="18"/>
      <c r="I1394" s="18"/>
      <c r="J1394" s="18"/>
      <c r="K1394" s="7"/>
      <c r="L1394" s="7"/>
      <c r="M1394" s="7"/>
      <c r="N1394" s="7"/>
      <c r="O1394" s="7"/>
      <c r="P1394" s="7"/>
      <c r="Q1394" s="7"/>
      <c r="R1394" s="7"/>
      <c r="S1394" s="7"/>
      <c r="T1394" s="7"/>
      <c r="U1394" s="7"/>
      <c r="V1394" s="7"/>
      <c r="W1394" s="7"/>
      <c r="X1394" s="7"/>
      <c r="Y1394" s="7"/>
      <c r="Z1394" s="7"/>
      <c r="AA1394" s="7"/>
      <c r="AB1394" s="7"/>
      <c r="AC1394" s="7"/>
      <c r="AD1394" s="7"/>
      <c r="AE1394" s="7"/>
      <c r="AF1394" s="7"/>
      <c r="AG1394" s="7"/>
      <c r="AH1394" s="7"/>
      <c r="AI1394" s="7"/>
      <c r="AJ1394" s="7"/>
      <c r="AK1394" s="7"/>
      <c r="AL1394" s="7"/>
      <c r="AM1394" s="7"/>
      <c r="AN1394" s="7"/>
      <c r="AO1394" s="7"/>
      <c r="AP1394" s="7"/>
      <c r="AQ1394" s="7"/>
      <c r="AR1394" s="7"/>
      <c r="AS1394" s="7"/>
      <c r="AT1394" s="2"/>
      <c r="AU1394" s="2"/>
    </row>
    <row r="1395" spans="1:47" hidden="1" outlineLevel="1">
      <c r="A1395" s="298"/>
      <c r="B1395" s="55"/>
      <c r="C1395" s="18"/>
      <c r="D1395" s="18"/>
      <c r="E1395" s="18"/>
      <c r="F1395" s="18"/>
      <c r="G1395" s="18"/>
      <c r="H1395" s="18"/>
      <c r="I1395" s="18"/>
      <c r="J1395" s="18"/>
      <c r="K1395" s="7"/>
      <c r="L1395" s="7"/>
      <c r="M1395" s="7"/>
      <c r="N1395" s="7"/>
      <c r="O1395" s="7"/>
      <c r="P1395" s="7"/>
      <c r="Q1395" s="7"/>
      <c r="R1395" s="7"/>
      <c r="S1395" s="7"/>
      <c r="T1395" s="7"/>
      <c r="U1395" s="7"/>
      <c r="V1395" s="7"/>
      <c r="W1395" s="7"/>
      <c r="X1395" s="7"/>
      <c r="Y1395" s="7"/>
      <c r="Z1395" s="7"/>
      <c r="AA1395" s="7"/>
      <c r="AB1395" s="7"/>
      <c r="AC1395" s="7"/>
      <c r="AD1395" s="7"/>
      <c r="AE1395" s="7"/>
      <c r="AF1395" s="7"/>
      <c r="AG1395" s="7"/>
      <c r="AH1395" s="7"/>
      <c r="AI1395" s="7"/>
      <c r="AJ1395" s="7"/>
      <c r="AK1395" s="7"/>
      <c r="AL1395" s="7"/>
      <c r="AM1395" s="7"/>
      <c r="AN1395" s="7"/>
      <c r="AO1395" s="7"/>
      <c r="AP1395" s="7"/>
      <c r="AQ1395" s="7"/>
      <c r="AR1395" s="7"/>
      <c r="AS1395" s="7"/>
      <c r="AT1395" s="2"/>
      <c r="AU1395" s="2"/>
    </row>
    <row r="1396" spans="1:47" hidden="1" outlineLevel="1">
      <c r="A1396" s="298"/>
      <c r="B1396" s="6" t="s">
        <v>322</v>
      </c>
      <c r="C1396" s="18"/>
      <c r="D1396" s="18"/>
      <c r="E1396" s="18"/>
      <c r="F1396" s="18"/>
      <c r="G1396" s="18"/>
      <c r="H1396" s="18"/>
      <c r="I1396" s="18"/>
      <c r="J1396" s="18"/>
      <c r="K1396" s="7"/>
      <c r="L1396" s="7"/>
      <c r="M1396" s="7"/>
      <c r="N1396" s="7"/>
      <c r="O1396" s="7"/>
      <c r="P1396" s="7"/>
      <c r="Q1396" s="7"/>
      <c r="R1396" s="7"/>
      <c r="S1396" s="7"/>
      <c r="T1396" s="7"/>
      <c r="U1396" s="7"/>
      <c r="V1396" s="7"/>
      <c r="W1396" s="7"/>
      <c r="X1396" s="7"/>
      <c r="Y1396" s="7"/>
      <c r="Z1396" s="7"/>
      <c r="AA1396" s="7"/>
      <c r="AB1396" s="7"/>
      <c r="AC1396" s="7"/>
      <c r="AD1396" s="7"/>
      <c r="AE1396" s="7"/>
      <c r="AF1396" s="7"/>
      <c r="AG1396" s="7"/>
      <c r="AH1396" s="7"/>
      <c r="AI1396" s="7"/>
      <c r="AJ1396" s="7"/>
      <c r="AK1396" s="7"/>
      <c r="AL1396" s="7"/>
      <c r="AM1396" s="7"/>
      <c r="AN1396" s="7"/>
      <c r="AO1396" s="7"/>
      <c r="AP1396" s="7"/>
      <c r="AQ1396" s="7"/>
      <c r="AR1396" s="7"/>
      <c r="AS1396" s="7"/>
      <c r="AT1396" s="2"/>
      <c r="AU1396" s="2"/>
    </row>
    <row r="1397" spans="1:47" hidden="1" outlineLevel="1">
      <c r="A1397" s="298"/>
      <c r="B1397" s="2"/>
      <c r="C1397" s="18"/>
      <c r="D1397" s="18"/>
      <c r="E1397" s="18"/>
      <c r="F1397" s="18"/>
      <c r="G1397" s="18"/>
      <c r="H1397" s="18"/>
      <c r="I1397" s="18"/>
      <c r="J1397" s="18"/>
      <c r="K1397" s="7"/>
      <c r="L1397" s="7"/>
      <c r="M1397" s="7"/>
      <c r="N1397" s="7"/>
      <c r="O1397" s="7"/>
      <c r="P1397" s="7"/>
      <c r="Q1397" s="7"/>
      <c r="R1397" s="7"/>
      <c r="S1397" s="7"/>
      <c r="T1397" s="7"/>
      <c r="U1397" s="7"/>
      <c r="V1397" s="7"/>
      <c r="W1397" s="7"/>
      <c r="X1397" s="7"/>
      <c r="Y1397" s="7"/>
      <c r="Z1397" s="7"/>
      <c r="AA1397" s="7"/>
      <c r="AB1397" s="7"/>
      <c r="AC1397" s="7"/>
      <c r="AD1397" s="7"/>
      <c r="AE1397" s="7"/>
      <c r="AF1397" s="7"/>
      <c r="AG1397" s="7"/>
      <c r="AH1397" s="7"/>
      <c r="AI1397" s="7"/>
      <c r="AJ1397" s="7"/>
      <c r="AK1397" s="7"/>
      <c r="AL1397" s="7"/>
      <c r="AM1397" s="7"/>
      <c r="AN1397" s="7"/>
      <c r="AO1397" s="7"/>
      <c r="AP1397" s="7"/>
      <c r="AQ1397" s="7"/>
      <c r="AR1397" s="7"/>
      <c r="AS1397" s="7"/>
      <c r="AT1397" s="2"/>
      <c r="AU1397" s="2"/>
    </row>
    <row r="1398" spans="1:47" hidden="1" outlineLevel="1">
      <c r="A1398" s="298"/>
      <c r="B1398" s="93" t="s">
        <v>323</v>
      </c>
      <c r="C1398" s="71" t="s">
        <v>732</v>
      </c>
      <c r="D1398" s="71"/>
      <c r="E1398" s="71"/>
      <c r="F1398" s="71"/>
      <c r="G1398" s="71"/>
      <c r="H1398" s="71"/>
      <c r="I1398" s="71"/>
      <c r="J1398" s="71"/>
      <c r="K1398" s="89"/>
      <c r="L1398" s="89"/>
      <c r="M1398" s="89"/>
      <c r="N1398" s="89"/>
      <c r="O1398" s="89"/>
      <c r="P1398" s="578">
        <v>84</v>
      </c>
      <c r="Q1398" s="578">
        <v>95</v>
      </c>
      <c r="R1398" s="578">
        <v>96</v>
      </c>
      <c r="S1398" s="578">
        <v>105</v>
      </c>
      <c r="T1398" s="578">
        <v>135</v>
      </c>
      <c r="U1398" s="578">
        <v>122</v>
      </c>
      <c r="V1398" s="578">
        <v>109</v>
      </c>
      <c r="W1398" s="90">
        <v>114.45</v>
      </c>
      <c r="X1398" s="90">
        <v>122.46150000000002</v>
      </c>
      <c r="Y1398" s="90">
        <v>128.58457500000003</v>
      </c>
      <c r="Z1398" s="90">
        <v>135.01380375000005</v>
      </c>
      <c r="AA1398" s="90">
        <v>128.26311356250005</v>
      </c>
      <c r="AB1398" s="90">
        <v>141.08942491875007</v>
      </c>
      <c r="AC1398" s="90">
        <v>141.08942491875007</v>
      </c>
      <c r="AD1398" s="90">
        <v>141.08942491875007</v>
      </c>
      <c r="AE1398" s="90">
        <v>141.08942491875007</v>
      </c>
      <c r="AF1398" s="90">
        <v>141.08942491875007</v>
      </c>
      <c r="AG1398" s="90">
        <v>141.08942491875007</v>
      </c>
      <c r="AH1398" s="90">
        <v>141.08942491875007</v>
      </c>
      <c r="AI1398" s="90">
        <v>141.08942491875007</v>
      </c>
      <c r="AJ1398" s="90">
        <v>141.08942491875007</v>
      </c>
      <c r="AK1398" s="90">
        <v>141.08942491875007</v>
      </c>
      <c r="AL1398" s="90">
        <v>141.08942491875007</v>
      </c>
      <c r="AM1398" s="90">
        <v>141.08942491875007</v>
      </c>
      <c r="AN1398" s="90">
        <v>141.08942491875007</v>
      </c>
      <c r="AO1398" s="90">
        <v>141.08942491875007</v>
      </c>
      <c r="AP1398" s="90">
        <v>141.08942491875007</v>
      </c>
      <c r="AQ1398" s="90">
        <v>141.08942491875007</v>
      </c>
      <c r="AR1398" s="90">
        <v>141.08942491875007</v>
      </c>
      <c r="AS1398" s="90">
        <v>141.08942491875007</v>
      </c>
      <c r="AT1398" s="2"/>
      <c r="AU1398" s="2"/>
    </row>
    <row r="1399" spans="1:47" hidden="1" outlineLevel="1">
      <c r="A1399" s="298"/>
      <c r="B1399" s="241" t="s">
        <v>1099</v>
      </c>
      <c r="C1399" s="18" t="s">
        <v>733</v>
      </c>
      <c r="D1399" s="18"/>
      <c r="E1399" s="18"/>
      <c r="F1399" s="18"/>
      <c r="G1399" s="18"/>
      <c r="H1399" s="18"/>
      <c r="I1399" s="18"/>
      <c r="J1399" s="18"/>
      <c r="K1399" s="7"/>
      <c r="L1399" s="7"/>
      <c r="M1399" s="7"/>
      <c r="N1399" s="7"/>
      <c r="O1399" s="7"/>
      <c r="P1399" s="7"/>
      <c r="Q1399" s="7">
        <v>0.13095238095238093</v>
      </c>
      <c r="R1399" s="7">
        <v>1.0526315789473717E-2</v>
      </c>
      <c r="S1399" s="7">
        <v>9.375E-2</v>
      </c>
      <c r="T1399" s="7">
        <v>0.28571428571428581</v>
      </c>
      <c r="U1399" s="7">
        <v>-9.6296296296296324E-2</v>
      </c>
      <c r="V1399" s="7">
        <v>-0.10655737704918034</v>
      </c>
      <c r="W1399" s="532">
        <v>0.05</v>
      </c>
      <c r="X1399" s="559">
        <v>7.0000000000000007E-2</v>
      </c>
      <c r="Y1399" s="557">
        <v>0.05</v>
      </c>
      <c r="Z1399" s="114">
        <v>0.05</v>
      </c>
      <c r="AA1399" s="557">
        <v>-0.05</v>
      </c>
      <c r="AB1399" s="557">
        <v>0.1</v>
      </c>
      <c r="AC1399" s="557">
        <v>0</v>
      </c>
      <c r="AD1399" s="557">
        <v>0</v>
      </c>
      <c r="AE1399" s="114">
        <v>0</v>
      </c>
      <c r="AF1399" s="114">
        <v>0</v>
      </c>
      <c r="AG1399" s="114">
        <v>0</v>
      </c>
      <c r="AH1399" s="114">
        <v>0</v>
      </c>
      <c r="AI1399" s="114">
        <v>0</v>
      </c>
      <c r="AJ1399" s="114">
        <v>0</v>
      </c>
      <c r="AK1399" s="114">
        <v>0</v>
      </c>
      <c r="AL1399" s="114">
        <v>0</v>
      </c>
      <c r="AM1399" s="114">
        <v>0</v>
      </c>
      <c r="AN1399" s="114">
        <v>0</v>
      </c>
      <c r="AO1399" s="115">
        <v>0</v>
      </c>
      <c r="AP1399" s="115">
        <v>0</v>
      </c>
      <c r="AQ1399" s="115">
        <v>0</v>
      </c>
      <c r="AR1399" s="115">
        <v>0</v>
      </c>
      <c r="AS1399" s="115">
        <v>0</v>
      </c>
      <c r="AT1399" s="2"/>
      <c r="AU1399" s="2"/>
    </row>
    <row r="1400" spans="1:47" hidden="1" outlineLevel="1">
      <c r="A1400" s="298"/>
      <c r="B1400" s="2"/>
      <c r="C1400" s="18"/>
      <c r="D1400" s="18"/>
      <c r="E1400" s="18"/>
      <c r="F1400" s="18"/>
      <c r="G1400" s="18"/>
      <c r="H1400" s="18"/>
      <c r="I1400" s="18"/>
      <c r="J1400" s="18"/>
      <c r="K1400" s="7"/>
      <c r="L1400" s="7"/>
      <c r="M1400" s="7"/>
      <c r="N1400" s="7"/>
      <c r="O1400" s="7"/>
      <c r="P1400" s="7"/>
      <c r="Q1400" s="7"/>
      <c r="R1400" s="7"/>
      <c r="S1400" s="7"/>
      <c r="T1400" s="7"/>
      <c r="U1400" s="7"/>
      <c r="V1400" s="7"/>
      <c r="W1400" s="7"/>
      <c r="X1400" s="7"/>
      <c r="Y1400" s="7"/>
      <c r="Z1400" s="7"/>
      <c r="AA1400" s="7"/>
      <c r="AB1400" s="7"/>
      <c r="AC1400" s="7"/>
      <c r="AD1400" s="7"/>
      <c r="AE1400" s="7"/>
      <c r="AF1400" s="7"/>
      <c r="AG1400" s="7"/>
      <c r="AH1400" s="7"/>
      <c r="AI1400" s="7"/>
      <c r="AJ1400" s="7"/>
      <c r="AK1400" s="7"/>
      <c r="AL1400" s="7"/>
      <c r="AM1400" s="7"/>
      <c r="AN1400" s="7"/>
      <c r="AO1400" s="7"/>
      <c r="AP1400" s="7"/>
      <c r="AQ1400" s="7"/>
      <c r="AR1400" s="7"/>
      <c r="AS1400" s="7"/>
      <c r="AT1400" s="2"/>
      <c r="AU1400" s="2"/>
    </row>
    <row r="1401" spans="1:47" hidden="1" outlineLevel="1">
      <c r="A1401" s="298"/>
      <c r="B1401" s="6"/>
      <c r="C1401" s="21"/>
      <c r="D1401" s="21"/>
      <c r="E1401" s="21"/>
      <c r="F1401" s="21"/>
      <c r="G1401" s="21"/>
      <c r="H1401" s="21"/>
      <c r="I1401" s="21"/>
      <c r="J1401" s="21"/>
      <c r="K1401" s="34"/>
      <c r="L1401" s="34"/>
      <c r="M1401" s="34"/>
      <c r="N1401" s="34"/>
      <c r="O1401" s="34"/>
      <c r="P1401" s="34"/>
      <c r="Q1401" s="34"/>
      <c r="R1401" s="34"/>
      <c r="S1401" s="34"/>
      <c r="T1401" s="34"/>
      <c r="U1401" s="34"/>
      <c r="V1401" s="34"/>
      <c r="W1401" s="34"/>
      <c r="X1401" s="34"/>
      <c r="Y1401" s="34"/>
      <c r="Z1401" s="34"/>
      <c r="AA1401" s="34"/>
      <c r="AB1401" s="34"/>
      <c r="AC1401" s="34"/>
      <c r="AD1401" s="34"/>
      <c r="AE1401" s="34"/>
      <c r="AF1401" s="34"/>
      <c r="AG1401" s="34"/>
      <c r="AH1401" s="34"/>
      <c r="AI1401" s="34"/>
      <c r="AJ1401" s="34"/>
      <c r="AK1401" s="34"/>
      <c r="AL1401" s="34"/>
      <c r="AM1401" s="34"/>
      <c r="AN1401" s="34"/>
      <c r="AO1401" s="34"/>
      <c r="AP1401" s="34"/>
      <c r="AQ1401" s="34"/>
      <c r="AR1401" s="34"/>
      <c r="AS1401" s="34"/>
      <c r="AT1401" s="2"/>
      <c r="AU1401" s="2"/>
    </row>
    <row r="1402" spans="1:47" hidden="1" outlineLevel="1">
      <c r="A1402" s="298"/>
      <c r="B1402" s="6" t="s">
        <v>604</v>
      </c>
      <c r="C1402" s="21"/>
      <c r="D1402" s="21"/>
      <c r="E1402" s="21"/>
      <c r="F1402" s="21"/>
      <c r="G1402" s="21"/>
      <c r="H1402" s="21"/>
      <c r="I1402" s="21"/>
      <c r="J1402" s="21"/>
      <c r="K1402" s="34"/>
      <c r="L1402" s="34"/>
      <c r="M1402" s="34"/>
      <c r="N1402" s="34"/>
      <c r="O1402" s="34"/>
      <c r="P1402" s="34"/>
      <c r="Q1402" s="34"/>
      <c r="R1402" s="34"/>
      <c r="S1402" s="34"/>
      <c r="T1402" s="34"/>
      <c r="U1402" s="34"/>
      <c r="V1402" s="34"/>
      <c r="W1402" s="34"/>
      <c r="X1402" s="34"/>
      <c r="Y1402" s="34"/>
      <c r="Z1402" s="34"/>
      <c r="AA1402" s="34"/>
      <c r="AB1402" s="34"/>
      <c r="AC1402" s="34"/>
      <c r="AD1402" s="34"/>
      <c r="AE1402" s="34"/>
      <c r="AF1402" s="34"/>
      <c r="AG1402" s="34"/>
      <c r="AH1402" s="34"/>
      <c r="AI1402" s="34"/>
      <c r="AJ1402" s="34"/>
      <c r="AK1402" s="34"/>
      <c r="AL1402" s="34"/>
      <c r="AM1402" s="34"/>
      <c r="AN1402" s="34"/>
      <c r="AO1402" s="34"/>
      <c r="AP1402" s="34"/>
      <c r="AQ1402" s="34"/>
      <c r="AR1402" s="34"/>
      <c r="AS1402" s="34"/>
      <c r="AT1402" s="2"/>
      <c r="AU1402" s="2"/>
    </row>
    <row r="1403" spans="1:47" hidden="1" outlineLevel="1">
      <c r="A1403" s="298"/>
      <c r="B1403" s="6"/>
      <c r="C1403" s="21"/>
      <c r="D1403" s="21"/>
      <c r="E1403" s="21"/>
      <c r="F1403" s="21"/>
      <c r="G1403" s="21"/>
      <c r="H1403" s="21"/>
      <c r="I1403" s="21"/>
      <c r="J1403" s="21"/>
      <c r="K1403" s="34"/>
      <c r="L1403" s="34"/>
      <c r="M1403" s="34"/>
      <c r="N1403" s="34"/>
      <c r="O1403" s="34"/>
      <c r="P1403" s="34"/>
      <c r="Q1403" s="34"/>
      <c r="R1403" s="34"/>
      <c r="S1403" s="34"/>
      <c r="T1403" s="34"/>
      <c r="U1403" s="34"/>
      <c r="V1403" s="34"/>
      <c r="W1403" s="34"/>
      <c r="X1403" s="34"/>
      <c r="Y1403" s="34"/>
      <c r="Z1403" s="34"/>
      <c r="AA1403" s="34"/>
      <c r="AB1403" s="34"/>
      <c r="AC1403" s="34"/>
      <c r="AD1403" s="34"/>
      <c r="AE1403" s="34"/>
      <c r="AF1403" s="34"/>
      <c r="AG1403" s="34"/>
      <c r="AH1403" s="34"/>
      <c r="AI1403" s="34"/>
      <c r="AJ1403" s="34"/>
      <c r="AK1403" s="34"/>
      <c r="AL1403" s="34"/>
      <c r="AM1403" s="34"/>
      <c r="AN1403" s="34"/>
      <c r="AO1403" s="34"/>
      <c r="AP1403" s="34"/>
      <c r="AQ1403" s="34"/>
      <c r="AR1403" s="34"/>
      <c r="AS1403" s="34"/>
      <c r="AT1403" s="2"/>
      <c r="AU1403" s="2"/>
    </row>
    <row r="1404" spans="1:47" hidden="1" outlineLevel="1">
      <c r="A1404" s="298"/>
      <c r="B1404" s="6" t="s">
        <v>731</v>
      </c>
      <c r="C1404" s="21"/>
      <c r="D1404" s="21"/>
      <c r="E1404" s="21"/>
      <c r="F1404" s="21"/>
      <c r="G1404" s="21"/>
      <c r="H1404" s="21"/>
      <c r="I1404" s="21"/>
      <c r="J1404" s="21"/>
      <c r="K1404" s="34"/>
      <c r="L1404" s="34"/>
      <c r="M1404" s="34"/>
      <c r="N1404" s="34"/>
      <c r="O1404" s="34"/>
      <c r="P1404" s="34"/>
      <c r="Q1404" s="34"/>
      <c r="R1404" s="34"/>
      <c r="S1404" s="34"/>
      <c r="T1404" s="34"/>
      <c r="U1404" s="34"/>
      <c r="V1404" s="34"/>
      <c r="W1404" s="34"/>
      <c r="X1404" s="34"/>
      <c r="Y1404" s="34"/>
      <c r="Z1404" s="34"/>
      <c r="AA1404" s="34"/>
      <c r="AB1404" s="34"/>
      <c r="AC1404" s="34"/>
      <c r="AD1404" s="34"/>
      <c r="AE1404" s="34"/>
      <c r="AF1404" s="34"/>
      <c r="AG1404" s="34"/>
      <c r="AH1404" s="34"/>
      <c r="AI1404" s="34"/>
      <c r="AJ1404" s="34"/>
      <c r="AK1404" s="34"/>
      <c r="AL1404" s="34"/>
      <c r="AM1404" s="34"/>
      <c r="AN1404" s="34"/>
      <c r="AO1404" s="34"/>
      <c r="AP1404" s="34"/>
      <c r="AQ1404" s="34"/>
      <c r="AR1404" s="34"/>
      <c r="AS1404" s="34"/>
      <c r="AT1404" s="2"/>
      <c r="AU1404" s="2"/>
    </row>
    <row r="1405" spans="1:47" hidden="1" outlineLevel="1">
      <c r="A1405" s="298"/>
      <c r="B1405" s="2" t="s">
        <v>315</v>
      </c>
      <c r="C1405" s="18"/>
      <c r="D1405" s="18"/>
      <c r="E1405" s="18"/>
      <c r="F1405" s="18"/>
      <c r="G1405" s="18"/>
      <c r="H1405" s="18"/>
      <c r="I1405" s="18"/>
      <c r="J1405" s="18"/>
      <c r="K1405" s="532">
        <v>216</v>
      </c>
      <c r="L1405" s="532">
        <v>313</v>
      </c>
      <c r="M1405" s="532">
        <v>396</v>
      </c>
      <c r="N1405" s="530">
        <v>354</v>
      </c>
      <c r="O1405" s="532">
        <v>371</v>
      </c>
      <c r="P1405" s="532">
        <v>349</v>
      </c>
      <c r="Q1405" s="532">
        <v>302</v>
      </c>
      <c r="R1405" s="532">
        <v>238</v>
      </c>
      <c r="S1405" s="532">
        <v>209</v>
      </c>
      <c r="T1405" s="532">
        <v>188</v>
      </c>
      <c r="U1405" s="532">
        <v>169</v>
      </c>
      <c r="V1405" s="532">
        <v>123</v>
      </c>
      <c r="W1405" s="7"/>
      <c r="X1405" s="7"/>
      <c r="Y1405" s="7"/>
      <c r="Z1405" s="7"/>
      <c r="AA1405" s="7"/>
      <c r="AB1405" s="7"/>
      <c r="AC1405" s="7"/>
      <c r="AD1405" s="7"/>
      <c r="AE1405" s="7"/>
      <c r="AF1405" s="7"/>
      <c r="AG1405" s="7"/>
      <c r="AH1405" s="7"/>
      <c r="AI1405" s="7"/>
      <c r="AJ1405" s="7"/>
      <c r="AK1405" s="7"/>
      <c r="AL1405" s="7"/>
      <c r="AM1405" s="7"/>
      <c r="AN1405" s="7"/>
      <c r="AO1405" s="7"/>
      <c r="AP1405" s="7"/>
      <c r="AQ1405" s="7"/>
      <c r="AR1405" s="7"/>
      <c r="AS1405" s="7"/>
      <c r="AT1405" s="2"/>
      <c r="AU1405" s="2"/>
    </row>
    <row r="1406" spans="1:47" hidden="1" outlineLevel="1">
      <c r="A1406" s="298"/>
      <c r="B1406" s="241" t="s">
        <v>1099</v>
      </c>
      <c r="C1406" s="18" t="s">
        <v>733</v>
      </c>
      <c r="D1406" s="18"/>
      <c r="E1406" s="18"/>
      <c r="F1406" s="18"/>
      <c r="G1406" s="18"/>
      <c r="H1406" s="18"/>
      <c r="I1406" s="18"/>
      <c r="J1406" s="18"/>
      <c r="K1406" s="2"/>
      <c r="L1406" s="7">
        <v>0.44907407407407418</v>
      </c>
      <c r="M1406" s="7">
        <v>0.26517571884984026</v>
      </c>
      <c r="N1406" s="7">
        <v>-0.10606060606060608</v>
      </c>
      <c r="O1406" s="7">
        <v>4.8022598870056443E-2</v>
      </c>
      <c r="P1406" s="7">
        <v>-5.9299191374663107E-2</v>
      </c>
      <c r="Q1406" s="7">
        <v>-0.13467048710601714</v>
      </c>
      <c r="R1406" s="7">
        <v>-0.21192052980132448</v>
      </c>
      <c r="S1406" s="7">
        <v>-0.12184873949579833</v>
      </c>
      <c r="T1406" s="7">
        <v>-0.1004784688995215</v>
      </c>
      <c r="U1406" s="7">
        <v>-0.10106382978723405</v>
      </c>
      <c r="V1406" s="7">
        <v>-0.27218934911242598</v>
      </c>
      <c r="W1406" s="7"/>
      <c r="X1406" s="7"/>
      <c r="Y1406" s="7"/>
      <c r="Z1406" s="7"/>
      <c r="AA1406" s="7"/>
      <c r="AB1406" s="7"/>
      <c r="AC1406" s="7"/>
      <c r="AD1406" s="7"/>
      <c r="AE1406" s="7"/>
      <c r="AF1406" s="7"/>
      <c r="AG1406" s="7"/>
      <c r="AH1406" s="7"/>
      <c r="AI1406" s="7"/>
      <c r="AJ1406" s="7"/>
      <c r="AK1406" s="7"/>
      <c r="AL1406" s="7"/>
      <c r="AM1406" s="7"/>
      <c r="AN1406" s="7"/>
      <c r="AO1406" s="7"/>
      <c r="AP1406" s="7"/>
      <c r="AQ1406" s="7"/>
      <c r="AR1406" s="7"/>
      <c r="AS1406" s="7"/>
      <c r="AT1406" s="2"/>
      <c r="AU1406" s="2"/>
    </row>
    <row r="1407" spans="1:47" hidden="1" outlineLevel="1">
      <c r="A1407" s="298"/>
      <c r="B1407" s="2" t="s">
        <v>316</v>
      </c>
      <c r="C1407" s="18"/>
      <c r="D1407" s="18"/>
      <c r="E1407" s="18"/>
      <c r="F1407" s="18"/>
      <c r="G1407" s="18"/>
      <c r="H1407" s="18"/>
      <c r="I1407" s="18"/>
      <c r="J1407" s="18"/>
      <c r="K1407" s="7"/>
      <c r="L1407" s="7"/>
      <c r="M1407" s="7"/>
      <c r="N1407" s="532">
        <v>73</v>
      </c>
      <c r="O1407" s="532">
        <v>79</v>
      </c>
      <c r="P1407" s="532">
        <v>90</v>
      </c>
      <c r="Q1407" s="532">
        <v>90</v>
      </c>
      <c r="R1407" s="532">
        <v>70</v>
      </c>
      <c r="S1407" s="532">
        <v>63</v>
      </c>
      <c r="T1407" s="532">
        <v>57</v>
      </c>
      <c r="U1407" s="532">
        <v>51</v>
      </c>
      <c r="V1407" s="532">
        <v>37</v>
      </c>
      <c r="W1407" s="7"/>
      <c r="X1407" s="7"/>
      <c r="Y1407" s="7"/>
      <c r="Z1407" s="7"/>
      <c r="AA1407" s="7"/>
      <c r="AB1407" s="7"/>
      <c r="AC1407" s="7"/>
      <c r="AD1407" s="7"/>
      <c r="AE1407" s="7"/>
      <c r="AF1407" s="7"/>
      <c r="AG1407" s="7"/>
      <c r="AH1407" s="7"/>
      <c r="AI1407" s="7"/>
      <c r="AJ1407" s="7"/>
      <c r="AK1407" s="7"/>
      <c r="AL1407" s="7"/>
      <c r="AM1407" s="7"/>
      <c r="AN1407" s="7"/>
      <c r="AO1407" s="7"/>
      <c r="AP1407" s="7"/>
      <c r="AQ1407" s="7"/>
      <c r="AR1407" s="7"/>
      <c r="AS1407" s="7"/>
      <c r="AT1407" s="2"/>
      <c r="AU1407" s="2"/>
    </row>
    <row r="1408" spans="1:47" hidden="1" outlineLevel="1">
      <c r="A1408" s="298"/>
      <c r="B1408" s="241" t="s">
        <v>1099</v>
      </c>
      <c r="C1408" s="18" t="s">
        <v>733</v>
      </c>
      <c r="D1408" s="18"/>
      <c r="E1408" s="18"/>
      <c r="F1408" s="18"/>
      <c r="G1408" s="18"/>
      <c r="H1408" s="18"/>
      <c r="I1408" s="18"/>
      <c r="J1408" s="18"/>
      <c r="K1408" s="7"/>
      <c r="L1408" s="7"/>
      <c r="M1408" s="7"/>
      <c r="N1408" s="7"/>
      <c r="O1408" s="7">
        <v>8.2191780821917915E-2</v>
      </c>
      <c r="P1408" s="7">
        <v>0.139240506329114</v>
      </c>
      <c r="Q1408" s="7">
        <v>0</v>
      </c>
      <c r="R1408" s="7">
        <v>-0.22222222222222221</v>
      </c>
      <c r="S1408" s="7">
        <v>-9.9999999999999978E-2</v>
      </c>
      <c r="T1408" s="7">
        <v>-9.5238095238095233E-2</v>
      </c>
      <c r="U1408" s="7">
        <v>-0.10526315789473684</v>
      </c>
      <c r="V1408" s="7">
        <v>-0.27450980392156865</v>
      </c>
      <c r="W1408" s="7"/>
      <c r="X1408" s="7"/>
      <c r="Y1408" s="7"/>
      <c r="Z1408" s="7"/>
      <c r="AA1408" s="7"/>
      <c r="AB1408" s="7"/>
      <c r="AC1408" s="7"/>
      <c r="AD1408" s="7"/>
      <c r="AE1408" s="7"/>
      <c r="AF1408" s="7"/>
      <c r="AG1408" s="7"/>
      <c r="AH1408" s="7"/>
      <c r="AI1408" s="7"/>
      <c r="AJ1408" s="7"/>
      <c r="AK1408" s="7"/>
      <c r="AL1408" s="7"/>
      <c r="AM1408" s="7"/>
      <c r="AN1408" s="7"/>
      <c r="AO1408" s="7"/>
      <c r="AP1408" s="7"/>
      <c r="AQ1408" s="7"/>
      <c r="AR1408" s="7"/>
      <c r="AS1408" s="7"/>
      <c r="AT1408" s="2"/>
      <c r="AU1408" s="2"/>
    </row>
    <row r="1409" spans="1:47" hidden="1" outlineLevel="1">
      <c r="A1409" s="298"/>
      <c r="B1409" s="2" t="s">
        <v>317</v>
      </c>
      <c r="C1409" s="18"/>
      <c r="D1409" s="18"/>
      <c r="E1409" s="18"/>
      <c r="F1409" s="18"/>
      <c r="G1409" s="18"/>
      <c r="H1409" s="18"/>
      <c r="I1409" s="18"/>
      <c r="J1409" s="18"/>
      <c r="K1409" s="532">
        <v>318</v>
      </c>
      <c r="L1409" s="532">
        <v>353</v>
      </c>
      <c r="M1409" s="532">
        <v>316</v>
      </c>
      <c r="N1409" s="532">
        <v>287</v>
      </c>
      <c r="O1409" s="532">
        <v>256</v>
      </c>
      <c r="P1409" s="532">
        <v>224</v>
      </c>
      <c r="Q1409" s="532">
        <v>198</v>
      </c>
      <c r="R1409" s="532">
        <v>163</v>
      </c>
      <c r="S1409" s="532">
        <v>146</v>
      </c>
      <c r="T1409" s="532">
        <v>131</v>
      </c>
      <c r="U1409" s="532">
        <v>118</v>
      </c>
      <c r="V1409" s="532">
        <v>86</v>
      </c>
      <c r="W1409" s="7"/>
      <c r="X1409" s="7"/>
      <c r="Y1409" s="7"/>
      <c r="Z1409" s="7"/>
      <c r="AA1409" s="7"/>
      <c r="AB1409" s="7"/>
      <c r="AC1409" s="7"/>
      <c r="AD1409" s="7"/>
      <c r="AE1409" s="7"/>
      <c r="AF1409" s="7"/>
      <c r="AG1409" s="7"/>
      <c r="AH1409" s="7"/>
      <c r="AI1409" s="7"/>
      <c r="AJ1409" s="7"/>
      <c r="AK1409" s="7"/>
      <c r="AL1409" s="7"/>
      <c r="AM1409" s="7"/>
      <c r="AN1409" s="7"/>
      <c r="AO1409" s="7"/>
      <c r="AP1409" s="7"/>
      <c r="AQ1409" s="7"/>
      <c r="AR1409" s="7"/>
      <c r="AS1409" s="7"/>
      <c r="AT1409" s="2"/>
      <c r="AU1409" s="2"/>
    </row>
    <row r="1410" spans="1:47" hidden="1" outlineLevel="1">
      <c r="A1410" s="298"/>
      <c r="B1410" s="241" t="s">
        <v>1099</v>
      </c>
      <c r="C1410" s="18" t="s">
        <v>733</v>
      </c>
      <c r="D1410" s="18"/>
      <c r="E1410" s="18"/>
      <c r="F1410" s="18"/>
      <c r="G1410" s="18"/>
      <c r="H1410" s="18"/>
      <c r="I1410" s="18"/>
      <c r="J1410" s="18"/>
      <c r="K1410" s="7"/>
      <c r="L1410" s="7">
        <v>0.11006289308176109</v>
      </c>
      <c r="M1410" s="7">
        <v>-0.10481586402266285</v>
      </c>
      <c r="N1410" s="7">
        <v>-9.1772151898734222E-2</v>
      </c>
      <c r="O1410" s="7">
        <v>-0.10801393728222997</v>
      </c>
      <c r="P1410" s="7">
        <v>-0.125</v>
      </c>
      <c r="Q1410" s="7">
        <v>-0.1160714285714286</v>
      </c>
      <c r="R1410" s="7">
        <v>-0.1767676767676768</v>
      </c>
      <c r="S1410" s="7">
        <v>-0.10429447852760731</v>
      </c>
      <c r="T1410" s="7">
        <v>-0.10273972602739723</v>
      </c>
      <c r="U1410" s="7">
        <v>-9.92366412213741E-2</v>
      </c>
      <c r="V1410" s="7">
        <v>-0.27118644067796616</v>
      </c>
      <c r="W1410" s="7"/>
      <c r="X1410" s="7"/>
      <c r="Y1410" s="7"/>
      <c r="Z1410" s="7"/>
      <c r="AA1410" s="7"/>
      <c r="AB1410" s="7"/>
      <c r="AC1410" s="7"/>
      <c r="AD1410" s="7"/>
      <c r="AE1410" s="7"/>
      <c r="AF1410" s="7"/>
      <c r="AG1410" s="7"/>
      <c r="AH1410" s="7"/>
      <c r="AI1410" s="7"/>
      <c r="AJ1410" s="7"/>
      <c r="AK1410" s="7"/>
      <c r="AL1410" s="7"/>
      <c r="AM1410" s="7"/>
      <c r="AN1410" s="7"/>
      <c r="AO1410" s="7"/>
      <c r="AP1410" s="7"/>
      <c r="AQ1410" s="7"/>
      <c r="AR1410" s="7"/>
      <c r="AS1410" s="7"/>
      <c r="AT1410" s="2"/>
      <c r="AU1410" s="2"/>
    </row>
    <row r="1411" spans="1:47" hidden="1" outlineLevel="1">
      <c r="A1411" s="298"/>
      <c r="B1411" s="2" t="s">
        <v>318</v>
      </c>
      <c r="C1411" s="18"/>
      <c r="D1411" s="18"/>
      <c r="E1411" s="18"/>
      <c r="F1411" s="18"/>
      <c r="G1411" s="18"/>
      <c r="H1411" s="18"/>
      <c r="I1411" s="18"/>
      <c r="J1411" s="18"/>
      <c r="K1411" s="532">
        <v>247</v>
      </c>
      <c r="L1411" s="532">
        <v>233</v>
      </c>
      <c r="M1411" s="532">
        <v>268</v>
      </c>
      <c r="N1411" s="532">
        <v>271</v>
      </c>
      <c r="O1411" s="532">
        <v>258</v>
      </c>
      <c r="P1411" s="532">
        <v>236</v>
      </c>
      <c r="Q1411" s="532">
        <v>229</v>
      </c>
      <c r="R1411" s="532">
        <v>234</v>
      </c>
      <c r="S1411" s="532">
        <v>226</v>
      </c>
      <c r="T1411" s="530">
        <v>203</v>
      </c>
      <c r="U1411" s="532">
        <v>183</v>
      </c>
      <c r="V1411" s="532">
        <v>133</v>
      </c>
      <c r="W1411" s="7"/>
      <c r="X1411" s="7"/>
      <c r="Y1411" s="7"/>
      <c r="Z1411" s="7"/>
      <c r="AA1411" s="7"/>
      <c r="AB1411" s="7"/>
      <c r="AC1411" s="7"/>
      <c r="AD1411" s="7"/>
      <c r="AE1411" s="7"/>
      <c r="AF1411" s="7"/>
      <c r="AG1411" s="7"/>
      <c r="AH1411" s="7"/>
      <c r="AI1411" s="7"/>
      <c r="AJ1411" s="7"/>
      <c r="AK1411" s="7"/>
      <c r="AL1411" s="7"/>
      <c r="AM1411" s="7"/>
      <c r="AN1411" s="7"/>
      <c r="AO1411" s="7"/>
      <c r="AP1411" s="7"/>
      <c r="AQ1411" s="7"/>
      <c r="AR1411" s="7"/>
      <c r="AS1411" s="7"/>
      <c r="AT1411" s="2"/>
      <c r="AU1411" s="2"/>
    </row>
    <row r="1412" spans="1:47" hidden="1" outlineLevel="1">
      <c r="A1412" s="298"/>
      <c r="B1412" s="241" t="s">
        <v>1099</v>
      </c>
      <c r="C1412" s="18" t="s">
        <v>733</v>
      </c>
      <c r="D1412" s="18"/>
      <c r="E1412" s="18"/>
      <c r="F1412" s="18"/>
      <c r="G1412" s="18"/>
      <c r="H1412" s="18"/>
      <c r="I1412" s="18"/>
      <c r="J1412" s="18"/>
      <c r="K1412" s="7"/>
      <c r="L1412" s="7">
        <v>-5.6680161943319818E-2</v>
      </c>
      <c r="M1412" s="7">
        <v>0.15021459227467804</v>
      </c>
      <c r="N1412" s="7">
        <v>1.1194029850746245E-2</v>
      </c>
      <c r="O1412" s="7">
        <v>-4.7970479704797064E-2</v>
      </c>
      <c r="P1412" s="7">
        <v>-8.5271317829457405E-2</v>
      </c>
      <c r="Q1412" s="7">
        <v>-2.9661016949152574E-2</v>
      </c>
      <c r="R1412" s="7">
        <v>2.1834061135371119E-2</v>
      </c>
      <c r="S1412" s="7">
        <v>-3.4188034188034178E-2</v>
      </c>
      <c r="T1412" s="7">
        <v>-0.10176991150442483</v>
      </c>
      <c r="U1412" s="7">
        <v>-9.852216748768472E-2</v>
      </c>
      <c r="V1412" s="7">
        <v>-0.27322404371584696</v>
      </c>
      <c r="W1412" s="7"/>
      <c r="X1412" s="7"/>
      <c r="Y1412" s="7"/>
      <c r="Z1412" s="7"/>
      <c r="AA1412" s="7"/>
      <c r="AB1412" s="7"/>
      <c r="AC1412" s="7"/>
      <c r="AD1412" s="7"/>
      <c r="AE1412" s="7"/>
      <c r="AF1412" s="7"/>
      <c r="AG1412" s="7"/>
      <c r="AH1412" s="7"/>
      <c r="AI1412" s="7"/>
      <c r="AJ1412" s="7"/>
      <c r="AK1412" s="7"/>
      <c r="AL1412" s="7"/>
      <c r="AM1412" s="7"/>
      <c r="AN1412" s="7"/>
      <c r="AO1412" s="7"/>
      <c r="AP1412" s="7"/>
      <c r="AQ1412" s="7"/>
      <c r="AR1412" s="7"/>
      <c r="AS1412" s="7"/>
      <c r="AT1412" s="2"/>
      <c r="AU1412" s="2"/>
    </row>
    <row r="1413" spans="1:47" hidden="1" outlineLevel="1">
      <c r="A1413" s="298"/>
      <c r="B1413" s="2" t="s">
        <v>319</v>
      </c>
      <c r="C1413" s="18"/>
      <c r="D1413" s="18"/>
      <c r="E1413" s="18"/>
      <c r="F1413" s="18"/>
      <c r="G1413" s="18"/>
      <c r="H1413" s="18"/>
      <c r="I1413" s="18"/>
      <c r="J1413" s="18"/>
      <c r="K1413" s="532">
        <v>189</v>
      </c>
      <c r="L1413" s="532">
        <v>231</v>
      </c>
      <c r="M1413" s="532">
        <v>68</v>
      </c>
      <c r="N1413" s="532">
        <v>37</v>
      </c>
      <c r="O1413" s="532">
        <v>32</v>
      </c>
      <c r="P1413" s="532">
        <v>26</v>
      </c>
      <c r="Q1413" s="532">
        <v>30</v>
      </c>
      <c r="R1413" s="532">
        <v>29</v>
      </c>
      <c r="S1413" s="532">
        <v>0</v>
      </c>
      <c r="T1413" s="532">
        <v>0</v>
      </c>
      <c r="U1413" s="532">
        <v>0</v>
      </c>
      <c r="V1413" s="532">
        <v>0</v>
      </c>
      <c r="W1413" s="7"/>
      <c r="X1413" s="7"/>
      <c r="Y1413" s="7"/>
      <c r="Z1413" s="7"/>
      <c r="AA1413" s="7"/>
      <c r="AB1413" s="7"/>
      <c r="AC1413" s="7"/>
      <c r="AD1413" s="7"/>
      <c r="AE1413" s="7"/>
      <c r="AF1413" s="7"/>
      <c r="AG1413" s="7"/>
      <c r="AH1413" s="7"/>
      <c r="AI1413" s="7"/>
      <c r="AJ1413" s="7"/>
      <c r="AK1413" s="7"/>
      <c r="AL1413" s="7"/>
      <c r="AM1413" s="7"/>
      <c r="AN1413" s="7"/>
      <c r="AO1413" s="7"/>
      <c r="AP1413" s="7"/>
      <c r="AQ1413" s="7"/>
      <c r="AR1413" s="7"/>
      <c r="AS1413" s="7"/>
      <c r="AT1413" s="2"/>
      <c r="AU1413" s="2"/>
    </row>
    <row r="1414" spans="1:47" hidden="1" outlineLevel="1">
      <c r="A1414" s="298"/>
      <c r="B1414" s="241" t="s">
        <v>1099</v>
      </c>
      <c r="C1414" s="18" t="s">
        <v>733</v>
      </c>
      <c r="D1414" s="18"/>
      <c r="E1414" s="18"/>
      <c r="F1414" s="18"/>
      <c r="G1414" s="18"/>
      <c r="H1414" s="18"/>
      <c r="I1414" s="18"/>
      <c r="J1414" s="18"/>
      <c r="K1414" s="7"/>
      <c r="L1414" s="7">
        <v>0.22222222222222232</v>
      </c>
      <c r="M1414" s="7">
        <v>-0.7056277056277056</v>
      </c>
      <c r="N1414" s="7">
        <v>-0.45588235294117652</v>
      </c>
      <c r="O1414" s="7">
        <v>-0.13513513513513509</v>
      </c>
      <c r="P1414" s="7">
        <v>-0.1875</v>
      </c>
      <c r="Q1414" s="7">
        <v>0.15384615384615374</v>
      </c>
      <c r="R1414" s="7">
        <v>-3.3333333333333326E-2</v>
      </c>
      <c r="S1414" s="7">
        <v>-1</v>
      </c>
      <c r="T1414" s="7"/>
      <c r="U1414" s="7"/>
      <c r="V1414" s="7"/>
      <c r="W1414" s="7"/>
      <c r="X1414" s="7"/>
      <c r="Y1414" s="7"/>
      <c r="Z1414" s="7"/>
      <c r="AA1414" s="7"/>
      <c r="AB1414" s="7"/>
      <c r="AC1414" s="7"/>
      <c r="AD1414" s="7"/>
      <c r="AE1414" s="7"/>
      <c r="AF1414" s="7"/>
      <c r="AG1414" s="7"/>
      <c r="AH1414" s="7"/>
      <c r="AI1414" s="7"/>
      <c r="AJ1414" s="7"/>
      <c r="AK1414" s="7"/>
      <c r="AL1414" s="7"/>
      <c r="AM1414" s="7"/>
      <c r="AN1414" s="7"/>
      <c r="AO1414" s="7"/>
      <c r="AP1414" s="7"/>
      <c r="AQ1414" s="7"/>
      <c r="AR1414" s="7"/>
      <c r="AS1414" s="7"/>
      <c r="AT1414" s="2"/>
      <c r="AU1414" s="2"/>
    </row>
    <row r="1415" spans="1:47" hidden="1" outlineLevel="1">
      <c r="A1415" s="298"/>
      <c r="B1415" s="2" t="s">
        <v>320</v>
      </c>
      <c r="C1415" s="18"/>
      <c r="D1415" s="18"/>
      <c r="E1415" s="18"/>
      <c r="F1415" s="18"/>
      <c r="G1415" s="18"/>
      <c r="H1415" s="18"/>
      <c r="I1415" s="18"/>
      <c r="J1415" s="18"/>
      <c r="K1415" s="532">
        <v>436</v>
      </c>
      <c r="L1415" s="532">
        <v>417</v>
      </c>
      <c r="M1415" s="532">
        <v>3</v>
      </c>
      <c r="N1415" s="532">
        <v>31</v>
      </c>
      <c r="O1415" s="532">
        <v>40</v>
      </c>
      <c r="P1415" s="532">
        <v>-24</v>
      </c>
      <c r="Q1415" s="532">
        <v>-28</v>
      </c>
      <c r="R1415" s="532">
        <v>11</v>
      </c>
      <c r="S1415" s="532">
        <v>46</v>
      </c>
      <c r="T1415" s="532">
        <v>49</v>
      </c>
      <c r="U1415" s="532">
        <v>-39</v>
      </c>
      <c r="V1415" s="532">
        <v>-29</v>
      </c>
      <c r="W1415" s="7"/>
      <c r="X1415" s="7"/>
      <c r="Y1415" s="7"/>
      <c r="Z1415" s="7"/>
      <c r="AA1415" s="7"/>
      <c r="AB1415" s="7"/>
      <c r="AC1415" s="7"/>
      <c r="AD1415" s="7"/>
      <c r="AE1415" s="7"/>
      <c r="AF1415" s="7"/>
      <c r="AG1415" s="7"/>
      <c r="AH1415" s="7"/>
      <c r="AI1415" s="7"/>
      <c r="AJ1415" s="7"/>
      <c r="AK1415" s="7"/>
      <c r="AL1415" s="7"/>
      <c r="AM1415" s="7"/>
      <c r="AN1415" s="7"/>
      <c r="AO1415" s="7"/>
      <c r="AP1415" s="7"/>
      <c r="AQ1415" s="7"/>
      <c r="AR1415" s="7"/>
      <c r="AS1415" s="7"/>
      <c r="AT1415" s="2"/>
      <c r="AU1415" s="2"/>
    </row>
    <row r="1416" spans="1:47" hidden="1" outlineLevel="1">
      <c r="A1416" s="298"/>
      <c r="B1416" s="241" t="s">
        <v>1099</v>
      </c>
      <c r="C1416" s="18" t="s">
        <v>733</v>
      </c>
      <c r="D1416" s="18"/>
      <c r="E1416" s="18"/>
      <c r="F1416" s="18"/>
      <c r="G1416" s="18"/>
      <c r="H1416" s="18"/>
      <c r="I1416" s="18"/>
      <c r="J1416" s="18"/>
      <c r="K1416" s="7"/>
      <c r="L1416" s="7">
        <v>-4.3577981651376163E-2</v>
      </c>
      <c r="M1416" s="7">
        <v>-0.9928057553956835</v>
      </c>
      <c r="N1416" s="7">
        <v>9.3333333333333339</v>
      </c>
      <c r="O1416" s="7">
        <v>0.29032258064516125</v>
      </c>
      <c r="P1416" s="7">
        <v>-1.6</v>
      </c>
      <c r="Q1416" s="7">
        <v>0.16666666666666674</v>
      </c>
      <c r="R1416" s="7">
        <v>-1.3928571428571428</v>
      </c>
      <c r="S1416" s="7">
        <v>3.1818181818181817</v>
      </c>
      <c r="T1416" s="7">
        <v>6.5217391304347894E-2</v>
      </c>
      <c r="U1416" s="7">
        <v>-1.7959183673469388</v>
      </c>
      <c r="V1416" s="7">
        <v>-0.25641025641025639</v>
      </c>
      <c r="W1416" s="7"/>
      <c r="X1416" s="7"/>
      <c r="Y1416" s="7"/>
      <c r="Z1416" s="7"/>
      <c r="AA1416" s="7"/>
      <c r="AB1416" s="7"/>
      <c r="AC1416" s="7"/>
      <c r="AD1416" s="7"/>
      <c r="AE1416" s="7"/>
      <c r="AF1416" s="7"/>
      <c r="AG1416" s="7"/>
      <c r="AH1416" s="7"/>
      <c r="AI1416" s="7"/>
      <c r="AJ1416" s="7"/>
      <c r="AK1416" s="7"/>
      <c r="AL1416" s="7"/>
      <c r="AM1416" s="7"/>
      <c r="AN1416" s="7"/>
      <c r="AO1416" s="7"/>
      <c r="AP1416" s="7"/>
      <c r="AQ1416" s="7"/>
      <c r="AR1416" s="7"/>
      <c r="AS1416" s="7"/>
      <c r="AT1416" s="2"/>
      <c r="AU1416" s="2"/>
    </row>
    <row r="1417" spans="1:47" hidden="1" outlineLevel="1">
      <c r="A1417" s="298"/>
      <c r="B1417" s="93" t="s">
        <v>321</v>
      </c>
      <c r="C1417" s="71" t="s">
        <v>732</v>
      </c>
      <c r="D1417" s="71"/>
      <c r="E1417" s="71"/>
      <c r="F1417" s="71"/>
      <c r="G1417" s="71"/>
      <c r="H1417" s="71"/>
      <c r="I1417" s="71"/>
      <c r="J1417" s="71"/>
      <c r="K1417" s="103">
        <v>1406</v>
      </c>
      <c r="L1417" s="103">
        <v>1547</v>
      </c>
      <c r="M1417" s="103">
        <v>1051</v>
      </c>
      <c r="N1417" s="103">
        <v>1053</v>
      </c>
      <c r="O1417" s="103">
        <v>1036</v>
      </c>
      <c r="P1417" s="103">
        <v>901</v>
      </c>
      <c r="Q1417" s="103">
        <v>821</v>
      </c>
      <c r="R1417" s="103">
        <v>745</v>
      </c>
      <c r="S1417" s="103">
        <v>690</v>
      </c>
      <c r="T1417" s="103">
        <v>628</v>
      </c>
      <c r="U1417" s="103">
        <v>482</v>
      </c>
      <c r="V1417" s="103">
        <v>350</v>
      </c>
      <c r="W1417" s="103">
        <v>175</v>
      </c>
      <c r="X1417" s="90">
        <v>157.5</v>
      </c>
      <c r="Y1417" s="90">
        <v>126</v>
      </c>
      <c r="Z1417" s="90">
        <v>113.4</v>
      </c>
      <c r="AA1417" s="90">
        <v>102.06</v>
      </c>
      <c r="AB1417" s="90">
        <v>112.26600000000001</v>
      </c>
      <c r="AC1417" s="90">
        <v>129.10589999999999</v>
      </c>
      <c r="AD1417" s="90">
        <v>148.47178499999998</v>
      </c>
      <c r="AE1417" s="90">
        <v>148.47178499999998</v>
      </c>
      <c r="AF1417" s="90">
        <v>148.47178499999998</v>
      </c>
      <c r="AG1417" s="90">
        <v>148.47178499999998</v>
      </c>
      <c r="AH1417" s="90">
        <v>148.47178499999998</v>
      </c>
      <c r="AI1417" s="90">
        <v>148.47178499999998</v>
      </c>
      <c r="AJ1417" s="90">
        <v>148.47178499999998</v>
      </c>
      <c r="AK1417" s="90">
        <v>148.47178499999998</v>
      </c>
      <c r="AL1417" s="90">
        <v>148.47178499999998</v>
      </c>
      <c r="AM1417" s="90">
        <v>148.47178499999998</v>
      </c>
      <c r="AN1417" s="90">
        <v>148.47178499999998</v>
      </c>
      <c r="AO1417" s="90">
        <v>148.47178499999998</v>
      </c>
      <c r="AP1417" s="90">
        <v>148.47178499999998</v>
      </c>
      <c r="AQ1417" s="90">
        <v>148.47178499999998</v>
      </c>
      <c r="AR1417" s="90">
        <v>148.47178499999998</v>
      </c>
      <c r="AS1417" s="90">
        <v>148.47178499999998</v>
      </c>
      <c r="AT1417" s="2"/>
      <c r="AU1417" s="2"/>
    </row>
    <row r="1418" spans="1:47" hidden="1" outlineLevel="1">
      <c r="A1418" s="298"/>
      <c r="B1418" s="241" t="s">
        <v>1099</v>
      </c>
      <c r="C1418" s="18" t="s">
        <v>733</v>
      </c>
      <c r="D1418" s="18"/>
      <c r="E1418" s="18"/>
      <c r="F1418" s="18"/>
      <c r="G1418" s="18"/>
      <c r="H1418" s="18"/>
      <c r="I1418" s="18"/>
      <c r="J1418" s="18"/>
      <c r="K1418" s="7"/>
      <c r="L1418" s="7">
        <v>0.10028449502133707</v>
      </c>
      <c r="M1418" s="7">
        <v>-0.32062055591467353</v>
      </c>
      <c r="N1418" s="7">
        <v>1.9029495718363432E-3</v>
      </c>
      <c r="O1418" s="7">
        <v>-1.614434947768284E-2</v>
      </c>
      <c r="P1418" s="7">
        <v>-0.13030888030888033</v>
      </c>
      <c r="Q1418" s="7">
        <v>-8.8790233074361846E-2</v>
      </c>
      <c r="R1418" s="7">
        <v>-9.2570036540803868E-2</v>
      </c>
      <c r="S1418" s="7">
        <v>-7.3825503355704702E-2</v>
      </c>
      <c r="T1418" s="7">
        <v>-8.9855072463768115E-2</v>
      </c>
      <c r="U1418" s="7">
        <v>-0.23248407643312097</v>
      </c>
      <c r="V1418" s="7">
        <v>-0.27385892116182575</v>
      </c>
      <c r="W1418" s="556">
        <v>-0.5</v>
      </c>
      <c r="X1418" s="557">
        <v>-0.1</v>
      </c>
      <c r="Y1418" s="557">
        <v>-0.2</v>
      </c>
      <c r="Z1418" s="557">
        <v>-0.1</v>
      </c>
      <c r="AA1418" s="114">
        <v>-0.1</v>
      </c>
      <c r="AB1418" s="557">
        <v>0.1</v>
      </c>
      <c r="AC1418" s="557">
        <v>0.15</v>
      </c>
      <c r="AD1418" s="114">
        <v>0.15</v>
      </c>
      <c r="AE1418" s="557">
        <v>0</v>
      </c>
      <c r="AF1418" s="114">
        <v>0</v>
      </c>
      <c r="AG1418" s="114">
        <v>0</v>
      </c>
      <c r="AH1418" s="114">
        <v>0</v>
      </c>
      <c r="AI1418" s="114">
        <v>0</v>
      </c>
      <c r="AJ1418" s="114">
        <v>0</v>
      </c>
      <c r="AK1418" s="114">
        <v>0</v>
      </c>
      <c r="AL1418" s="114">
        <v>0</v>
      </c>
      <c r="AM1418" s="114">
        <v>0</v>
      </c>
      <c r="AN1418" s="114">
        <v>0</v>
      </c>
      <c r="AO1418" s="114">
        <v>0</v>
      </c>
      <c r="AP1418" s="114">
        <v>0</v>
      </c>
      <c r="AQ1418" s="114">
        <v>0</v>
      </c>
      <c r="AR1418" s="114">
        <v>0</v>
      </c>
      <c r="AS1418" s="114">
        <v>0</v>
      </c>
      <c r="AT1418" s="2"/>
      <c r="AU1418" s="2"/>
    </row>
    <row r="1419" spans="1:47" hidden="1" outlineLevel="1">
      <c r="A1419" s="298"/>
      <c r="B1419" s="55"/>
      <c r="C1419" s="18"/>
      <c r="D1419" s="18"/>
      <c r="E1419" s="18"/>
      <c r="F1419" s="18"/>
      <c r="G1419" s="18"/>
      <c r="H1419" s="18"/>
      <c r="I1419" s="18"/>
      <c r="J1419" s="18"/>
      <c r="K1419" s="7"/>
      <c r="L1419" s="7"/>
      <c r="M1419" s="7"/>
      <c r="N1419" s="7"/>
      <c r="O1419" s="7"/>
      <c r="P1419" s="7"/>
      <c r="Q1419" s="7"/>
      <c r="R1419" s="7"/>
      <c r="S1419" s="7"/>
      <c r="T1419" s="7"/>
      <c r="U1419" s="7"/>
      <c r="V1419" s="7"/>
      <c r="W1419" s="7"/>
      <c r="X1419" s="7"/>
      <c r="Y1419" s="7"/>
      <c r="Z1419" s="7"/>
      <c r="AA1419" s="7"/>
      <c r="AB1419" s="7"/>
      <c r="AC1419" s="7"/>
      <c r="AD1419" s="7"/>
      <c r="AE1419" s="7"/>
      <c r="AF1419" s="7"/>
      <c r="AG1419" s="7"/>
      <c r="AH1419" s="7"/>
      <c r="AI1419" s="7"/>
      <c r="AJ1419" s="7"/>
      <c r="AK1419" s="7"/>
      <c r="AL1419" s="7"/>
      <c r="AM1419" s="7"/>
      <c r="AN1419" s="7"/>
      <c r="AO1419" s="7"/>
      <c r="AP1419" s="7"/>
      <c r="AQ1419" s="7"/>
      <c r="AR1419" s="7"/>
      <c r="AS1419" s="7"/>
      <c r="AT1419" s="2"/>
      <c r="AU1419" s="2"/>
    </row>
    <row r="1420" spans="1:47" hidden="1" outlineLevel="1">
      <c r="A1420" s="298"/>
      <c r="B1420" s="6" t="s">
        <v>446</v>
      </c>
      <c r="C1420" s="18"/>
      <c r="D1420" s="18"/>
      <c r="E1420" s="18"/>
      <c r="F1420" s="18"/>
      <c r="G1420" s="18"/>
      <c r="H1420" s="18"/>
      <c r="I1420" s="18"/>
      <c r="J1420" s="18"/>
      <c r="K1420" s="7"/>
      <c r="L1420" s="7"/>
      <c r="M1420" s="7"/>
      <c r="N1420" s="7"/>
      <c r="O1420" s="7"/>
      <c r="P1420" s="7"/>
      <c r="Q1420" s="7"/>
      <c r="R1420" s="7"/>
      <c r="S1420" s="7"/>
      <c r="T1420" s="7"/>
      <c r="U1420" s="7"/>
      <c r="V1420" s="7"/>
      <c r="W1420" s="7"/>
      <c r="X1420" s="7"/>
      <c r="Y1420" s="7"/>
      <c r="Z1420" s="7"/>
      <c r="AA1420" s="7"/>
      <c r="AB1420" s="7"/>
      <c r="AC1420" s="7"/>
      <c r="AD1420" s="7"/>
      <c r="AE1420" s="7"/>
      <c r="AF1420" s="7"/>
      <c r="AG1420" s="7"/>
      <c r="AH1420" s="7"/>
      <c r="AI1420" s="7"/>
      <c r="AJ1420" s="7"/>
      <c r="AK1420" s="7"/>
      <c r="AL1420" s="7"/>
      <c r="AM1420" s="7"/>
      <c r="AN1420" s="7"/>
      <c r="AO1420" s="7"/>
      <c r="AP1420" s="7"/>
      <c r="AQ1420" s="7"/>
      <c r="AR1420" s="7"/>
      <c r="AS1420" s="7"/>
      <c r="AT1420" s="2"/>
      <c r="AU1420" s="2"/>
    </row>
    <row r="1421" spans="1:47" hidden="1" outlineLevel="1">
      <c r="A1421" s="298"/>
      <c r="B1421" s="2"/>
      <c r="C1421" s="18"/>
      <c r="D1421" s="18"/>
      <c r="E1421" s="18"/>
      <c r="F1421" s="18"/>
      <c r="G1421" s="18"/>
      <c r="H1421" s="18"/>
      <c r="I1421" s="18"/>
      <c r="J1421" s="18"/>
      <c r="K1421" s="7"/>
      <c r="L1421" s="7"/>
      <c r="M1421" s="7"/>
      <c r="N1421" s="7"/>
      <c r="O1421" s="7"/>
      <c r="P1421" s="7"/>
      <c r="Q1421" s="7"/>
      <c r="R1421" s="7"/>
      <c r="S1421" s="7"/>
      <c r="T1421" s="7"/>
      <c r="U1421" s="7"/>
      <c r="V1421" s="7"/>
      <c r="W1421" s="7"/>
      <c r="X1421" s="7"/>
      <c r="Y1421" s="7"/>
      <c r="Z1421" s="7"/>
      <c r="AA1421" s="7"/>
      <c r="AB1421" s="7"/>
      <c r="AC1421" s="7"/>
      <c r="AD1421" s="7"/>
      <c r="AE1421" s="7"/>
      <c r="AF1421" s="7"/>
      <c r="AG1421" s="7"/>
      <c r="AH1421" s="7"/>
      <c r="AI1421" s="7"/>
      <c r="AJ1421" s="7"/>
      <c r="AK1421" s="7"/>
      <c r="AL1421" s="7"/>
      <c r="AM1421" s="7"/>
      <c r="AN1421" s="7"/>
      <c r="AO1421" s="7"/>
      <c r="AP1421" s="7"/>
      <c r="AQ1421" s="7"/>
      <c r="AR1421" s="7"/>
      <c r="AS1421" s="7"/>
      <c r="AT1421" s="2"/>
      <c r="AU1421" s="2"/>
    </row>
    <row r="1422" spans="1:47" hidden="1" outlineLevel="1">
      <c r="A1422" s="298"/>
      <c r="B1422" s="93" t="s">
        <v>776</v>
      </c>
      <c r="C1422" s="71" t="s">
        <v>732</v>
      </c>
      <c r="D1422" s="71"/>
      <c r="E1422" s="71"/>
      <c r="F1422" s="71"/>
      <c r="G1422" s="71"/>
      <c r="H1422" s="71"/>
      <c r="I1422" s="71"/>
      <c r="J1422" s="71"/>
      <c r="K1422" s="89"/>
      <c r="L1422" s="89"/>
      <c r="M1422" s="89"/>
      <c r="N1422" s="578">
        <v>100</v>
      </c>
      <c r="O1422" s="578">
        <v>158</v>
      </c>
      <c r="P1422" s="578">
        <v>184</v>
      </c>
      <c r="Q1422" s="578">
        <v>234</v>
      </c>
      <c r="R1422" s="578">
        <v>258</v>
      </c>
      <c r="S1422" s="578">
        <v>278</v>
      </c>
      <c r="T1422" s="578">
        <v>308</v>
      </c>
      <c r="U1422" s="578">
        <v>338</v>
      </c>
      <c r="V1422" s="578">
        <v>342</v>
      </c>
      <c r="W1422" s="90">
        <v>369.36</v>
      </c>
      <c r="X1422" s="90">
        <v>398.90880000000004</v>
      </c>
      <c r="Y1422" s="90">
        <v>398.90880000000004</v>
      </c>
      <c r="Z1422" s="90">
        <v>418.85424000000006</v>
      </c>
      <c r="AA1422" s="90">
        <v>389.53444320000006</v>
      </c>
      <c r="AB1422" s="90">
        <v>401.22047649600006</v>
      </c>
      <c r="AC1422" s="90">
        <v>441.34252414560012</v>
      </c>
      <c r="AD1422" s="90">
        <v>441.34252414560012</v>
      </c>
      <c r="AE1422" s="90">
        <v>428.1022484212321</v>
      </c>
      <c r="AF1422" s="90">
        <v>415.2591809685951</v>
      </c>
      <c r="AG1422" s="90">
        <v>402.80140553953726</v>
      </c>
      <c r="AH1422" s="90">
        <v>390.71736337335113</v>
      </c>
      <c r="AI1422" s="90">
        <v>378.99584247215057</v>
      </c>
      <c r="AJ1422" s="90">
        <v>367.62596719798603</v>
      </c>
      <c r="AK1422" s="90">
        <v>356.59718818204647</v>
      </c>
      <c r="AL1422" s="90">
        <v>345.89927253658504</v>
      </c>
      <c r="AM1422" s="90">
        <v>335.52229436048748</v>
      </c>
      <c r="AN1422" s="90">
        <v>325.45662552967286</v>
      </c>
      <c r="AO1422" s="90">
        <v>315.69292676378268</v>
      </c>
      <c r="AP1422" s="90">
        <v>306.22213896086919</v>
      </c>
      <c r="AQ1422" s="90">
        <v>306.22213896086919</v>
      </c>
      <c r="AR1422" s="90">
        <v>306.22213896086919</v>
      </c>
      <c r="AS1422" s="90">
        <v>306.22213896086919</v>
      </c>
      <c r="AT1422" s="2"/>
      <c r="AU1422" s="2"/>
    </row>
    <row r="1423" spans="1:47" hidden="1" outlineLevel="1">
      <c r="A1423" s="298"/>
      <c r="B1423" s="241" t="s">
        <v>1099</v>
      </c>
      <c r="C1423" s="18" t="s">
        <v>733</v>
      </c>
      <c r="D1423" s="18"/>
      <c r="E1423" s="18"/>
      <c r="F1423" s="18"/>
      <c r="G1423" s="18"/>
      <c r="H1423" s="18"/>
      <c r="I1423" s="18"/>
      <c r="J1423" s="18"/>
      <c r="K1423" s="7"/>
      <c r="L1423" s="7"/>
      <c r="M1423" s="7"/>
      <c r="N1423" s="7"/>
      <c r="O1423" s="7">
        <v>0.58000000000000007</v>
      </c>
      <c r="P1423" s="7">
        <v>0.16455696202531644</v>
      </c>
      <c r="Q1423" s="7">
        <v>0.27173913043478271</v>
      </c>
      <c r="R1423" s="7">
        <v>0.10256410256410264</v>
      </c>
      <c r="S1423" s="7">
        <v>7.7519379844961156E-2</v>
      </c>
      <c r="T1423" s="7">
        <v>0.1079136690647482</v>
      </c>
      <c r="U1423" s="7">
        <v>9.740259740259738E-2</v>
      </c>
      <c r="V1423" s="7">
        <v>1.1834319526627279E-2</v>
      </c>
      <c r="W1423" s="532">
        <v>0.08</v>
      </c>
      <c r="X1423" s="559">
        <v>0.08</v>
      </c>
      <c r="Y1423" s="557">
        <v>0</v>
      </c>
      <c r="Z1423" s="557">
        <v>0.05</v>
      </c>
      <c r="AA1423" s="557">
        <v>-7.0000000000000007E-2</v>
      </c>
      <c r="AB1423" s="557">
        <v>0.03</v>
      </c>
      <c r="AC1423" s="557">
        <v>0.1</v>
      </c>
      <c r="AD1423" s="557">
        <v>0</v>
      </c>
      <c r="AE1423" s="557">
        <v>-0.03</v>
      </c>
      <c r="AF1423" s="557">
        <v>-0.03</v>
      </c>
      <c r="AG1423" s="557">
        <v>-0.03</v>
      </c>
      <c r="AH1423" s="557">
        <v>-0.03</v>
      </c>
      <c r="AI1423" s="557">
        <v>-0.03</v>
      </c>
      <c r="AJ1423" s="557">
        <v>-0.03</v>
      </c>
      <c r="AK1423" s="557">
        <v>-0.03</v>
      </c>
      <c r="AL1423" s="557">
        <v>-0.03</v>
      </c>
      <c r="AM1423" s="557">
        <v>-0.03</v>
      </c>
      <c r="AN1423" s="557">
        <v>-0.03</v>
      </c>
      <c r="AO1423" s="557">
        <v>-0.03</v>
      </c>
      <c r="AP1423" s="557">
        <v>-0.03</v>
      </c>
      <c r="AQ1423" s="557">
        <v>-0.03</v>
      </c>
      <c r="AR1423" s="557">
        <v>-0.03</v>
      </c>
      <c r="AS1423" s="557">
        <v>-0.03</v>
      </c>
      <c r="AT1423" s="2"/>
      <c r="AU1423" s="2"/>
    </row>
    <row r="1424" spans="1:47" hidden="1" outlineLevel="1">
      <c r="A1424" s="298"/>
      <c r="B1424" s="55"/>
      <c r="C1424" s="18"/>
      <c r="D1424" s="18"/>
      <c r="E1424" s="18"/>
      <c r="F1424" s="18"/>
      <c r="G1424" s="18"/>
      <c r="H1424" s="18"/>
      <c r="I1424" s="18"/>
      <c r="J1424" s="18"/>
      <c r="K1424" s="7"/>
      <c r="L1424" s="7"/>
      <c r="M1424" s="7"/>
      <c r="N1424" s="7"/>
      <c r="O1424" s="7"/>
      <c r="P1424" s="7"/>
      <c r="Q1424" s="7"/>
      <c r="R1424" s="7"/>
      <c r="S1424" s="7"/>
      <c r="T1424" s="7"/>
      <c r="U1424" s="7"/>
      <c r="V1424" s="7"/>
      <c r="W1424" s="7"/>
      <c r="X1424" s="7"/>
      <c r="Y1424" s="7"/>
      <c r="Z1424" s="7"/>
      <c r="AA1424" s="7"/>
      <c r="AB1424" s="7"/>
      <c r="AC1424" s="7"/>
      <c r="AD1424" s="7"/>
      <c r="AE1424" s="7"/>
      <c r="AF1424" s="7"/>
      <c r="AG1424" s="7"/>
      <c r="AH1424" s="7"/>
      <c r="AI1424" s="7"/>
      <c r="AJ1424" s="7"/>
      <c r="AK1424" s="7"/>
      <c r="AL1424" s="7"/>
      <c r="AM1424" s="7"/>
      <c r="AN1424" s="7"/>
      <c r="AO1424" s="7"/>
      <c r="AP1424" s="7"/>
      <c r="AQ1424" s="7"/>
      <c r="AR1424" s="7"/>
      <c r="AS1424" s="7"/>
      <c r="AT1424" s="2"/>
      <c r="AU1424" s="2"/>
    </row>
    <row r="1425" spans="1:47" hidden="1" outlineLevel="1">
      <c r="A1425" s="298"/>
      <c r="B1425" s="6" t="s">
        <v>592</v>
      </c>
      <c r="C1425" s="18"/>
      <c r="D1425" s="18"/>
      <c r="E1425" s="18"/>
      <c r="F1425" s="18"/>
      <c r="G1425" s="18"/>
      <c r="H1425" s="18"/>
      <c r="I1425" s="18"/>
      <c r="J1425" s="18"/>
      <c r="K1425" s="7"/>
      <c r="L1425" s="7"/>
      <c r="M1425" s="7"/>
      <c r="N1425" s="7"/>
      <c r="O1425" s="7"/>
      <c r="P1425" s="7"/>
      <c r="Q1425" s="7"/>
      <c r="R1425" s="7"/>
      <c r="S1425" s="7"/>
      <c r="T1425" s="7"/>
      <c r="U1425" s="7"/>
      <c r="V1425" s="7"/>
      <c r="W1425" s="7"/>
      <c r="X1425" s="7"/>
      <c r="Y1425" s="7"/>
      <c r="Z1425" s="7"/>
      <c r="AA1425" s="7"/>
      <c r="AB1425" s="7"/>
      <c r="AC1425" s="7"/>
      <c r="AD1425" s="7"/>
      <c r="AE1425" s="7"/>
      <c r="AF1425" s="7"/>
      <c r="AG1425" s="7"/>
      <c r="AH1425" s="7"/>
      <c r="AI1425" s="7"/>
      <c r="AJ1425" s="7"/>
      <c r="AK1425" s="7"/>
      <c r="AL1425" s="7"/>
      <c r="AM1425" s="7"/>
      <c r="AN1425" s="7"/>
      <c r="AO1425" s="7"/>
      <c r="AP1425" s="7"/>
      <c r="AQ1425" s="7"/>
      <c r="AR1425" s="7"/>
      <c r="AS1425" s="7"/>
      <c r="AT1425" s="2"/>
      <c r="AU1425" s="2"/>
    </row>
    <row r="1426" spans="1:47" hidden="1" outlineLevel="1">
      <c r="A1426" s="298"/>
      <c r="B1426" s="55"/>
      <c r="C1426" s="18"/>
      <c r="D1426" s="18"/>
      <c r="E1426" s="18"/>
      <c r="F1426" s="18"/>
      <c r="G1426" s="18"/>
      <c r="H1426" s="18"/>
      <c r="I1426" s="18"/>
      <c r="J1426" s="18"/>
      <c r="K1426" s="7"/>
      <c r="L1426" s="7"/>
      <c r="M1426" s="7"/>
      <c r="N1426" s="7"/>
      <c r="O1426" s="7"/>
      <c r="P1426" s="7"/>
      <c r="Q1426" s="7"/>
      <c r="R1426" s="7"/>
      <c r="S1426" s="7"/>
      <c r="T1426" s="7"/>
      <c r="U1426" s="7"/>
      <c r="V1426" s="7"/>
      <c r="W1426" s="7"/>
      <c r="X1426" s="7"/>
      <c r="Y1426" s="7"/>
      <c r="Z1426" s="7"/>
      <c r="AA1426" s="7"/>
      <c r="AB1426" s="7"/>
      <c r="AC1426" s="7"/>
      <c r="AD1426" s="7"/>
      <c r="AE1426" s="7"/>
      <c r="AF1426" s="7"/>
      <c r="AG1426" s="7"/>
      <c r="AH1426" s="7"/>
      <c r="AI1426" s="7"/>
      <c r="AJ1426" s="7"/>
      <c r="AK1426" s="7"/>
      <c r="AL1426" s="7"/>
      <c r="AM1426" s="7"/>
      <c r="AN1426" s="7"/>
      <c r="AO1426" s="7"/>
      <c r="AP1426" s="7"/>
      <c r="AQ1426" s="7"/>
      <c r="AR1426" s="7"/>
      <c r="AS1426" s="7"/>
      <c r="AT1426" s="2"/>
      <c r="AU1426" s="2"/>
    </row>
    <row r="1427" spans="1:47" hidden="1" outlineLevel="1">
      <c r="A1427" s="298"/>
      <c r="B1427" s="93" t="s">
        <v>593</v>
      </c>
      <c r="C1427" s="71" t="s">
        <v>732</v>
      </c>
      <c r="D1427" s="71"/>
      <c r="E1427" s="71"/>
      <c r="F1427" s="71"/>
      <c r="G1427" s="71"/>
      <c r="H1427" s="71"/>
      <c r="I1427" s="71"/>
      <c r="J1427" s="71"/>
      <c r="K1427" s="89"/>
      <c r="L1427" s="89"/>
      <c r="M1427" s="89"/>
      <c r="N1427" s="89"/>
      <c r="O1427" s="89"/>
      <c r="P1427" s="89"/>
      <c r="Q1427" s="89"/>
      <c r="R1427" s="89"/>
      <c r="S1427" s="103">
        <v>613</v>
      </c>
      <c r="T1427" s="103">
        <v>552</v>
      </c>
      <c r="U1427" s="103">
        <v>509</v>
      </c>
      <c r="V1427" s="103">
        <v>499</v>
      </c>
      <c r="W1427" s="90">
        <v>474.04999999999995</v>
      </c>
      <c r="X1427" s="90">
        <v>450.34749999999991</v>
      </c>
      <c r="Y1427" s="90">
        <v>405.31274999999994</v>
      </c>
      <c r="Z1427" s="90">
        <v>385.04711249999991</v>
      </c>
      <c r="AA1427" s="90">
        <v>365.7947568749999</v>
      </c>
      <c r="AB1427" s="90">
        <v>347.5050190312499</v>
      </c>
      <c r="AC1427" s="90">
        <v>330.12976807968738</v>
      </c>
      <c r="AD1427" s="90">
        <v>313.62327967570297</v>
      </c>
      <c r="AE1427" s="90">
        <v>297.94211569191782</v>
      </c>
      <c r="AF1427" s="90">
        <v>283.04500990732191</v>
      </c>
      <c r="AG1427" s="90">
        <v>268.89275941195581</v>
      </c>
      <c r="AH1427" s="90">
        <v>255.44812144135801</v>
      </c>
      <c r="AI1427" s="90">
        <v>242.67571536929009</v>
      </c>
      <c r="AJ1427" s="90">
        <v>230.54192960082557</v>
      </c>
      <c r="AK1427" s="90">
        <v>219.01483312078429</v>
      </c>
      <c r="AL1427" s="90">
        <v>208.06409146474508</v>
      </c>
      <c r="AM1427" s="90">
        <v>197.6608868915078</v>
      </c>
      <c r="AN1427" s="90">
        <v>187.77784254693239</v>
      </c>
      <c r="AO1427" s="90">
        <v>178.38895041958577</v>
      </c>
      <c r="AP1427" s="90">
        <v>169.46950289860646</v>
      </c>
      <c r="AQ1427" s="90">
        <v>169.46950289860646</v>
      </c>
      <c r="AR1427" s="90">
        <v>169.46950289860646</v>
      </c>
      <c r="AS1427" s="90">
        <v>169.46950289860646</v>
      </c>
      <c r="AT1427" s="2"/>
      <c r="AU1427" s="2"/>
    </row>
    <row r="1428" spans="1:47" hidden="1" outlineLevel="1">
      <c r="A1428" s="298"/>
      <c r="B1428" s="241" t="s">
        <v>1099</v>
      </c>
      <c r="C1428" s="18" t="s">
        <v>733</v>
      </c>
      <c r="D1428" s="18"/>
      <c r="E1428" s="18"/>
      <c r="F1428" s="18"/>
      <c r="G1428" s="18"/>
      <c r="H1428" s="18"/>
      <c r="I1428" s="18"/>
      <c r="J1428" s="18"/>
      <c r="K1428" s="7"/>
      <c r="L1428" s="7"/>
      <c r="M1428" s="7"/>
      <c r="N1428" s="7"/>
      <c r="O1428" s="7"/>
      <c r="P1428" s="7"/>
      <c r="Q1428" s="7"/>
      <c r="R1428" s="7"/>
      <c r="S1428" s="7"/>
      <c r="T1428" s="7">
        <v>-9.9510603588907065E-2</v>
      </c>
      <c r="U1428" s="7">
        <v>-7.7898550724637694E-2</v>
      </c>
      <c r="V1428" s="7">
        <v>-1.9646365422396839E-2</v>
      </c>
      <c r="W1428" s="532">
        <v>-0.05</v>
      </c>
      <c r="X1428" s="559">
        <v>-0.05</v>
      </c>
      <c r="Y1428" s="557">
        <v>-0.1</v>
      </c>
      <c r="Z1428" s="557">
        <v>-0.05</v>
      </c>
      <c r="AA1428" s="114">
        <v>-0.05</v>
      </c>
      <c r="AB1428" s="557">
        <v>-0.05</v>
      </c>
      <c r="AC1428" s="557">
        <v>-0.05</v>
      </c>
      <c r="AD1428" s="557">
        <v>-0.05</v>
      </c>
      <c r="AE1428" s="114">
        <v>-0.05</v>
      </c>
      <c r="AF1428" s="114">
        <v>-0.05</v>
      </c>
      <c r="AG1428" s="114">
        <v>-0.05</v>
      </c>
      <c r="AH1428" s="114">
        <v>-0.05</v>
      </c>
      <c r="AI1428" s="114">
        <v>-0.05</v>
      </c>
      <c r="AJ1428" s="114">
        <v>-0.05</v>
      </c>
      <c r="AK1428" s="114">
        <v>-0.05</v>
      </c>
      <c r="AL1428" s="114">
        <v>-0.05</v>
      </c>
      <c r="AM1428" s="114">
        <v>-0.05</v>
      </c>
      <c r="AN1428" s="114">
        <v>-0.05</v>
      </c>
      <c r="AO1428" s="115">
        <v>-0.05</v>
      </c>
      <c r="AP1428" s="115">
        <v>-0.05</v>
      </c>
      <c r="AQ1428" s="115">
        <v>-0.05</v>
      </c>
      <c r="AR1428" s="115">
        <v>-0.05</v>
      </c>
      <c r="AS1428" s="115">
        <v>-0.05</v>
      </c>
      <c r="AT1428" s="2"/>
      <c r="AU1428" s="2"/>
    </row>
    <row r="1429" spans="1:47" hidden="1" outlineLevel="1">
      <c r="A1429" s="298"/>
      <c r="B1429" s="2"/>
      <c r="C1429" s="18"/>
      <c r="D1429" s="18"/>
      <c r="E1429" s="18"/>
      <c r="F1429" s="18"/>
      <c r="G1429" s="18"/>
      <c r="H1429" s="18"/>
      <c r="I1429" s="18"/>
      <c r="J1429" s="18"/>
      <c r="K1429" s="7"/>
      <c r="L1429" s="7"/>
      <c r="M1429" s="7"/>
      <c r="N1429" s="7"/>
      <c r="O1429" s="7"/>
      <c r="P1429" s="7"/>
      <c r="Q1429" s="7"/>
      <c r="R1429" s="7"/>
      <c r="S1429" s="7"/>
      <c r="T1429" s="7"/>
      <c r="U1429" s="7"/>
      <c r="V1429" s="7"/>
      <c r="W1429" s="7"/>
      <c r="X1429" s="7"/>
      <c r="Y1429" s="7"/>
      <c r="Z1429" s="7"/>
      <c r="AA1429" s="7"/>
      <c r="AB1429" s="7"/>
      <c r="AC1429" s="7"/>
      <c r="AD1429" s="7"/>
      <c r="AE1429" s="7"/>
      <c r="AF1429" s="7"/>
      <c r="AG1429" s="7"/>
      <c r="AH1429" s="7"/>
      <c r="AI1429" s="7"/>
      <c r="AJ1429" s="7"/>
      <c r="AK1429" s="7"/>
      <c r="AL1429" s="7"/>
      <c r="AM1429" s="7"/>
      <c r="AN1429" s="7"/>
      <c r="AO1429" s="7"/>
      <c r="AP1429" s="7"/>
      <c r="AQ1429" s="7"/>
      <c r="AR1429" s="7"/>
      <c r="AS1429" s="7"/>
      <c r="AT1429" s="2"/>
      <c r="AU1429" s="2"/>
    </row>
    <row r="1430" spans="1:47" hidden="1" outlineLevel="1">
      <c r="A1430" s="298"/>
      <c r="B1430" s="173" t="s">
        <v>594</v>
      </c>
      <c r="C1430" s="169" t="s">
        <v>732</v>
      </c>
      <c r="D1430" s="169"/>
      <c r="E1430" s="169"/>
      <c r="F1430" s="169"/>
      <c r="G1430" s="169"/>
      <c r="H1430" s="169"/>
      <c r="I1430" s="169"/>
      <c r="J1430" s="169"/>
      <c r="K1430" s="26"/>
      <c r="L1430" s="26"/>
      <c r="M1430" s="26"/>
      <c r="N1430" s="27">
        <v>1153</v>
      </c>
      <c r="O1430" s="27">
        <v>1194</v>
      </c>
      <c r="P1430" s="27">
        <v>1169</v>
      </c>
      <c r="Q1430" s="27">
        <v>1150</v>
      </c>
      <c r="R1430" s="27">
        <v>1099</v>
      </c>
      <c r="S1430" s="555">
        <v>1686</v>
      </c>
      <c r="T1430" s="555">
        <v>1623</v>
      </c>
      <c r="U1430" s="555">
        <v>1451</v>
      </c>
      <c r="V1430" s="555">
        <v>1300</v>
      </c>
      <c r="W1430" s="554">
        <v>1240</v>
      </c>
      <c r="X1430" s="554">
        <v>1146</v>
      </c>
      <c r="Y1430" s="554">
        <v>1090</v>
      </c>
      <c r="Z1430" s="554">
        <v>1041</v>
      </c>
      <c r="AA1430" s="554">
        <v>1066</v>
      </c>
      <c r="AB1430" s="554">
        <v>1070</v>
      </c>
      <c r="AC1430" s="554">
        <v>1064</v>
      </c>
      <c r="AD1430" s="554">
        <v>996</v>
      </c>
      <c r="AE1430" s="214">
        <v>1015.6055740318999</v>
      </c>
      <c r="AF1430" s="214">
        <v>987.86540079466704</v>
      </c>
      <c r="AG1430" s="214">
        <v>961.25537487024314</v>
      </c>
      <c r="AH1430" s="214">
        <v>935.72669473345911</v>
      </c>
      <c r="AI1430" s="214">
        <v>911.23276776019065</v>
      </c>
      <c r="AJ1430" s="214">
        <v>887.72910671756165</v>
      </c>
      <c r="AK1430" s="214">
        <v>865.17323122158075</v>
      </c>
      <c r="AL1430" s="214">
        <v>843.52457392008012</v>
      </c>
      <c r="AM1430" s="214">
        <v>822.7443911707453</v>
      </c>
      <c r="AN1430" s="214">
        <v>802.79567799535528</v>
      </c>
      <c r="AO1430" s="214">
        <v>783.64308710211844</v>
      </c>
      <c r="AP1430" s="214">
        <v>765.2528517782257</v>
      </c>
      <c r="AQ1430" s="214">
        <v>765.2528517782257</v>
      </c>
      <c r="AR1430" s="214">
        <v>765.2528517782257</v>
      </c>
      <c r="AS1430" s="214">
        <v>765.2528517782257</v>
      </c>
      <c r="AT1430" s="2"/>
      <c r="AU1430" s="2"/>
    </row>
    <row r="1431" spans="1:47" hidden="1" outlineLevel="1">
      <c r="A1431" s="308"/>
      <c r="B1431" s="322" t="s">
        <v>1099</v>
      </c>
      <c r="C1431" s="310" t="s">
        <v>733</v>
      </c>
      <c r="D1431" s="310"/>
      <c r="E1431" s="310"/>
      <c r="F1431" s="310"/>
      <c r="G1431" s="310"/>
      <c r="H1431" s="310"/>
      <c r="I1431" s="310"/>
      <c r="J1431" s="310"/>
      <c r="K1431" s="311"/>
      <c r="L1431" s="311"/>
      <c r="M1431" s="311"/>
      <c r="N1431" s="311"/>
      <c r="O1431" s="311"/>
      <c r="P1431" s="311"/>
      <c r="Q1431" s="311"/>
      <c r="R1431" s="311"/>
      <c r="S1431" s="311"/>
      <c r="T1431" s="311">
        <v>-3.7366548042704673E-2</v>
      </c>
      <c r="U1431" s="311">
        <v>-0.10597658656808384</v>
      </c>
      <c r="V1431" s="311">
        <v>-0.10406616126809098</v>
      </c>
      <c r="W1431" s="311">
        <v>-4.6153846153846101E-2</v>
      </c>
      <c r="X1431" s="311">
        <v>-7.5806451612903225E-2</v>
      </c>
      <c r="Y1431" s="311">
        <v>-4.8865619546247796E-2</v>
      </c>
      <c r="Z1431" s="311">
        <v>-4.4954128440366947E-2</v>
      </c>
      <c r="AA1431" s="311">
        <v>2.4015369836695388E-2</v>
      </c>
      <c r="AB1431" s="311">
        <v>3.7523452157599557E-3</v>
      </c>
      <c r="AC1431" s="311">
        <v>-5.6074766355139749E-3</v>
      </c>
      <c r="AD1431" s="311">
        <v>-6.390977443609025E-2</v>
      </c>
      <c r="AE1431" s="311">
        <v>1.9684311277007982E-2</v>
      </c>
      <c r="AF1431" s="311">
        <v>-2.7313923777619542E-2</v>
      </c>
      <c r="AG1431" s="311">
        <v>-2.6936894341089368E-2</v>
      </c>
      <c r="AH1431" s="311">
        <v>-2.6557646182451822E-2</v>
      </c>
      <c r="AI1431" s="311">
        <v>-2.617636871014517E-2</v>
      </c>
      <c r="AJ1431" s="311">
        <v>-2.5793257084467003E-2</v>
      </c>
      <c r="AK1431" s="311">
        <v>-2.5408511814355994E-2</v>
      </c>
      <c r="AL1431" s="311">
        <v>-2.5022338325162763E-2</v>
      </c>
      <c r="AM1431" s="311">
        <v>-2.4634946499263011E-2</v>
      </c>
      <c r="AN1431" s="311">
        <v>-2.4246550191613592E-2</v>
      </c>
      <c r="AO1431" s="311">
        <v>-2.385736672257921E-2</v>
      </c>
      <c r="AP1431" s="311">
        <v>-2.3467616350575038E-2</v>
      </c>
      <c r="AQ1431" s="311">
        <v>-2.3467616350575038E-2</v>
      </c>
      <c r="AR1431" s="311">
        <v>-2.3467616350575038E-2</v>
      </c>
      <c r="AS1431" s="311">
        <v>-2.3467616350575038E-2</v>
      </c>
      <c r="AT1431" s="312"/>
      <c r="AU1431" s="514"/>
    </row>
    <row r="1432" spans="1:47" hidden="1" outlineLevel="1">
      <c r="A1432" s="298"/>
      <c r="B1432" s="2"/>
      <c r="C1432" s="18"/>
      <c r="D1432" s="18"/>
      <c r="E1432" s="18"/>
      <c r="F1432" s="18"/>
      <c r="G1432" s="18"/>
      <c r="H1432" s="18"/>
      <c r="I1432" s="18"/>
      <c r="J1432" s="18"/>
      <c r="K1432" s="7"/>
      <c r="L1432" s="7"/>
      <c r="M1432" s="7"/>
      <c r="N1432" s="7"/>
      <c r="O1432" s="7"/>
      <c r="P1432" s="7"/>
      <c r="Q1432" s="7"/>
      <c r="R1432" s="7"/>
      <c r="S1432" s="7"/>
      <c r="T1432" s="7"/>
      <c r="U1432" s="7"/>
      <c r="V1432" s="7"/>
      <c r="W1432" s="7"/>
      <c r="X1432" s="7"/>
      <c r="Y1432" s="7"/>
      <c r="Z1432" s="7"/>
      <c r="AA1432" s="7"/>
      <c r="AB1432" s="7"/>
      <c r="AC1432" s="7"/>
      <c r="AD1432" s="7"/>
      <c r="AE1432" s="7"/>
      <c r="AF1432" s="7"/>
      <c r="AG1432" s="7"/>
      <c r="AH1432" s="7"/>
      <c r="AI1432" s="7"/>
      <c r="AJ1432" s="7"/>
      <c r="AK1432" s="7"/>
      <c r="AL1432" s="7"/>
      <c r="AM1432" s="7"/>
      <c r="AN1432" s="7"/>
      <c r="AO1432" s="7"/>
      <c r="AP1432" s="7"/>
      <c r="AQ1432" s="7"/>
      <c r="AR1432" s="7"/>
      <c r="AS1432" s="7"/>
      <c r="AT1432" s="2"/>
      <c r="AU1432" s="2"/>
    </row>
    <row r="1433" spans="1:47" hidden="1" outlineLevel="1">
      <c r="A1433" s="298"/>
      <c r="B1433" s="2"/>
      <c r="C1433" s="18"/>
      <c r="D1433" s="18"/>
      <c r="E1433" s="18"/>
      <c r="F1433" s="18"/>
      <c r="G1433" s="18"/>
      <c r="H1433" s="18"/>
      <c r="I1433" s="18"/>
      <c r="J1433" s="18"/>
      <c r="K1433" s="3"/>
      <c r="L1433" s="3"/>
      <c r="M1433" s="3"/>
      <c r="N1433" s="3"/>
      <c r="O1433" s="3"/>
      <c r="P1433" s="3"/>
      <c r="Q1433" s="3"/>
      <c r="R1433" s="3"/>
      <c r="S1433" s="3"/>
      <c r="T1433" s="3"/>
      <c r="U1433" s="3"/>
      <c r="V1433" s="3"/>
      <c r="W1433" s="3"/>
      <c r="X1433" s="3"/>
      <c r="Y1433" s="3"/>
      <c r="Z1433" s="3"/>
      <c r="AA1433" s="3"/>
      <c r="AB1433" s="3"/>
      <c r="AC1433" s="3"/>
      <c r="AD1433" s="3"/>
      <c r="AE1433" s="3"/>
      <c r="AF1433" s="3"/>
      <c r="AG1433" s="3"/>
      <c r="AH1433" s="3"/>
      <c r="AI1433" s="3"/>
      <c r="AJ1433" s="3"/>
      <c r="AK1433" s="3"/>
      <c r="AL1433" s="3"/>
      <c r="AM1433" s="3"/>
      <c r="AN1433" s="3"/>
      <c r="AO1433" s="3"/>
      <c r="AP1433" s="3"/>
      <c r="AQ1433" s="3"/>
      <c r="AR1433" s="3"/>
      <c r="AS1433" s="3"/>
      <c r="AT1433" s="2"/>
      <c r="AU1433" s="2"/>
    </row>
    <row r="1434" spans="1:47" ht="18" hidden="1" outlineLevel="1">
      <c r="A1434" s="299" t="s">
        <v>1163</v>
      </c>
      <c r="B1434" s="740" t="s">
        <v>1102</v>
      </c>
      <c r="C1434" s="741"/>
      <c r="D1434" s="742"/>
      <c r="E1434" s="742"/>
      <c r="F1434" s="742"/>
      <c r="G1434" s="742"/>
      <c r="H1434" s="742"/>
      <c r="I1434" s="742"/>
      <c r="J1434" s="742"/>
      <c r="K1434" s="742"/>
      <c r="L1434" s="742"/>
      <c r="M1434" s="742"/>
      <c r="N1434" s="742"/>
      <c r="O1434" s="742"/>
      <c r="P1434" s="742"/>
      <c r="Q1434" s="742"/>
      <c r="R1434" s="742"/>
      <c r="S1434" s="742"/>
      <c r="T1434" s="742"/>
      <c r="U1434" s="742"/>
      <c r="V1434" s="742"/>
      <c r="W1434" s="742"/>
      <c r="X1434" s="742"/>
      <c r="Y1434" s="742"/>
      <c r="Z1434" s="742"/>
      <c r="AA1434" s="742"/>
      <c r="AB1434" s="742"/>
      <c r="AC1434" s="742"/>
      <c r="AD1434" s="742"/>
      <c r="AE1434" s="742"/>
      <c r="AF1434" s="742"/>
      <c r="AG1434" s="742"/>
      <c r="AH1434" s="742"/>
      <c r="AI1434" s="742"/>
      <c r="AJ1434" s="742"/>
      <c r="AK1434" s="742"/>
      <c r="AL1434" s="742"/>
      <c r="AM1434" s="742"/>
      <c r="AN1434" s="742"/>
      <c r="AO1434" s="742"/>
      <c r="AP1434" s="742"/>
      <c r="AQ1434" s="742"/>
      <c r="AR1434" s="742"/>
      <c r="AS1434" s="742"/>
      <c r="AT1434" s="2"/>
      <c r="AU1434" s="2"/>
    </row>
    <row r="1435" spans="1:47" hidden="1" outlineLevel="1">
      <c r="A1435" s="298"/>
      <c r="B1435" s="2"/>
      <c r="C1435" s="18"/>
      <c r="D1435" s="18"/>
      <c r="E1435" s="18"/>
      <c r="F1435" s="18"/>
      <c r="G1435" s="18"/>
      <c r="H1435" s="18"/>
      <c r="I1435" s="18"/>
      <c r="J1435" s="18"/>
      <c r="K1435" s="2"/>
      <c r="L1435" s="2"/>
      <c r="M1435" s="2"/>
      <c r="N1435" s="2"/>
      <c r="O1435" s="2"/>
      <c r="P1435" s="2"/>
      <c r="Q1435" s="2"/>
      <c r="R1435" s="2"/>
      <c r="S1435" s="2"/>
      <c r="T1435" s="2"/>
      <c r="U1435" s="3"/>
      <c r="V1435" s="3"/>
      <c r="W1435" s="2"/>
      <c r="X1435" s="2"/>
      <c r="Y1435" s="2"/>
      <c r="Z1435" s="2"/>
      <c r="AA1435" s="2"/>
      <c r="AB1435" s="2"/>
      <c r="AC1435" s="2"/>
      <c r="AD1435" s="2"/>
      <c r="AE1435" s="2"/>
      <c r="AF1435" s="2"/>
      <c r="AG1435" s="2"/>
      <c r="AH1435" s="2"/>
      <c r="AI1435" s="2"/>
      <c r="AJ1435" s="2"/>
      <c r="AK1435" s="2"/>
      <c r="AL1435" s="2"/>
      <c r="AM1435" s="2"/>
      <c r="AN1435" s="2"/>
      <c r="AO1435" s="2"/>
      <c r="AP1435" s="2"/>
      <c r="AQ1435" s="2"/>
      <c r="AR1435" s="2"/>
      <c r="AS1435" s="2"/>
      <c r="AT1435" s="2"/>
      <c r="AU1435" s="2"/>
    </row>
    <row r="1436" spans="1:47" ht="15.6" hidden="1" outlineLevel="1">
      <c r="A1436" s="298"/>
      <c r="B1436" s="237" t="s">
        <v>331</v>
      </c>
      <c r="C1436" s="238"/>
      <c r="D1436" s="239"/>
      <c r="E1436" s="239"/>
      <c r="F1436" s="239"/>
      <c r="G1436" s="239"/>
      <c r="H1436" s="239"/>
      <c r="I1436" s="239"/>
      <c r="J1436" s="239"/>
      <c r="K1436" s="239"/>
      <c r="L1436" s="239"/>
      <c r="M1436" s="239"/>
      <c r="N1436" s="239"/>
      <c r="O1436" s="239"/>
      <c r="P1436" s="239"/>
      <c r="Q1436" s="239"/>
      <c r="R1436" s="239"/>
      <c r="S1436" s="239"/>
      <c r="T1436" s="239"/>
      <c r="U1436" s="239"/>
      <c r="V1436" s="239"/>
      <c r="W1436" s="239"/>
      <c r="X1436" s="239"/>
      <c r="Y1436" s="239"/>
      <c r="Z1436" s="239"/>
      <c r="AA1436" s="239"/>
      <c r="AB1436" s="239"/>
      <c r="AC1436" s="239"/>
      <c r="AD1436" s="239"/>
      <c r="AE1436" s="239"/>
      <c r="AF1436" s="239"/>
      <c r="AG1436" s="239"/>
      <c r="AH1436" s="239"/>
      <c r="AI1436" s="239"/>
      <c r="AJ1436" s="239"/>
      <c r="AK1436" s="239"/>
      <c r="AL1436" s="239"/>
      <c r="AM1436" s="239"/>
      <c r="AN1436" s="239"/>
      <c r="AO1436" s="270"/>
      <c r="AP1436" s="240"/>
      <c r="AQ1436" s="240"/>
      <c r="AR1436" s="240"/>
      <c r="AS1436" s="240"/>
      <c r="AT1436" s="2"/>
      <c r="AU1436" s="2"/>
    </row>
    <row r="1437" spans="1:47" hidden="1" outlineLevel="1">
      <c r="A1437" s="298"/>
      <c r="B1437" s="6"/>
      <c r="C1437" s="18"/>
      <c r="D1437" s="18"/>
      <c r="E1437" s="18"/>
      <c r="F1437" s="18"/>
      <c r="G1437" s="18"/>
      <c r="H1437" s="18"/>
      <c r="I1437" s="18"/>
      <c r="J1437" s="18"/>
      <c r="K1437" s="2"/>
      <c r="L1437" s="2"/>
      <c r="M1437" s="2"/>
      <c r="N1437" s="2"/>
      <c r="O1437" s="2"/>
      <c r="P1437" s="2"/>
      <c r="Q1437" s="2"/>
      <c r="R1437" s="2"/>
      <c r="S1437" s="2"/>
      <c r="T1437" s="2"/>
      <c r="U1437" s="2"/>
      <c r="V1437" s="2"/>
      <c r="W1437" s="2"/>
      <c r="X1437" s="2"/>
      <c r="Y1437" s="2"/>
      <c r="Z1437" s="2"/>
      <c r="AA1437" s="2"/>
      <c r="AB1437" s="2"/>
      <c r="AC1437" s="2"/>
      <c r="AD1437" s="2"/>
      <c r="AE1437" s="2"/>
      <c r="AF1437" s="2"/>
      <c r="AG1437" s="2"/>
      <c r="AH1437" s="2"/>
      <c r="AI1437" s="2"/>
      <c r="AJ1437" s="2"/>
      <c r="AK1437" s="2"/>
      <c r="AL1437" s="2"/>
      <c r="AM1437" s="2"/>
      <c r="AN1437" s="2"/>
      <c r="AO1437" s="2"/>
      <c r="AP1437" s="2"/>
      <c r="AQ1437" s="2"/>
      <c r="AR1437" s="2"/>
      <c r="AS1437" s="2"/>
      <c r="AT1437" s="2"/>
      <c r="AU1437" s="2"/>
    </row>
    <row r="1438" spans="1:47" hidden="1" outlineLevel="1">
      <c r="A1438" s="298"/>
      <c r="B1438" s="6" t="s">
        <v>1115</v>
      </c>
      <c r="C1438" s="18"/>
      <c r="D1438" s="18"/>
      <c r="E1438" s="18"/>
      <c r="F1438" s="18"/>
      <c r="G1438" s="18"/>
      <c r="H1438" s="18"/>
      <c r="I1438" s="18"/>
      <c r="J1438" s="18"/>
      <c r="K1438" s="2"/>
      <c r="L1438" s="2"/>
      <c r="M1438" s="2"/>
      <c r="N1438" s="2"/>
      <c r="O1438" s="2"/>
      <c r="P1438" s="2"/>
      <c r="Q1438" s="2"/>
      <c r="R1438" s="2"/>
      <c r="S1438" s="2"/>
      <c r="T1438" s="2"/>
      <c r="U1438" s="2"/>
      <c r="V1438" s="2"/>
      <c r="W1438" s="2"/>
      <c r="X1438" s="2"/>
      <c r="Y1438" s="2"/>
      <c r="Z1438" s="2"/>
      <c r="AA1438" s="2"/>
      <c r="AB1438" s="2"/>
      <c r="AC1438" s="2"/>
      <c r="AD1438" s="2"/>
      <c r="AE1438" s="2"/>
      <c r="AF1438" s="2"/>
      <c r="AG1438" s="2"/>
      <c r="AH1438" s="2"/>
      <c r="AI1438" s="2"/>
      <c r="AJ1438" s="2"/>
      <c r="AK1438" s="2"/>
      <c r="AL1438" s="2"/>
      <c r="AM1438" s="2"/>
      <c r="AN1438" s="2"/>
      <c r="AO1438" s="2"/>
      <c r="AP1438" s="2"/>
      <c r="AQ1438" s="2"/>
      <c r="AR1438" s="2"/>
      <c r="AS1438" s="2"/>
      <c r="AT1438" s="2"/>
      <c r="AU1438" s="2"/>
    </row>
    <row r="1439" spans="1:47" hidden="1" outlineLevel="1">
      <c r="A1439" s="298"/>
      <c r="B1439" s="55" t="s">
        <v>637</v>
      </c>
      <c r="C1439" s="18" t="s">
        <v>180</v>
      </c>
      <c r="D1439" s="18"/>
      <c r="E1439" s="18"/>
      <c r="F1439" s="18"/>
      <c r="G1439" s="18"/>
      <c r="H1439" s="18"/>
      <c r="I1439" s="18"/>
      <c r="J1439" s="18"/>
      <c r="K1439" s="2"/>
      <c r="L1439" s="2"/>
      <c r="M1439" s="2"/>
      <c r="N1439" s="2"/>
      <c r="O1439" s="2"/>
      <c r="P1439" s="2"/>
      <c r="Q1439" s="2"/>
      <c r="R1439" s="2"/>
      <c r="S1439" s="530">
        <v>7.8650000000000002</v>
      </c>
      <c r="T1439" s="530">
        <v>7.7329999999999997</v>
      </c>
      <c r="U1439" s="530">
        <v>7.407</v>
      </c>
      <c r="V1439" s="530">
        <v>7.1580000000000004</v>
      </c>
      <c r="W1439" s="579">
        <v>6.8769999999999998</v>
      </c>
      <c r="X1439" s="579">
        <v>6.5430000000000001</v>
      </c>
      <c r="Y1439" s="83">
        <v>0.32799999999999996</v>
      </c>
      <c r="Z1439" s="83">
        <v>0.53299999999999992</v>
      </c>
      <c r="AA1439" s="83">
        <v>1.0249999999999999</v>
      </c>
      <c r="AB1439" s="83">
        <v>1.4349999999999998</v>
      </c>
      <c r="AC1439" s="83">
        <v>1.845</v>
      </c>
      <c r="AD1439" s="83">
        <v>2.4599999999999995</v>
      </c>
      <c r="AE1439" s="83">
        <v>3.2800000000000002</v>
      </c>
      <c r="AF1439" s="83">
        <v>3.69</v>
      </c>
      <c r="AG1439" s="83">
        <v>4.0999999999999996</v>
      </c>
      <c r="AH1439" s="83">
        <v>4.0999999999999996</v>
      </c>
      <c r="AI1439" s="83">
        <v>4.0999999999999996</v>
      </c>
      <c r="AJ1439" s="83">
        <v>0</v>
      </c>
      <c r="AK1439" s="83">
        <v>0</v>
      </c>
      <c r="AL1439" s="83">
        <v>0</v>
      </c>
      <c r="AM1439" s="83">
        <v>0</v>
      </c>
      <c r="AN1439" s="83">
        <v>0</v>
      </c>
      <c r="AO1439" s="83">
        <v>0</v>
      </c>
      <c r="AP1439" s="83">
        <v>0</v>
      </c>
      <c r="AQ1439" s="83">
        <v>0</v>
      </c>
      <c r="AR1439" s="83">
        <v>0</v>
      </c>
      <c r="AS1439" s="83">
        <v>0</v>
      </c>
      <c r="AT1439" s="2"/>
      <c r="AU1439" s="2"/>
    </row>
    <row r="1440" spans="1:47" hidden="1" outlineLevel="1">
      <c r="A1440" s="298"/>
      <c r="B1440" s="241" t="s">
        <v>1099</v>
      </c>
      <c r="C1440" s="18" t="s">
        <v>733</v>
      </c>
      <c r="D1440" s="18"/>
      <c r="E1440" s="18"/>
      <c r="F1440" s="18"/>
      <c r="G1440" s="18"/>
      <c r="H1440" s="18"/>
      <c r="I1440" s="18"/>
      <c r="J1440" s="18"/>
      <c r="K1440" s="2"/>
      <c r="L1440" s="2"/>
      <c r="M1440" s="2"/>
      <c r="N1440" s="2"/>
      <c r="O1440" s="2"/>
      <c r="P1440" s="2"/>
      <c r="Q1440" s="2"/>
      <c r="R1440" s="2"/>
      <c r="S1440" s="2"/>
      <c r="T1440" s="5">
        <v>-1.6783216783216814E-2</v>
      </c>
      <c r="U1440" s="5">
        <v>-4.2156989525410582E-2</v>
      </c>
      <c r="V1440" s="5">
        <v>-3.3616848926690923E-2</v>
      </c>
      <c r="W1440" s="5">
        <v>-3.9256775635652441E-2</v>
      </c>
      <c r="X1440" s="5">
        <v>-4.8567689399447334E-2</v>
      </c>
      <c r="Y1440" s="5">
        <v>-0.94987009017270363</v>
      </c>
      <c r="Z1440" s="5">
        <v>0.625</v>
      </c>
      <c r="AA1440" s="5">
        <v>0.92307692307692313</v>
      </c>
      <c r="AB1440" s="5">
        <v>0.39999999999999991</v>
      </c>
      <c r="AC1440" s="5">
        <v>0.28571428571428581</v>
      </c>
      <c r="AD1440" s="5">
        <v>0.33333333333333304</v>
      </c>
      <c r="AE1440" s="5">
        <v>0.3333333333333337</v>
      </c>
      <c r="AF1440" s="5">
        <v>0.125</v>
      </c>
      <c r="AG1440" s="5">
        <v>0.11111111111111094</v>
      </c>
      <c r="AH1440" s="5">
        <v>0</v>
      </c>
      <c r="AI1440" s="5">
        <v>0</v>
      </c>
      <c r="AJ1440" s="5">
        <v>-1</v>
      </c>
      <c r="AK1440" s="5"/>
      <c r="AL1440" s="5"/>
      <c r="AM1440" s="5"/>
      <c r="AN1440" s="5"/>
      <c r="AO1440" s="5"/>
      <c r="AP1440" s="5"/>
      <c r="AQ1440" s="5"/>
      <c r="AR1440" s="5"/>
      <c r="AS1440" s="5"/>
      <c r="AT1440" s="2"/>
      <c r="AU1440" s="2"/>
    </row>
    <row r="1441" spans="1:47" hidden="1" outlineLevel="1">
      <c r="A1441" s="298"/>
      <c r="B1441" s="55" t="s">
        <v>295</v>
      </c>
      <c r="C1441" s="18" t="s">
        <v>180</v>
      </c>
      <c r="D1441" s="18"/>
      <c r="E1441" s="18"/>
      <c r="F1441" s="18"/>
      <c r="G1441" s="18"/>
      <c r="H1441" s="18"/>
      <c r="I1441" s="18"/>
      <c r="J1441" s="18"/>
      <c r="K1441" s="2"/>
      <c r="L1441" s="2"/>
      <c r="M1441" s="2"/>
      <c r="N1441" s="2"/>
      <c r="O1441" s="2"/>
      <c r="P1441" s="2"/>
      <c r="Q1441" s="2"/>
      <c r="R1441" s="2"/>
      <c r="S1441" s="530">
        <v>1.496</v>
      </c>
      <c r="T1441" s="530">
        <v>1.2849999999999999</v>
      </c>
      <c r="U1441" s="530">
        <v>1.2529999999999999</v>
      </c>
      <c r="V1441" s="530">
        <v>1.212</v>
      </c>
      <c r="W1441" s="566">
        <v>1.18</v>
      </c>
      <c r="X1441" s="566">
        <v>1.2390000000000001</v>
      </c>
      <c r="Y1441" s="83">
        <v>1.1877755511022046</v>
      </c>
      <c r="Z1441" s="83">
        <v>1.2286573146292585</v>
      </c>
      <c r="AA1441" s="83">
        <v>1.3867735470941884</v>
      </c>
      <c r="AB1441" s="83">
        <v>1.2685370741482966</v>
      </c>
      <c r="AC1441" s="83">
        <v>1.1503006012024048</v>
      </c>
      <c r="AD1441" s="83">
        <v>0.97294589178356716</v>
      </c>
      <c r="AE1441" s="83">
        <v>0.73647294589178358</v>
      </c>
      <c r="AF1441" s="83">
        <v>0.61823647294589168</v>
      </c>
      <c r="AG1441" s="83">
        <v>0.5</v>
      </c>
      <c r="AH1441" s="83">
        <v>0.5</v>
      </c>
      <c r="AI1441" s="83">
        <v>0.5</v>
      </c>
      <c r="AJ1441" s="83">
        <v>0</v>
      </c>
      <c r="AK1441" s="83">
        <v>0</v>
      </c>
      <c r="AL1441" s="83">
        <v>0</v>
      </c>
      <c r="AM1441" s="83">
        <v>0</v>
      </c>
      <c r="AN1441" s="83">
        <v>0</v>
      </c>
      <c r="AO1441" s="83">
        <v>0</v>
      </c>
      <c r="AP1441" s="83">
        <v>0</v>
      </c>
      <c r="AQ1441" s="83">
        <v>0</v>
      </c>
      <c r="AR1441" s="83">
        <v>0</v>
      </c>
      <c r="AS1441" s="83">
        <v>0</v>
      </c>
      <c r="AT1441" s="2"/>
      <c r="AU1441" s="2"/>
    </row>
    <row r="1442" spans="1:47" hidden="1" outlineLevel="1">
      <c r="A1442" s="298"/>
      <c r="B1442" s="431" t="s">
        <v>1099</v>
      </c>
      <c r="C1442" s="22" t="s">
        <v>733</v>
      </c>
      <c r="D1442" s="22"/>
      <c r="E1442" s="22"/>
      <c r="F1442" s="22"/>
      <c r="G1442" s="22"/>
      <c r="H1442" s="22"/>
      <c r="I1442" s="22"/>
      <c r="J1442" s="22"/>
      <c r="K1442" s="23"/>
      <c r="L1442" s="23"/>
      <c r="M1442" s="23"/>
      <c r="N1442" s="23"/>
      <c r="O1442" s="23"/>
      <c r="P1442" s="23"/>
      <c r="Q1442" s="23"/>
      <c r="R1442" s="23"/>
      <c r="S1442" s="23"/>
      <c r="T1442" s="91">
        <v>-0.14104278074866317</v>
      </c>
      <c r="U1442" s="91">
        <v>-2.4902723735408583E-2</v>
      </c>
      <c r="V1442" s="91">
        <v>-3.2721468475658377E-2</v>
      </c>
      <c r="W1442" s="91">
        <v>-2.6402640264026389E-2</v>
      </c>
      <c r="X1442" s="91">
        <v>5.0000000000000044E-2</v>
      </c>
      <c r="Y1442" s="91">
        <v>-4.1343380869891422E-2</v>
      </c>
      <c r="Z1442" s="91">
        <v>3.4418761599460002E-2</v>
      </c>
      <c r="AA1442" s="91">
        <v>0.12869026259990224</v>
      </c>
      <c r="AB1442" s="91">
        <v>-8.5260115606936471E-2</v>
      </c>
      <c r="AC1442" s="91">
        <v>-9.3206951026856277E-2</v>
      </c>
      <c r="AD1442" s="91">
        <v>-0.15418118466898956</v>
      </c>
      <c r="AE1442" s="91">
        <v>-0.24304840370751801</v>
      </c>
      <c r="AF1442" s="91">
        <v>-0.16054421768707494</v>
      </c>
      <c r="AG1442" s="91">
        <v>-0.19124797406807115</v>
      </c>
      <c r="AH1442" s="91">
        <v>0</v>
      </c>
      <c r="AI1442" s="91">
        <v>0</v>
      </c>
      <c r="AJ1442" s="91">
        <v>-1</v>
      </c>
      <c r="AK1442" s="91"/>
      <c r="AL1442" s="91"/>
      <c r="AM1442" s="91"/>
      <c r="AN1442" s="91"/>
      <c r="AO1442" s="91"/>
      <c r="AP1442" s="91"/>
      <c r="AQ1442" s="91"/>
      <c r="AR1442" s="91"/>
      <c r="AS1442" s="91"/>
      <c r="AT1442" s="2"/>
      <c r="AU1442" s="2"/>
    </row>
    <row r="1443" spans="1:47" hidden="1" outlineLevel="1">
      <c r="A1443" s="298"/>
      <c r="B1443" s="59" t="s">
        <v>302</v>
      </c>
      <c r="C1443" s="21" t="s">
        <v>180</v>
      </c>
      <c r="D1443" s="21"/>
      <c r="E1443" s="21"/>
      <c r="F1443" s="21"/>
      <c r="G1443" s="21"/>
      <c r="H1443" s="21"/>
      <c r="I1443" s="21"/>
      <c r="J1443" s="21"/>
      <c r="K1443" s="2"/>
      <c r="L1443" s="2"/>
      <c r="M1443" s="2"/>
      <c r="N1443" s="2"/>
      <c r="O1443" s="2"/>
      <c r="P1443" s="2"/>
      <c r="Q1443" s="2"/>
      <c r="R1443" s="2"/>
      <c r="S1443" s="4">
        <v>9.3610000000000007</v>
      </c>
      <c r="T1443" s="4">
        <v>9.0179999999999989</v>
      </c>
      <c r="U1443" s="4">
        <v>8.66</v>
      </c>
      <c r="V1443" s="4">
        <v>8.370000000000001</v>
      </c>
      <c r="W1443" s="4">
        <v>8.0570000000000004</v>
      </c>
      <c r="X1443" s="4">
        <v>7.782</v>
      </c>
      <c r="Y1443" s="4">
        <v>1.5157755511022044</v>
      </c>
      <c r="Z1443" s="4">
        <v>1.7616573146292585</v>
      </c>
      <c r="AA1443" s="4">
        <v>2.4117735470941883</v>
      </c>
      <c r="AB1443" s="4">
        <v>2.7035370741482962</v>
      </c>
      <c r="AC1443" s="4">
        <v>2.9953006012024046</v>
      </c>
      <c r="AD1443" s="4">
        <v>3.4329458917835667</v>
      </c>
      <c r="AE1443" s="4">
        <v>4.0164729458917838</v>
      </c>
      <c r="AF1443" s="4">
        <v>4.3082364729458913</v>
      </c>
      <c r="AG1443" s="4">
        <v>4.5999999999999996</v>
      </c>
      <c r="AH1443" s="4">
        <v>4.5999999999999996</v>
      </c>
      <c r="AI1443" s="4">
        <v>4.5999999999999996</v>
      </c>
      <c r="AJ1443" s="4">
        <v>0</v>
      </c>
      <c r="AK1443" s="4">
        <v>0</v>
      </c>
      <c r="AL1443" s="4">
        <v>0</v>
      </c>
      <c r="AM1443" s="4">
        <v>0</v>
      </c>
      <c r="AN1443" s="4">
        <v>0</v>
      </c>
      <c r="AO1443" s="4">
        <v>0</v>
      </c>
      <c r="AP1443" s="4">
        <v>0</v>
      </c>
      <c r="AQ1443" s="4">
        <v>0</v>
      </c>
      <c r="AR1443" s="4">
        <v>0</v>
      </c>
      <c r="AS1443" s="4">
        <v>0</v>
      </c>
      <c r="AT1443" s="2"/>
      <c r="AU1443" s="2"/>
    </row>
    <row r="1444" spans="1:47" hidden="1" outlineLevel="1">
      <c r="A1444" s="298"/>
      <c r="B1444" s="241" t="s">
        <v>1099</v>
      </c>
      <c r="C1444" s="18" t="s">
        <v>733</v>
      </c>
      <c r="D1444" s="18"/>
      <c r="E1444" s="18"/>
      <c r="F1444" s="18"/>
      <c r="G1444" s="18"/>
      <c r="H1444" s="18"/>
      <c r="I1444" s="18"/>
      <c r="J1444" s="18"/>
      <c r="K1444" s="2"/>
      <c r="L1444" s="2"/>
      <c r="M1444" s="2"/>
      <c r="N1444" s="2"/>
      <c r="O1444" s="2"/>
      <c r="P1444" s="2"/>
      <c r="Q1444" s="2"/>
      <c r="R1444" s="2"/>
      <c r="S1444" s="2"/>
      <c r="T1444" s="5">
        <v>-3.6641384467471561E-2</v>
      </c>
      <c r="U1444" s="5">
        <v>-3.9698381015746187E-2</v>
      </c>
      <c r="V1444" s="5">
        <v>-3.3487297921477976E-2</v>
      </c>
      <c r="W1444" s="5">
        <v>-3.7395459976105161E-2</v>
      </c>
      <c r="X1444" s="5">
        <v>-3.4131810847710109E-2</v>
      </c>
      <c r="Y1444" s="5">
        <v>-0.80522030954739088</v>
      </c>
      <c r="Z1444" s="5">
        <v>0.16221515339013082</v>
      </c>
      <c r="AA1444" s="5">
        <v>0.36903671733781396</v>
      </c>
      <c r="AB1444" s="5">
        <v>0.12097467749641644</v>
      </c>
      <c r="AC1444" s="5">
        <v>0.10791918847498083</v>
      </c>
      <c r="AD1444" s="5">
        <v>0.14611064091713466</v>
      </c>
      <c r="AE1444" s="5">
        <v>0.16997851772287875</v>
      </c>
      <c r="AF1444" s="5">
        <v>7.2641725958227932E-2</v>
      </c>
      <c r="AG1444" s="5">
        <v>6.77222638279662E-2</v>
      </c>
      <c r="AH1444" s="5">
        <v>0</v>
      </c>
      <c r="AI1444" s="5">
        <v>0</v>
      </c>
      <c r="AJ1444" s="5">
        <v>-1</v>
      </c>
      <c r="AK1444" s="5"/>
      <c r="AL1444" s="5"/>
      <c r="AM1444" s="5"/>
      <c r="AN1444" s="5"/>
      <c r="AO1444" s="5"/>
      <c r="AP1444" s="5"/>
      <c r="AQ1444" s="5"/>
      <c r="AR1444" s="5"/>
      <c r="AS1444" s="5"/>
      <c r="AT1444" s="2"/>
      <c r="AU1444" s="2"/>
    </row>
    <row r="1445" spans="1:47" hidden="1" outlineLevel="1">
      <c r="A1445" s="298"/>
      <c r="B1445" s="55"/>
      <c r="C1445" s="18"/>
      <c r="D1445" s="18"/>
      <c r="E1445" s="18"/>
      <c r="F1445" s="18"/>
      <c r="G1445" s="18"/>
      <c r="H1445" s="18"/>
      <c r="I1445" s="18"/>
      <c r="J1445" s="18"/>
      <c r="K1445" s="2"/>
      <c r="L1445" s="2"/>
      <c r="M1445" s="2"/>
      <c r="N1445" s="2"/>
      <c r="O1445" s="2"/>
      <c r="P1445" s="2"/>
      <c r="Q1445" s="2"/>
      <c r="R1445" s="2"/>
      <c r="S1445" s="2"/>
      <c r="T1445" s="5"/>
      <c r="U1445" s="5"/>
      <c r="V1445" s="5"/>
      <c r="W1445" s="5"/>
      <c r="X1445" s="5"/>
      <c r="Y1445" s="5"/>
      <c r="Z1445" s="5"/>
      <c r="AA1445" s="5"/>
      <c r="AB1445" s="5"/>
      <c r="AC1445" s="5"/>
      <c r="AD1445" s="5"/>
      <c r="AE1445" s="5"/>
      <c r="AF1445" s="5"/>
      <c r="AG1445" s="5"/>
      <c r="AH1445" s="5"/>
      <c r="AI1445" s="5"/>
      <c r="AJ1445" s="5"/>
      <c r="AK1445" s="5"/>
      <c r="AL1445" s="5"/>
      <c r="AM1445" s="5"/>
      <c r="AN1445" s="5"/>
      <c r="AO1445" s="5"/>
      <c r="AP1445" s="5"/>
      <c r="AQ1445" s="5"/>
      <c r="AR1445" s="5"/>
      <c r="AS1445" s="5"/>
      <c r="AT1445" s="2"/>
      <c r="AU1445" s="2"/>
    </row>
    <row r="1446" spans="1:47" hidden="1" outlineLevel="1">
      <c r="A1446" s="298"/>
      <c r="B1446" s="2" t="s">
        <v>640</v>
      </c>
      <c r="C1446" s="18"/>
      <c r="D1446" s="18"/>
      <c r="E1446" s="18"/>
      <c r="F1446" s="18"/>
      <c r="G1446" s="18"/>
      <c r="H1446" s="18"/>
      <c r="I1446" s="18"/>
      <c r="J1446" s="18"/>
      <c r="K1446" s="2"/>
      <c r="L1446" s="2"/>
      <c r="M1446" s="2"/>
      <c r="N1446" s="2"/>
      <c r="O1446" s="2"/>
      <c r="P1446" s="2"/>
      <c r="Q1446" s="2"/>
      <c r="R1446" s="2"/>
      <c r="S1446" s="2"/>
      <c r="T1446" s="5"/>
      <c r="U1446" s="5"/>
      <c r="V1446" s="563">
        <v>0.99862099999999998</v>
      </c>
      <c r="W1446" s="563">
        <v>1.15099</v>
      </c>
      <c r="X1446" s="2"/>
      <c r="Y1446" s="5"/>
      <c r="Z1446" s="5"/>
      <c r="AA1446" s="5"/>
      <c r="AB1446" s="5"/>
      <c r="AC1446" s="5"/>
      <c r="AD1446" s="5"/>
      <c r="AE1446" s="5"/>
      <c r="AF1446" s="5"/>
      <c r="AG1446" s="5"/>
      <c r="AH1446" s="5"/>
      <c r="AI1446" s="5"/>
      <c r="AJ1446" s="5"/>
      <c r="AK1446" s="5"/>
      <c r="AL1446" s="5"/>
      <c r="AM1446" s="5"/>
      <c r="AN1446" s="5"/>
      <c r="AO1446" s="5"/>
      <c r="AP1446" s="5"/>
      <c r="AQ1446" s="5"/>
      <c r="AR1446" s="5"/>
      <c r="AS1446" s="5"/>
      <c r="AT1446" s="2"/>
      <c r="AU1446" s="2"/>
    </row>
    <row r="1447" spans="1:47" hidden="1" outlineLevel="1">
      <c r="A1447" s="298"/>
      <c r="B1447" s="2"/>
      <c r="C1447" s="18"/>
      <c r="D1447" s="18"/>
      <c r="E1447" s="18"/>
      <c r="F1447" s="18"/>
      <c r="G1447" s="18"/>
      <c r="H1447" s="18"/>
      <c r="I1447" s="18"/>
      <c r="J1447" s="18"/>
      <c r="K1447" s="2"/>
      <c r="L1447" s="2"/>
      <c r="M1447" s="2"/>
      <c r="N1447" s="2"/>
      <c r="O1447" s="2"/>
      <c r="P1447" s="2"/>
      <c r="Q1447" s="2"/>
      <c r="R1447" s="2"/>
      <c r="S1447" s="2"/>
      <c r="T1447" s="2"/>
      <c r="U1447" s="2"/>
      <c r="V1447" s="92"/>
      <c r="W1447" s="2"/>
      <c r="X1447" s="2"/>
      <c r="Y1447" s="2"/>
      <c r="Z1447" s="2"/>
      <c r="AA1447" s="2"/>
      <c r="AB1447" s="2"/>
      <c r="AC1447" s="2"/>
      <c r="AD1447" s="2"/>
      <c r="AE1447" s="2"/>
      <c r="AF1447" s="2"/>
      <c r="AG1447" s="2"/>
      <c r="AH1447" s="2"/>
      <c r="AI1447" s="2"/>
      <c r="AJ1447" s="2"/>
      <c r="AK1447" s="2"/>
      <c r="AL1447" s="2"/>
      <c r="AM1447" s="2"/>
      <c r="AN1447" s="2"/>
      <c r="AO1447" s="2"/>
      <c r="AP1447" s="2"/>
      <c r="AQ1447" s="2"/>
      <c r="AR1447" s="2"/>
      <c r="AS1447" s="2"/>
      <c r="AT1447" s="2"/>
      <c r="AU1447" s="2"/>
    </row>
    <row r="1448" spans="1:47" hidden="1" outlineLevel="1">
      <c r="A1448" s="298"/>
      <c r="B1448" s="6" t="s">
        <v>1116</v>
      </c>
      <c r="C1448" s="18"/>
      <c r="D1448" s="18"/>
      <c r="E1448" s="18"/>
      <c r="F1448" s="18"/>
      <c r="G1448" s="18"/>
      <c r="H1448" s="18"/>
      <c r="I1448" s="18"/>
      <c r="J1448" s="18"/>
      <c r="K1448" s="2"/>
      <c r="L1448" s="2"/>
      <c r="M1448" s="2"/>
      <c r="N1448" s="2"/>
      <c r="O1448" s="2"/>
      <c r="P1448" s="2"/>
      <c r="Q1448" s="2"/>
      <c r="R1448" s="2"/>
      <c r="S1448" s="2"/>
      <c r="T1448" s="2"/>
      <c r="U1448" s="2"/>
      <c r="V1448" s="2"/>
      <c r="W1448" s="2"/>
      <c r="X1448" s="2"/>
      <c r="Y1448" s="2"/>
      <c r="Z1448" s="2"/>
      <c r="AA1448" s="2"/>
      <c r="AB1448" s="2"/>
      <c r="AC1448" s="2"/>
      <c r="AD1448" s="2"/>
      <c r="AE1448" s="2"/>
      <c r="AF1448" s="2"/>
      <c r="AG1448" s="2"/>
      <c r="AH1448" s="2"/>
      <c r="AI1448" s="2"/>
      <c r="AJ1448" s="2"/>
      <c r="AK1448" s="2"/>
      <c r="AL1448" s="2"/>
      <c r="AM1448" s="2"/>
      <c r="AN1448" s="2"/>
      <c r="AO1448" s="2"/>
      <c r="AP1448" s="2"/>
      <c r="AQ1448" s="2"/>
      <c r="AR1448" s="2"/>
      <c r="AS1448" s="2"/>
      <c r="AT1448" s="2"/>
      <c r="AU1448" s="2"/>
    </row>
    <row r="1449" spans="1:47" hidden="1" outlineLevel="1">
      <c r="A1449" s="298"/>
      <c r="B1449" s="55" t="s">
        <v>637</v>
      </c>
      <c r="C1449" s="18" t="s">
        <v>180</v>
      </c>
      <c r="D1449" s="18"/>
      <c r="E1449" s="18"/>
      <c r="F1449" s="18"/>
      <c r="G1449" s="18"/>
      <c r="H1449" s="18"/>
      <c r="I1449" s="18"/>
      <c r="J1449" s="18"/>
      <c r="K1449" s="2"/>
      <c r="L1449" s="2"/>
      <c r="M1449" s="2"/>
      <c r="N1449" s="2"/>
      <c r="O1449" s="2"/>
      <c r="P1449" s="2"/>
      <c r="Q1449" s="2"/>
      <c r="R1449" s="2"/>
      <c r="S1449" s="2"/>
      <c r="T1449" s="3">
        <v>7.7989999999999995</v>
      </c>
      <c r="U1449" s="3">
        <v>7.57</v>
      </c>
      <c r="V1449" s="3">
        <v>7.2825000000000006</v>
      </c>
      <c r="W1449" s="3">
        <v>7.0175000000000001</v>
      </c>
      <c r="X1449" s="3">
        <v>6.71</v>
      </c>
      <c r="Y1449" s="3">
        <v>3.4355000000000002</v>
      </c>
      <c r="Z1449" s="3">
        <v>0.43049999999999994</v>
      </c>
      <c r="AA1449" s="3">
        <v>0.77899999999999991</v>
      </c>
      <c r="AB1449" s="3">
        <v>1.23</v>
      </c>
      <c r="AC1449" s="3">
        <v>1.64</v>
      </c>
      <c r="AD1449" s="3">
        <v>2.1524999999999999</v>
      </c>
      <c r="AE1449" s="3">
        <v>2.87</v>
      </c>
      <c r="AF1449" s="3">
        <v>3.4850000000000003</v>
      </c>
      <c r="AG1449" s="3">
        <v>3.8949999999999996</v>
      </c>
      <c r="AH1449" s="3">
        <v>4.0999999999999996</v>
      </c>
      <c r="AI1449" s="3">
        <v>4.0999999999999996</v>
      </c>
      <c r="AJ1449" s="3">
        <v>2.0499999999999998</v>
      </c>
      <c r="AK1449" s="3">
        <v>0</v>
      </c>
      <c r="AL1449" s="3">
        <v>0</v>
      </c>
      <c r="AM1449" s="3">
        <v>0</v>
      </c>
      <c r="AN1449" s="3">
        <v>0</v>
      </c>
      <c r="AO1449" s="3">
        <v>0</v>
      </c>
      <c r="AP1449" s="3">
        <v>0</v>
      </c>
      <c r="AQ1449" s="3">
        <v>0</v>
      </c>
      <c r="AR1449" s="3">
        <v>0</v>
      </c>
      <c r="AS1449" s="3">
        <v>0</v>
      </c>
      <c r="AT1449" s="2"/>
      <c r="AU1449" s="2"/>
    </row>
    <row r="1450" spans="1:47" hidden="1" outlineLevel="1">
      <c r="A1450" s="298"/>
      <c r="B1450" s="57" t="s">
        <v>295</v>
      </c>
      <c r="C1450" s="22" t="s">
        <v>180</v>
      </c>
      <c r="D1450" s="22"/>
      <c r="E1450" s="22"/>
      <c r="F1450" s="22"/>
      <c r="G1450" s="22"/>
      <c r="H1450" s="22"/>
      <c r="I1450" s="22"/>
      <c r="J1450" s="22"/>
      <c r="K1450" s="23"/>
      <c r="L1450" s="23"/>
      <c r="M1450" s="23"/>
      <c r="N1450" s="23"/>
      <c r="O1450" s="23"/>
      <c r="P1450" s="23"/>
      <c r="Q1450" s="23"/>
      <c r="R1450" s="23"/>
      <c r="S1450" s="23"/>
      <c r="T1450" s="84">
        <v>1.3904999999999998</v>
      </c>
      <c r="U1450" s="84">
        <v>1.2689999999999999</v>
      </c>
      <c r="V1450" s="84">
        <v>1.2324999999999999</v>
      </c>
      <c r="W1450" s="84">
        <v>1.196</v>
      </c>
      <c r="X1450" s="84">
        <v>1.2095</v>
      </c>
      <c r="Y1450" s="84">
        <v>1.2133877755511024</v>
      </c>
      <c r="Z1450" s="84">
        <v>1.2082164328657314</v>
      </c>
      <c r="AA1450" s="84">
        <v>1.3077154308617236</v>
      </c>
      <c r="AB1450" s="84">
        <v>1.3276553106212425</v>
      </c>
      <c r="AC1450" s="84">
        <v>1.2094188376753507</v>
      </c>
      <c r="AD1450" s="84">
        <v>1.061623246492986</v>
      </c>
      <c r="AE1450" s="84">
        <v>0.85470941883767537</v>
      </c>
      <c r="AF1450" s="84">
        <v>0.67735470941883769</v>
      </c>
      <c r="AG1450" s="84">
        <v>0.5591182364729459</v>
      </c>
      <c r="AH1450" s="84">
        <v>0.5</v>
      </c>
      <c r="AI1450" s="84">
        <v>0.5</v>
      </c>
      <c r="AJ1450" s="84">
        <v>0.25</v>
      </c>
      <c r="AK1450" s="84">
        <v>0</v>
      </c>
      <c r="AL1450" s="84">
        <v>0</v>
      </c>
      <c r="AM1450" s="84">
        <v>0</v>
      </c>
      <c r="AN1450" s="84">
        <v>0</v>
      </c>
      <c r="AO1450" s="84">
        <v>0</v>
      </c>
      <c r="AP1450" s="84">
        <v>0</v>
      </c>
      <c r="AQ1450" s="84">
        <v>0</v>
      </c>
      <c r="AR1450" s="84">
        <v>0</v>
      </c>
      <c r="AS1450" s="84">
        <v>0</v>
      </c>
      <c r="AT1450" s="2"/>
      <c r="AU1450" s="2"/>
    </row>
    <row r="1451" spans="1:47" hidden="1" outlineLevel="1">
      <c r="A1451" s="298"/>
      <c r="B1451" s="55" t="s">
        <v>665</v>
      </c>
      <c r="C1451" s="18" t="s">
        <v>180</v>
      </c>
      <c r="D1451" s="18"/>
      <c r="E1451" s="18"/>
      <c r="F1451" s="18"/>
      <c r="G1451" s="18"/>
      <c r="H1451" s="18"/>
      <c r="I1451" s="18"/>
      <c r="J1451" s="18"/>
      <c r="K1451" s="2"/>
      <c r="L1451" s="2"/>
      <c r="M1451" s="2"/>
      <c r="N1451" s="2"/>
      <c r="O1451" s="2"/>
      <c r="P1451" s="2"/>
      <c r="Q1451" s="2"/>
      <c r="R1451" s="2"/>
      <c r="S1451" s="4">
        <v>9.5649999999999995</v>
      </c>
      <c r="T1451" s="4">
        <v>9.1894999999999989</v>
      </c>
      <c r="U1451" s="4">
        <v>8.8389999999999986</v>
      </c>
      <c r="V1451" s="4">
        <v>8.5150000000000006</v>
      </c>
      <c r="W1451" s="4">
        <v>8.2134999999999998</v>
      </c>
      <c r="X1451" s="4">
        <v>7.9195000000000002</v>
      </c>
      <c r="Y1451" s="4">
        <v>4.6488877755511027</v>
      </c>
      <c r="Z1451" s="4">
        <v>1.6387164328657313</v>
      </c>
      <c r="AA1451" s="4">
        <v>2.0867154308617235</v>
      </c>
      <c r="AB1451" s="4">
        <v>2.5576553106212421</v>
      </c>
      <c r="AC1451" s="4">
        <v>2.8494188376753504</v>
      </c>
      <c r="AD1451" s="4">
        <v>3.2141232464929859</v>
      </c>
      <c r="AE1451" s="4">
        <v>3.7247094188376755</v>
      </c>
      <c r="AF1451" s="4">
        <v>4.1623547094188371</v>
      </c>
      <c r="AG1451" s="4">
        <v>4.4541182364729455</v>
      </c>
      <c r="AH1451" s="4">
        <v>4.5999999999999996</v>
      </c>
      <c r="AI1451" s="4">
        <v>4.5999999999999996</v>
      </c>
      <c r="AJ1451" s="4">
        <v>2.2999999999999998</v>
      </c>
      <c r="AK1451" s="4">
        <v>0</v>
      </c>
      <c r="AL1451" s="4">
        <v>0</v>
      </c>
      <c r="AM1451" s="4">
        <v>0</v>
      </c>
      <c r="AN1451" s="4">
        <v>0</v>
      </c>
      <c r="AO1451" s="4">
        <v>0</v>
      </c>
      <c r="AP1451" s="4">
        <v>0</v>
      </c>
      <c r="AQ1451" s="4">
        <v>0</v>
      </c>
      <c r="AR1451" s="4">
        <v>0</v>
      </c>
      <c r="AS1451" s="4">
        <v>0</v>
      </c>
      <c r="AT1451" s="2"/>
      <c r="AU1451" s="2"/>
    </row>
    <row r="1452" spans="1:47" hidden="1" outlineLevel="1">
      <c r="A1452" s="298"/>
      <c r="B1452" s="2"/>
      <c r="C1452" s="18"/>
      <c r="D1452" s="18"/>
      <c r="E1452" s="18"/>
      <c r="F1452" s="18"/>
      <c r="G1452" s="18"/>
      <c r="H1452" s="18"/>
      <c r="I1452" s="18"/>
      <c r="J1452" s="18"/>
      <c r="K1452" s="2"/>
      <c r="L1452" s="2"/>
      <c r="M1452" s="2"/>
      <c r="N1452" s="2"/>
      <c r="O1452" s="2"/>
      <c r="P1452" s="2"/>
      <c r="Q1452" s="2"/>
      <c r="R1452" s="2"/>
      <c r="S1452" s="2"/>
      <c r="T1452" s="5">
        <v>-3.9257710402509249E-2</v>
      </c>
      <c r="U1452" s="5">
        <v>-3.8141356983513841E-2</v>
      </c>
      <c r="V1452" s="5">
        <v>-3.6655730286231258E-2</v>
      </c>
      <c r="W1452" s="5">
        <v>-3.5408103347034703E-2</v>
      </c>
      <c r="X1452" s="5">
        <v>-3.5794728191392178E-2</v>
      </c>
      <c r="Y1452" s="5">
        <v>-0.41298216105169483</v>
      </c>
      <c r="Z1452" s="5">
        <v>-0.64750355096032197</v>
      </c>
      <c r="AA1452" s="5">
        <v>0.27338408830901084</v>
      </c>
      <c r="AB1452" s="5">
        <v>0.22568476410079574</v>
      </c>
      <c r="AC1452" s="5">
        <v>0.11407460803748437</v>
      </c>
      <c r="AD1452" s="5">
        <v>0.12799255904238116</v>
      </c>
      <c r="AE1452" s="5">
        <v>0.15885706091133978</v>
      </c>
      <c r="AF1452" s="5">
        <v>0.11749783442643214</v>
      </c>
      <c r="AG1452" s="5">
        <v>7.0095786501301216E-2</v>
      </c>
      <c r="AH1452" s="5">
        <v>3.2752108449319639E-2</v>
      </c>
      <c r="AI1452" s="5">
        <v>0</v>
      </c>
      <c r="AJ1452" s="5">
        <v>-0.5</v>
      </c>
      <c r="AK1452" s="5">
        <v>-1</v>
      </c>
      <c r="AL1452" s="5"/>
      <c r="AM1452" s="5"/>
      <c r="AN1452" s="5"/>
      <c r="AO1452" s="5"/>
      <c r="AP1452" s="5"/>
      <c r="AQ1452" s="5"/>
      <c r="AR1452" s="5"/>
      <c r="AS1452" s="5"/>
      <c r="AT1452" s="2"/>
      <c r="AU1452" s="2"/>
    </row>
    <row r="1453" spans="1:47" hidden="1" outlineLevel="1">
      <c r="A1453" s="298"/>
      <c r="B1453" s="2"/>
      <c r="C1453" s="18"/>
      <c r="D1453" s="18"/>
      <c r="E1453" s="18"/>
      <c r="F1453" s="18"/>
      <c r="G1453" s="18"/>
      <c r="H1453" s="18"/>
      <c r="I1453" s="18"/>
      <c r="J1453" s="18"/>
      <c r="K1453" s="2"/>
      <c r="L1453" s="2"/>
      <c r="M1453" s="2"/>
      <c r="N1453" s="2"/>
      <c r="O1453" s="2"/>
      <c r="P1453" s="2"/>
      <c r="Q1453" s="2"/>
      <c r="R1453" s="2"/>
      <c r="S1453" s="2"/>
      <c r="T1453" s="2"/>
      <c r="U1453" s="2"/>
      <c r="V1453" s="2"/>
      <c r="W1453" s="2"/>
      <c r="X1453" s="2"/>
      <c r="Y1453" s="2"/>
      <c r="Z1453" s="2"/>
      <c r="AA1453" s="2"/>
      <c r="AB1453" s="2"/>
      <c r="AC1453" s="2"/>
      <c r="AD1453" s="2"/>
      <c r="AE1453" s="2"/>
      <c r="AF1453" s="2"/>
      <c r="AG1453" s="2"/>
      <c r="AH1453" s="2"/>
      <c r="AI1453" s="2"/>
      <c r="AJ1453" s="2"/>
      <c r="AK1453" s="2"/>
      <c r="AL1453" s="2"/>
      <c r="AM1453" s="2"/>
      <c r="AN1453" s="2"/>
      <c r="AO1453" s="2"/>
      <c r="AP1453" s="2"/>
      <c r="AQ1453" s="2"/>
      <c r="AR1453" s="2"/>
      <c r="AS1453" s="2"/>
      <c r="AT1453" s="2"/>
      <c r="AU1453" s="2"/>
    </row>
    <row r="1454" spans="1:47" hidden="1" outlineLevel="1">
      <c r="A1454" s="298"/>
      <c r="B1454" s="6" t="s">
        <v>305</v>
      </c>
      <c r="C1454" s="18"/>
      <c r="D1454" s="18"/>
      <c r="E1454" s="18"/>
      <c r="F1454" s="18"/>
      <c r="G1454" s="18"/>
      <c r="H1454" s="18"/>
      <c r="I1454" s="18"/>
      <c r="J1454" s="18"/>
      <c r="K1454" s="2"/>
      <c r="L1454" s="2"/>
      <c r="M1454" s="2"/>
      <c r="N1454" s="2"/>
      <c r="O1454" s="2"/>
      <c r="P1454" s="2"/>
      <c r="Q1454" s="2"/>
      <c r="R1454" s="2"/>
      <c r="S1454" s="2"/>
      <c r="T1454" s="2"/>
      <c r="U1454" s="2"/>
      <c r="V1454" s="2"/>
      <c r="W1454" s="2"/>
      <c r="X1454" s="2"/>
      <c r="Y1454" s="2"/>
      <c r="Z1454" s="2"/>
      <c r="AA1454" s="2"/>
      <c r="AB1454" s="2"/>
      <c r="AC1454" s="2"/>
      <c r="AD1454" s="2"/>
      <c r="AE1454" s="2"/>
      <c r="AF1454" s="2"/>
      <c r="AG1454" s="2"/>
      <c r="AH1454" s="2"/>
      <c r="AI1454" s="2"/>
      <c r="AJ1454" s="2"/>
      <c r="AK1454" s="2"/>
      <c r="AL1454" s="2"/>
      <c r="AM1454" s="2"/>
      <c r="AN1454" s="2"/>
      <c r="AO1454" s="2"/>
      <c r="AP1454" s="2"/>
      <c r="AQ1454" s="2"/>
      <c r="AR1454" s="2"/>
      <c r="AS1454" s="2"/>
      <c r="AT1454" s="2"/>
      <c r="AU1454" s="2"/>
    </row>
    <row r="1455" spans="1:47" hidden="1" outlineLevel="1">
      <c r="A1455" s="298"/>
      <c r="B1455" s="55" t="s">
        <v>307</v>
      </c>
      <c r="C1455" s="18" t="s">
        <v>306</v>
      </c>
      <c r="D1455" s="18"/>
      <c r="E1455" s="18"/>
      <c r="F1455" s="18"/>
      <c r="G1455" s="18"/>
      <c r="H1455" s="18"/>
      <c r="I1455" s="18"/>
      <c r="J1455" s="18"/>
      <c r="K1455" s="2"/>
      <c r="L1455" s="2"/>
      <c r="M1455" s="2"/>
      <c r="N1455" s="2"/>
      <c r="O1455" s="2"/>
      <c r="P1455" s="2"/>
      <c r="Q1455" s="2"/>
      <c r="R1455" s="2"/>
      <c r="S1455" s="530">
        <v>58.11</v>
      </c>
      <c r="T1455" s="530">
        <v>57.46</v>
      </c>
      <c r="U1455" s="530">
        <v>54.99</v>
      </c>
      <c r="V1455" s="530">
        <v>52.41</v>
      </c>
      <c r="W1455" s="563">
        <v>48.88</v>
      </c>
      <c r="X1455" s="563">
        <v>45.89</v>
      </c>
      <c r="Y1455" s="92">
        <v>44.448782344687579</v>
      </c>
      <c r="Z1455" s="92">
        <v>43.052827455336903</v>
      </c>
      <c r="AA1455" s="92">
        <v>41.700713813154493</v>
      </c>
      <c r="AB1455" s="92">
        <v>40.391064543451975</v>
      </c>
      <c r="AC1455" s="92">
        <v>39.122546013556871</v>
      </c>
      <c r="AD1455" s="92">
        <v>38.285418998645945</v>
      </c>
      <c r="AE1455" s="92">
        <v>37.494224556803488</v>
      </c>
      <c r="AF1455" s="92">
        <v>36.719380690746149</v>
      </c>
      <c r="AG1455" s="92">
        <v>35.960549504611215</v>
      </c>
      <c r="AH1455" s="92">
        <v>35.217400085385712</v>
      </c>
      <c r="AI1455" s="92">
        <v>34.489608358601039</v>
      </c>
      <c r="AJ1455" s="92">
        <v>33.776856947009769</v>
      </c>
      <c r="AK1455" s="92">
        <v>33.078835032182951</v>
      </c>
      <c r="AL1455" s="92">
        <v>32.395238218967656</v>
      </c>
      <c r="AM1455" s="92">
        <v>31.725768402745558</v>
      </c>
      <c r="AN1455" s="92">
        <v>31.070133639434726</v>
      </c>
      <c r="AO1455" s="92">
        <v>30.428048018177911</v>
      </c>
      <c r="AP1455" s="92">
        <v>29.799231536661825</v>
      </c>
      <c r="AQ1455" s="92">
        <v>29.799231536661825</v>
      </c>
      <c r="AR1455" s="92">
        <v>29.799231536661825</v>
      </c>
      <c r="AS1455" s="92">
        <v>29.799231536661825</v>
      </c>
      <c r="AT1455" s="2"/>
      <c r="AU1455" s="2"/>
    </row>
    <row r="1456" spans="1:47" hidden="1" outlineLevel="1">
      <c r="A1456" s="298"/>
      <c r="B1456" s="241" t="s">
        <v>1099</v>
      </c>
      <c r="C1456" s="18" t="s">
        <v>733</v>
      </c>
      <c r="D1456" s="18"/>
      <c r="E1456" s="18"/>
      <c r="F1456" s="18"/>
      <c r="G1456" s="18"/>
      <c r="H1456" s="18"/>
      <c r="I1456" s="18"/>
      <c r="J1456" s="18"/>
      <c r="K1456" s="2"/>
      <c r="L1456" s="2"/>
      <c r="M1456" s="2"/>
      <c r="N1456" s="2"/>
      <c r="O1456" s="2"/>
      <c r="P1456" s="2"/>
      <c r="Q1456" s="2"/>
      <c r="R1456" s="2"/>
      <c r="S1456" s="2"/>
      <c r="T1456" s="5">
        <v>-1.1185682326621871E-2</v>
      </c>
      <c r="U1456" s="5">
        <v>-4.2986425339366474E-2</v>
      </c>
      <c r="V1456" s="5">
        <v>-4.6917621385706543E-2</v>
      </c>
      <c r="W1456" s="5">
        <v>-6.7353558481205722E-2</v>
      </c>
      <c r="X1456" s="5">
        <v>-6.1170212765957466E-2</v>
      </c>
      <c r="Y1456" s="580">
        <v>-3.1405919706088858E-2</v>
      </c>
      <c r="Z1456" s="581">
        <v>-3.1405919706088858E-2</v>
      </c>
      <c r="AA1456" s="581">
        <v>-3.1405919706088858E-2</v>
      </c>
      <c r="AB1456" s="581">
        <v>-3.1405919706088858E-2</v>
      </c>
      <c r="AC1456" s="581">
        <v>-3.1405919706088858E-2</v>
      </c>
      <c r="AD1456" s="581">
        <v>-2.1397559724789961E-2</v>
      </c>
      <c r="AE1456" s="581">
        <v>-2.0665685854722837E-2</v>
      </c>
      <c r="AF1456" s="581">
        <v>-2.0665685854722837E-2</v>
      </c>
      <c r="AG1456" s="581">
        <v>-2.0665685854722837E-2</v>
      </c>
      <c r="AH1456" s="581">
        <v>-2.0665685854722837E-2</v>
      </c>
      <c r="AI1456" s="581">
        <v>-2.0665685854722837E-2</v>
      </c>
      <c r="AJ1456" s="581">
        <v>-2.0665685854722837E-2</v>
      </c>
      <c r="AK1456" s="581">
        <v>-2.0665685854722837E-2</v>
      </c>
      <c r="AL1456" s="581">
        <v>-2.0665685854722837E-2</v>
      </c>
      <c r="AM1456" s="581">
        <v>-2.0665685854722837E-2</v>
      </c>
      <c r="AN1456" s="581">
        <v>-2.0665685854722837E-2</v>
      </c>
      <c r="AO1456" s="582">
        <v>-2.0665685854722837E-2</v>
      </c>
      <c r="AP1456" s="582">
        <v>-2.0665685854722837E-2</v>
      </c>
      <c r="AQ1456" s="582">
        <v>-2.0665685854722837E-2</v>
      </c>
      <c r="AR1456" s="582">
        <v>-2.0665685854722837E-2</v>
      </c>
      <c r="AS1456" s="582">
        <v>-2.0665685854722837E-2</v>
      </c>
      <c r="AT1456" s="2"/>
      <c r="AU1456" s="2"/>
    </row>
    <row r="1457" spans="1:47" hidden="1" outlineLevel="1">
      <c r="A1457" s="298"/>
      <c r="B1457" s="2"/>
      <c r="C1457" s="18"/>
      <c r="D1457" s="18"/>
      <c r="E1457" s="18"/>
      <c r="F1457" s="18"/>
      <c r="G1457" s="18"/>
      <c r="H1457" s="18"/>
      <c r="I1457" s="18"/>
      <c r="J1457" s="18"/>
      <c r="K1457" s="2"/>
      <c r="L1457" s="2"/>
      <c r="M1457" s="2"/>
      <c r="N1457" s="2"/>
      <c r="O1457" s="2"/>
      <c r="P1457" s="2"/>
      <c r="Q1457" s="2"/>
      <c r="R1457" s="2"/>
      <c r="S1457" s="2"/>
      <c r="T1457" s="2"/>
      <c r="U1457" s="2"/>
      <c r="V1457" s="2"/>
      <c r="W1457" s="2"/>
      <c r="X1457" s="2"/>
      <c r="Y1457" s="2"/>
      <c r="Z1457" s="2"/>
      <c r="AA1457" s="2"/>
      <c r="AB1457" s="2"/>
      <c r="AC1457" s="2"/>
      <c r="AD1457" s="2"/>
      <c r="AE1457" s="2"/>
      <c r="AF1457" s="2"/>
      <c r="AG1457" s="2"/>
      <c r="AH1457" s="2"/>
      <c r="AI1457" s="2"/>
      <c r="AJ1457" s="2"/>
      <c r="AK1457" s="2"/>
      <c r="AL1457" s="2"/>
      <c r="AM1457" s="2"/>
      <c r="AN1457" s="2"/>
      <c r="AO1457" s="2"/>
      <c r="AP1457" s="2"/>
      <c r="AQ1457" s="2"/>
      <c r="AR1457" s="2"/>
      <c r="AS1457" s="2"/>
      <c r="AT1457" s="2"/>
      <c r="AU1457" s="2"/>
    </row>
    <row r="1458" spans="1:47" hidden="1" outlineLevel="1">
      <c r="A1458" s="298"/>
      <c r="B1458" s="173" t="s">
        <v>666</v>
      </c>
      <c r="C1458" s="169" t="s">
        <v>732</v>
      </c>
      <c r="D1458" s="169"/>
      <c r="E1458" s="169"/>
      <c r="F1458" s="169"/>
      <c r="G1458" s="169"/>
      <c r="H1458" s="169"/>
      <c r="I1458" s="169"/>
      <c r="J1458" s="169"/>
      <c r="K1458" s="173"/>
      <c r="L1458" s="173"/>
      <c r="M1458" s="173"/>
      <c r="N1458" s="173"/>
      <c r="O1458" s="173"/>
      <c r="P1458" s="173"/>
      <c r="Q1458" s="173"/>
      <c r="R1458" s="173"/>
      <c r="S1458" s="215">
        <v>6669.8657999999987</v>
      </c>
      <c r="T1458" s="215">
        <v>6336.344039999999</v>
      </c>
      <c r="U1458" s="215">
        <v>5832.6793199999993</v>
      </c>
      <c r="V1458" s="215">
        <v>5355.2538000000004</v>
      </c>
      <c r="W1458" s="215">
        <v>4817.7105600000004</v>
      </c>
      <c r="X1458" s="215">
        <v>4359.1102600000004</v>
      </c>
      <c r="Y1458" s="215">
        <v>2479.6488105641974</v>
      </c>
      <c r="Z1458" s="215">
        <v>846.6165099887221</v>
      </c>
      <c r="AA1458" s="215">
        <v>1044.2102759022973</v>
      </c>
      <c r="AB1458" s="215">
        <v>1239.6770487744636</v>
      </c>
      <c r="AC1458" s="215">
        <v>1337.7182350661956</v>
      </c>
      <c r="AD1458" s="215">
        <v>1476.6486624632657</v>
      </c>
      <c r="AE1458" s="215">
        <v>1675.8610963048898</v>
      </c>
      <c r="AF1458" s="215">
        <v>1834.0690457408441</v>
      </c>
      <c r="AG1458" s="215">
        <v>1922.0704721049237</v>
      </c>
      <c r="AH1458" s="215">
        <v>1944.0004847132911</v>
      </c>
      <c r="AI1458" s="215">
        <v>1903.8263813947774</v>
      </c>
      <c r="AJ1458" s="215">
        <v>932.2412517374695</v>
      </c>
      <c r="AK1458" s="215">
        <v>0</v>
      </c>
      <c r="AL1458" s="215">
        <v>0</v>
      </c>
      <c r="AM1458" s="215">
        <v>0</v>
      </c>
      <c r="AN1458" s="215">
        <v>0</v>
      </c>
      <c r="AO1458" s="215">
        <v>0</v>
      </c>
      <c r="AP1458" s="215">
        <v>0</v>
      </c>
      <c r="AQ1458" s="215">
        <v>0</v>
      </c>
      <c r="AR1458" s="215">
        <v>0</v>
      </c>
      <c r="AS1458" s="215">
        <v>0</v>
      </c>
      <c r="AT1458" s="2"/>
      <c r="AU1458" s="2"/>
    </row>
    <row r="1459" spans="1:47" hidden="1" outlineLevel="1">
      <c r="A1459" s="298"/>
      <c r="B1459" s="241" t="s">
        <v>1099</v>
      </c>
      <c r="C1459" s="18" t="s">
        <v>733</v>
      </c>
      <c r="D1459" s="18"/>
      <c r="E1459" s="18"/>
      <c r="F1459" s="18"/>
      <c r="G1459" s="18"/>
      <c r="H1459" s="18"/>
      <c r="I1459" s="18"/>
      <c r="J1459" s="18"/>
      <c r="K1459" s="2"/>
      <c r="L1459" s="2"/>
      <c r="M1459" s="2"/>
      <c r="N1459" s="2"/>
      <c r="O1459" s="2"/>
      <c r="P1459" s="2"/>
      <c r="Q1459" s="2"/>
      <c r="R1459" s="2"/>
      <c r="S1459" s="2"/>
      <c r="T1459" s="5">
        <v>-5.0004268451698031E-2</v>
      </c>
      <c r="U1459" s="5">
        <v>-7.9488221728566288E-2</v>
      </c>
      <c r="V1459" s="5">
        <v>-8.1853551996751817E-2</v>
      </c>
      <c r="W1459" s="5">
        <v>-0.10037680006874738</v>
      </c>
      <c r="X1459" s="5">
        <v>-9.5190504761249128E-2</v>
      </c>
      <c r="Y1459" s="5">
        <v>-0.43115712549923035</v>
      </c>
      <c r="Z1459" s="5">
        <v>-0.65857402613554361</v>
      </c>
      <c r="AA1459" s="5">
        <v>0.23339228987656679</v>
      </c>
      <c r="AB1459" s="5">
        <v>0.18719100681446976</v>
      </c>
      <c r="AC1459" s="5">
        <v>7.9086070350866677E-2</v>
      </c>
      <c r="AD1459" s="5">
        <v>0.10385627089115324</v>
      </c>
      <c r="AE1459" s="5">
        <v>0.13490848494001861</v>
      </c>
      <c r="AF1459" s="5">
        <v>9.4403975236842408E-2</v>
      </c>
      <c r="AG1459" s="5">
        <v>4.7981523143002969E-2</v>
      </c>
      <c r="AH1459" s="5">
        <v>1.1409577810303162E-2</v>
      </c>
      <c r="AI1459" s="5">
        <v>-2.0665685854722837E-2</v>
      </c>
      <c r="AJ1459" s="5">
        <v>-0.51033284292736147</v>
      </c>
      <c r="AK1459" s="5">
        <v>-1</v>
      </c>
      <c r="AL1459" s="5">
        <v>-1</v>
      </c>
      <c r="AM1459" s="5">
        <v>-1</v>
      </c>
      <c r="AN1459" s="5">
        <v>-1</v>
      </c>
      <c r="AO1459" s="5">
        <v>-1</v>
      </c>
      <c r="AP1459" s="5">
        <v>-1</v>
      </c>
      <c r="AQ1459" s="5">
        <v>-1</v>
      </c>
      <c r="AR1459" s="5">
        <v>-1</v>
      </c>
      <c r="AS1459" s="5">
        <v>-1</v>
      </c>
      <c r="AT1459" s="2"/>
      <c r="AU1459" s="2"/>
    </row>
    <row r="1460" spans="1:47" hidden="1" outlineLevel="1">
      <c r="A1460" s="298"/>
      <c r="B1460" s="2"/>
      <c r="C1460" s="18"/>
      <c r="D1460" s="18"/>
      <c r="E1460" s="18"/>
      <c r="F1460" s="18"/>
      <c r="G1460" s="18"/>
      <c r="H1460" s="18"/>
      <c r="I1460" s="18"/>
      <c r="J1460" s="18"/>
      <c r="K1460" s="2"/>
      <c r="L1460" s="2"/>
      <c r="M1460" s="2"/>
      <c r="N1460" s="2"/>
      <c r="O1460" s="2"/>
      <c r="P1460" s="2"/>
      <c r="Q1460" s="2"/>
      <c r="R1460" s="2"/>
      <c r="S1460" s="67"/>
      <c r="T1460" s="67"/>
      <c r="U1460" s="67"/>
      <c r="V1460" s="67"/>
      <c r="W1460" s="67"/>
      <c r="X1460" s="67"/>
      <c r="Y1460" s="67"/>
      <c r="Z1460" s="67"/>
      <c r="AA1460" s="67"/>
      <c r="AB1460" s="67"/>
      <c r="AC1460" s="67"/>
      <c r="AD1460" s="67"/>
      <c r="AE1460" s="67"/>
      <c r="AF1460" s="67"/>
      <c r="AG1460" s="67"/>
      <c r="AH1460" s="67"/>
      <c r="AI1460" s="67"/>
      <c r="AJ1460" s="67"/>
      <c r="AK1460" s="67"/>
      <c r="AL1460" s="67"/>
      <c r="AM1460" s="67"/>
      <c r="AN1460" s="67"/>
      <c r="AO1460" s="67"/>
      <c r="AP1460" s="67"/>
      <c r="AQ1460" s="67"/>
      <c r="AR1460" s="67"/>
      <c r="AS1460" s="67"/>
      <c r="AT1460" s="2"/>
      <c r="AU1460" s="2"/>
    </row>
    <row r="1461" spans="1:47" hidden="1" outlineLevel="1">
      <c r="A1461" s="298"/>
      <c r="B1461" s="6" t="s">
        <v>1117</v>
      </c>
      <c r="C1461" s="18"/>
      <c r="D1461" s="18"/>
      <c r="E1461" s="18"/>
      <c r="F1461" s="18"/>
      <c r="G1461" s="18"/>
      <c r="H1461" s="18"/>
      <c r="I1461" s="18"/>
      <c r="J1461" s="18"/>
      <c r="K1461" s="2"/>
      <c r="L1461" s="2"/>
      <c r="M1461" s="2"/>
      <c r="N1461" s="2"/>
      <c r="O1461" s="2"/>
      <c r="P1461" s="2"/>
      <c r="Q1461" s="2"/>
      <c r="R1461" s="2"/>
      <c r="S1461" s="67"/>
      <c r="T1461" s="67"/>
      <c r="U1461" s="67"/>
      <c r="V1461" s="67"/>
      <c r="W1461" s="67"/>
      <c r="X1461" s="67"/>
      <c r="Y1461" s="67"/>
      <c r="Z1461" s="67"/>
      <c r="AA1461" s="67"/>
      <c r="AB1461" s="67"/>
      <c r="AC1461" s="67"/>
      <c r="AD1461" s="67"/>
      <c r="AE1461" s="67"/>
      <c r="AF1461" s="67"/>
      <c r="AG1461" s="67"/>
      <c r="AH1461" s="67"/>
      <c r="AI1461" s="67"/>
      <c r="AJ1461" s="67"/>
      <c r="AK1461" s="67"/>
      <c r="AL1461" s="67"/>
      <c r="AM1461" s="67"/>
      <c r="AN1461" s="67"/>
      <c r="AO1461" s="67"/>
      <c r="AP1461" s="67"/>
      <c r="AQ1461" s="67"/>
      <c r="AR1461" s="67"/>
      <c r="AS1461" s="67"/>
      <c r="AT1461" s="2"/>
      <c r="AU1461" s="2"/>
    </row>
    <row r="1462" spans="1:47" hidden="1" outlineLevel="1">
      <c r="A1462" s="298"/>
      <c r="B1462" s="55" t="s">
        <v>637</v>
      </c>
      <c r="C1462" s="18"/>
      <c r="D1462" s="18"/>
      <c r="E1462" s="18"/>
      <c r="F1462" s="18"/>
      <c r="G1462" s="18"/>
      <c r="H1462" s="18"/>
      <c r="I1462" s="18"/>
      <c r="J1462" s="18"/>
      <c r="K1462" s="2"/>
      <c r="L1462" s="2"/>
      <c r="M1462" s="2"/>
      <c r="N1462" s="2"/>
      <c r="O1462" s="2"/>
      <c r="P1462" s="2"/>
      <c r="Q1462" s="2"/>
      <c r="R1462" s="2"/>
      <c r="S1462" s="67"/>
      <c r="T1462" s="67"/>
      <c r="U1462" s="67"/>
      <c r="V1462" s="67"/>
      <c r="W1462" s="67"/>
      <c r="X1462" s="459">
        <v>4.3437185599122574E-2</v>
      </c>
      <c r="Y1462" s="68"/>
      <c r="Z1462" s="68"/>
      <c r="AA1462" s="68"/>
      <c r="AB1462" s="68"/>
      <c r="AC1462" s="68"/>
      <c r="AD1462" s="68"/>
      <c r="AE1462" s="68"/>
      <c r="AF1462" s="68"/>
      <c r="AG1462" s="68"/>
      <c r="AH1462" s="68"/>
      <c r="AI1462" s="68"/>
      <c r="AJ1462" s="68"/>
      <c r="AK1462" s="68"/>
      <c r="AL1462" s="68"/>
      <c r="AM1462" s="68"/>
      <c r="AN1462" s="68"/>
      <c r="AO1462" s="68"/>
      <c r="AP1462" s="68"/>
      <c r="AQ1462" s="68"/>
      <c r="AR1462" s="68"/>
      <c r="AS1462" s="68"/>
      <c r="AT1462" s="2"/>
      <c r="AU1462" s="2"/>
    </row>
    <row r="1463" spans="1:47" hidden="1" outlineLevel="1">
      <c r="A1463" s="298"/>
      <c r="B1463" s="241" t="s">
        <v>1099</v>
      </c>
      <c r="C1463" s="18"/>
      <c r="D1463" s="18"/>
      <c r="E1463" s="18"/>
      <c r="F1463" s="18"/>
      <c r="G1463" s="18"/>
      <c r="H1463" s="18"/>
      <c r="I1463" s="18"/>
      <c r="J1463" s="18"/>
      <c r="K1463" s="2"/>
      <c r="L1463" s="2"/>
      <c r="M1463" s="2"/>
      <c r="N1463" s="2"/>
      <c r="O1463" s="2"/>
      <c r="P1463" s="2"/>
      <c r="Q1463" s="2"/>
      <c r="R1463" s="2"/>
      <c r="S1463" s="67"/>
      <c r="T1463" s="67"/>
      <c r="U1463" s="67"/>
      <c r="V1463" s="67"/>
      <c r="W1463" s="67"/>
      <c r="X1463" s="2"/>
      <c r="Y1463" s="2"/>
      <c r="Z1463" s="2"/>
      <c r="AA1463" s="2"/>
      <c r="AB1463" s="2"/>
      <c r="AC1463" s="2"/>
      <c r="AD1463" s="2"/>
      <c r="AE1463" s="2"/>
      <c r="AF1463" s="2"/>
      <c r="AG1463" s="2"/>
      <c r="AH1463" s="2"/>
      <c r="AI1463" s="2"/>
      <c r="AJ1463" s="2"/>
      <c r="AK1463" s="2"/>
      <c r="AL1463" s="2"/>
      <c r="AM1463" s="2"/>
      <c r="AN1463" s="2"/>
      <c r="AO1463" s="2"/>
      <c r="AP1463" s="2"/>
      <c r="AQ1463" s="2"/>
      <c r="AR1463" s="2"/>
      <c r="AS1463" s="2"/>
      <c r="AT1463" s="2"/>
      <c r="AU1463" s="2"/>
    </row>
    <row r="1464" spans="1:47" hidden="1" outlineLevel="1">
      <c r="A1464" s="298"/>
      <c r="B1464" s="55" t="s">
        <v>295</v>
      </c>
      <c r="C1464" s="18"/>
      <c r="D1464" s="18"/>
      <c r="E1464" s="18"/>
      <c r="F1464" s="18"/>
      <c r="G1464" s="18"/>
      <c r="H1464" s="18"/>
      <c r="I1464" s="18"/>
      <c r="J1464" s="18"/>
      <c r="K1464" s="2"/>
      <c r="L1464" s="2"/>
      <c r="M1464" s="2"/>
      <c r="N1464" s="2"/>
      <c r="O1464" s="2"/>
      <c r="P1464" s="2"/>
      <c r="Q1464" s="2"/>
      <c r="R1464" s="2"/>
      <c r="S1464" s="67"/>
      <c r="T1464" s="67"/>
      <c r="U1464" s="67"/>
      <c r="V1464" s="67"/>
      <c r="W1464" s="67"/>
      <c r="X1464" s="459">
        <v>2.6672814400877418E-2</v>
      </c>
      <c r="Y1464" s="68"/>
      <c r="Z1464" s="68"/>
      <c r="AA1464" s="68"/>
      <c r="AB1464" s="68"/>
      <c r="AC1464" s="68"/>
      <c r="AD1464" s="68"/>
      <c r="AE1464" s="68"/>
      <c r="AF1464" s="68"/>
      <c r="AG1464" s="68"/>
      <c r="AH1464" s="68"/>
      <c r="AI1464" s="68"/>
      <c r="AJ1464" s="68"/>
      <c r="AK1464" s="68"/>
      <c r="AL1464" s="68"/>
      <c r="AM1464" s="68"/>
      <c r="AN1464" s="68"/>
      <c r="AO1464" s="68"/>
      <c r="AP1464" s="68"/>
      <c r="AQ1464" s="68"/>
      <c r="AR1464" s="68"/>
      <c r="AS1464" s="68"/>
      <c r="AT1464" s="2"/>
      <c r="AU1464" s="2"/>
    </row>
    <row r="1465" spans="1:47" hidden="1" outlineLevel="1">
      <c r="A1465" s="298"/>
      <c r="B1465" s="431" t="s">
        <v>1099</v>
      </c>
      <c r="C1465" s="22"/>
      <c r="D1465" s="22"/>
      <c r="E1465" s="22"/>
      <c r="F1465" s="22"/>
      <c r="G1465" s="22"/>
      <c r="H1465" s="22"/>
      <c r="I1465" s="22"/>
      <c r="J1465" s="22"/>
      <c r="K1465" s="23"/>
      <c r="L1465" s="23"/>
      <c r="M1465" s="23"/>
      <c r="N1465" s="23"/>
      <c r="O1465" s="23"/>
      <c r="P1465" s="23"/>
      <c r="Q1465" s="23"/>
      <c r="R1465" s="23"/>
      <c r="S1465" s="69"/>
      <c r="T1465" s="69"/>
      <c r="U1465" s="69"/>
      <c r="V1465" s="69"/>
      <c r="W1465" s="69"/>
      <c r="X1465" s="69"/>
      <c r="Y1465" s="23"/>
      <c r="Z1465" s="23"/>
      <c r="AA1465" s="23"/>
      <c r="AB1465" s="23"/>
      <c r="AC1465" s="23"/>
      <c r="AD1465" s="23"/>
      <c r="AE1465" s="23"/>
      <c r="AF1465" s="23"/>
      <c r="AG1465" s="23"/>
      <c r="AH1465" s="23"/>
      <c r="AI1465" s="23"/>
      <c r="AJ1465" s="23"/>
      <c r="AK1465" s="23"/>
      <c r="AL1465" s="23"/>
      <c r="AM1465" s="23"/>
      <c r="AN1465" s="23"/>
      <c r="AO1465" s="23"/>
      <c r="AP1465" s="23"/>
      <c r="AQ1465" s="23"/>
      <c r="AR1465" s="23"/>
      <c r="AS1465" s="23"/>
      <c r="AT1465" s="23"/>
      <c r="AU1465" s="23"/>
    </row>
    <row r="1466" spans="1:47" hidden="1" outlineLevel="1">
      <c r="A1466" s="298"/>
      <c r="B1466" s="59" t="s">
        <v>483</v>
      </c>
      <c r="C1466" s="18"/>
      <c r="D1466" s="18"/>
      <c r="E1466" s="18"/>
      <c r="F1466" s="18"/>
      <c r="G1466" s="18"/>
      <c r="H1466" s="18"/>
      <c r="I1466" s="18"/>
      <c r="J1466" s="18"/>
      <c r="K1466" s="2"/>
      <c r="L1466" s="2"/>
      <c r="M1466" s="2"/>
      <c r="N1466" s="2"/>
      <c r="O1466" s="2"/>
      <c r="P1466" s="2"/>
      <c r="Q1466" s="2"/>
      <c r="R1466" s="2"/>
      <c r="S1466" s="67"/>
      <c r="T1466" s="67"/>
      <c r="U1466" s="67"/>
      <c r="V1466" s="67"/>
      <c r="W1466" s="67"/>
      <c r="X1466" s="68">
        <v>7.0109999999999992E-2</v>
      </c>
      <c r="Y1466" s="459">
        <v>0.126</v>
      </c>
      <c r="Z1466" s="459">
        <v>0.21099999999999999</v>
      </c>
      <c r="AA1466" s="459">
        <v>0.5</v>
      </c>
      <c r="AB1466" s="459">
        <v>1.0764609009009007</v>
      </c>
      <c r="AC1466" s="459">
        <v>1.7368675675675673</v>
      </c>
      <c r="AD1466" s="459">
        <v>2.312477477477477</v>
      </c>
      <c r="AE1466" s="459">
        <v>2.9962882882882877</v>
      </c>
      <c r="AF1466" s="459">
        <v>3.2836936936936927</v>
      </c>
      <c r="AG1466" s="459">
        <v>3.3188288288288281</v>
      </c>
      <c r="AH1466" s="459">
        <v>3.3479639639639633</v>
      </c>
      <c r="AI1466" s="459">
        <v>3.3340540540540529</v>
      </c>
      <c r="AJ1466" s="459">
        <v>0</v>
      </c>
      <c r="AK1466" s="459">
        <v>0</v>
      </c>
      <c r="AL1466" s="459">
        <v>0</v>
      </c>
      <c r="AM1466" s="459">
        <v>0</v>
      </c>
      <c r="AN1466" s="459">
        <v>0</v>
      </c>
      <c r="AO1466" s="459">
        <v>0</v>
      </c>
      <c r="AP1466" s="459">
        <v>0</v>
      </c>
      <c r="AQ1466" s="459">
        <v>0</v>
      </c>
      <c r="AR1466" s="459">
        <v>0</v>
      </c>
      <c r="AS1466" s="459">
        <v>0</v>
      </c>
      <c r="AT1466" s="2"/>
      <c r="AU1466" s="2"/>
    </row>
    <row r="1467" spans="1:47" hidden="1" outlineLevel="1">
      <c r="A1467" s="298"/>
      <c r="B1467" s="241" t="s">
        <v>1099</v>
      </c>
      <c r="C1467" s="18"/>
      <c r="D1467" s="18"/>
      <c r="E1467" s="18"/>
      <c r="F1467" s="18"/>
      <c r="G1467" s="18"/>
      <c r="H1467" s="18"/>
      <c r="I1467" s="18"/>
      <c r="J1467" s="18"/>
      <c r="K1467" s="2"/>
      <c r="L1467" s="2"/>
      <c r="M1467" s="2"/>
      <c r="N1467" s="2"/>
      <c r="O1467" s="2"/>
      <c r="P1467" s="2"/>
      <c r="Q1467" s="2"/>
      <c r="R1467" s="2"/>
      <c r="S1467" s="67"/>
      <c r="T1467" s="67"/>
      <c r="U1467" s="67"/>
      <c r="V1467" s="67"/>
      <c r="W1467" s="67"/>
      <c r="X1467" s="67"/>
      <c r="Y1467" s="2">
        <v>0.79717586649550731</v>
      </c>
      <c r="Z1467" s="2">
        <v>0.67460317460317443</v>
      </c>
      <c r="AA1467" s="2">
        <v>1.3696682464454977</v>
      </c>
      <c r="AB1467" s="2">
        <v>1.1529218018018015</v>
      </c>
      <c r="AC1467" s="2">
        <v>0.61349805284517611</v>
      </c>
      <c r="AD1467" s="2">
        <v>0.33140690784849802</v>
      </c>
      <c r="AE1467" s="2">
        <v>0.29570485225081322</v>
      </c>
      <c r="AF1467" s="2">
        <v>9.5920478189230884E-2</v>
      </c>
      <c r="AG1467" s="2">
        <v>1.0699882026941943E-2</v>
      </c>
      <c r="AH1467" s="2">
        <v>8.7787399223648865E-3</v>
      </c>
      <c r="AI1467" s="2">
        <v>-4.1547370460467414E-3</v>
      </c>
      <c r="AJ1467" s="2">
        <v>-1</v>
      </c>
      <c r="AK1467" s="2">
        <v>-1</v>
      </c>
      <c r="AL1467" s="2">
        <v>-1</v>
      </c>
      <c r="AM1467" s="2">
        <v>-1</v>
      </c>
      <c r="AN1467" s="2">
        <v>-1</v>
      </c>
      <c r="AO1467" s="2">
        <v>-1</v>
      </c>
      <c r="AP1467" s="2">
        <v>-1</v>
      </c>
      <c r="AQ1467" s="2">
        <v>-1</v>
      </c>
      <c r="AR1467" s="2">
        <v>-1</v>
      </c>
      <c r="AS1467" s="2">
        <v>-1</v>
      </c>
      <c r="AT1467" s="2"/>
      <c r="AU1467" s="2"/>
    </row>
    <row r="1468" spans="1:47" hidden="1" outlineLevel="1">
      <c r="A1468" s="298"/>
      <c r="B1468" s="55"/>
      <c r="C1468" s="18"/>
      <c r="D1468" s="18"/>
      <c r="E1468" s="18"/>
      <c r="F1468" s="18"/>
      <c r="G1468" s="18"/>
      <c r="H1468" s="18"/>
      <c r="I1468" s="18"/>
      <c r="J1468" s="18"/>
      <c r="K1468" s="2"/>
      <c r="L1468" s="2"/>
      <c r="M1468" s="2"/>
      <c r="N1468" s="2"/>
      <c r="O1468" s="2"/>
      <c r="P1468" s="2"/>
      <c r="Q1468" s="2"/>
      <c r="R1468" s="2"/>
      <c r="S1468" s="67"/>
      <c r="T1468" s="67"/>
      <c r="U1468" s="67"/>
      <c r="V1468" s="67"/>
      <c r="W1468" s="67"/>
      <c r="X1468" s="67"/>
      <c r="Y1468" s="2"/>
      <c r="Z1468" s="2"/>
      <c r="AA1468" s="2"/>
      <c r="AB1468" s="2"/>
      <c r="AC1468" s="2"/>
      <c r="AD1468" s="2"/>
      <c r="AE1468" s="2"/>
      <c r="AF1468" s="2"/>
      <c r="AG1468" s="2"/>
      <c r="AH1468" s="2"/>
      <c r="AI1468" s="2"/>
      <c r="AJ1468" s="2"/>
      <c r="AK1468" s="2"/>
      <c r="AL1468" s="2"/>
      <c r="AM1468" s="2"/>
      <c r="AN1468" s="2"/>
      <c r="AO1468" s="2"/>
      <c r="AP1468" s="2"/>
      <c r="AQ1468" s="2"/>
      <c r="AR1468" s="2"/>
      <c r="AS1468" s="2"/>
      <c r="AT1468" s="2"/>
      <c r="AU1468" s="2"/>
    </row>
    <row r="1469" spans="1:47" hidden="1" outlineLevel="1">
      <c r="A1469" s="298"/>
      <c r="B1469" s="6" t="s">
        <v>1118</v>
      </c>
      <c r="C1469" s="18"/>
      <c r="D1469" s="18"/>
      <c r="E1469" s="18"/>
      <c r="F1469" s="18"/>
      <c r="G1469" s="18"/>
      <c r="H1469" s="18"/>
      <c r="I1469" s="18"/>
      <c r="J1469" s="18"/>
      <c r="K1469" s="2"/>
      <c r="L1469" s="2"/>
      <c r="M1469" s="2"/>
      <c r="N1469" s="2"/>
      <c r="O1469" s="2"/>
      <c r="P1469" s="2"/>
      <c r="Q1469" s="2"/>
      <c r="R1469" s="2"/>
      <c r="S1469" s="67"/>
      <c r="T1469" s="67"/>
      <c r="U1469" s="67"/>
      <c r="V1469" s="67"/>
      <c r="W1469" s="67"/>
      <c r="X1469" s="67"/>
      <c r="Y1469" s="2"/>
      <c r="Z1469" s="2"/>
      <c r="AA1469" s="2"/>
      <c r="AB1469" s="2"/>
      <c r="AC1469" s="2"/>
      <c r="AD1469" s="2"/>
      <c r="AE1469" s="2"/>
      <c r="AF1469" s="2"/>
      <c r="AG1469" s="2"/>
      <c r="AH1469" s="2"/>
      <c r="AI1469" s="2"/>
      <c r="AJ1469" s="2"/>
      <c r="AK1469" s="2"/>
      <c r="AL1469" s="2"/>
      <c r="AM1469" s="2"/>
      <c r="AN1469" s="2"/>
      <c r="AO1469" s="2"/>
      <c r="AP1469" s="2"/>
      <c r="AQ1469" s="2"/>
      <c r="AR1469" s="2"/>
      <c r="AS1469" s="2"/>
      <c r="AT1469" s="2"/>
      <c r="AU1469" s="2"/>
    </row>
    <row r="1470" spans="1:47" hidden="1" outlineLevel="1">
      <c r="A1470" s="298"/>
      <c r="B1470" s="55" t="s">
        <v>637</v>
      </c>
      <c r="C1470" s="18" t="s">
        <v>180</v>
      </c>
      <c r="D1470" s="18"/>
      <c r="E1470" s="18"/>
      <c r="F1470" s="18"/>
      <c r="G1470" s="18"/>
      <c r="H1470" s="18"/>
      <c r="I1470" s="18"/>
      <c r="J1470" s="18"/>
      <c r="K1470" s="2"/>
      <c r="L1470" s="2"/>
      <c r="M1470" s="2"/>
      <c r="N1470" s="2"/>
      <c r="O1470" s="2"/>
      <c r="P1470" s="2"/>
      <c r="Q1470" s="2"/>
      <c r="R1470" s="2"/>
      <c r="S1470" s="67"/>
      <c r="T1470" s="67"/>
      <c r="U1470" s="67"/>
      <c r="V1470" s="67"/>
      <c r="W1470" s="67"/>
      <c r="X1470" s="67">
        <v>4.3437185599122574E-2</v>
      </c>
      <c r="Y1470" s="67">
        <v>4.3437185599122574E-2</v>
      </c>
      <c r="Z1470" s="67"/>
      <c r="AA1470" s="67"/>
      <c r="AB1470" s="67"/>
      <c r="AC1470" s="67"/>
      <c r="AD1470" s="67"/>
      <c r="AE1470" s="67"/>
      <c r="AF1470" s="67"/>
      <c r="AG1470" s="67"/>
      <c r="AH1470" s="67"/>
      <c r="AI1470" s="67"/>
      <c r="AJ1470" s="67"/>
      <c r="AK1470" s="67"/>
      <c r="AL1470" s="67"/>
      <c r="AM1470" s="67"/>
      <c r="AN1470" s="67"/>
      <c r="AO1470" s="67"/>
      <c r="AP1470" s="67"/>
      <c r="AQ1470" s="67"/>
      <c r="AR1470" s="67"/>
      <c r="AS1470" s="67"/>
      <c r="AT1470" s="2"/>
      <c r="AU1470" s="2"/>
    </row>
    <row r="1471" spans="1:47" hidden="1" outlineLevel="1">
      <c r="A1471" s="298"/>
      <c r="B1471" s="57" t="s">
        <v>295</v>
      </c>
      <c r="C1471" s="22" t="s">
        <v>180</v>
      </c>
      <c r="D1471" s="22"/>
      <c r="E1471" s="22"/>
      <c r="F1471" s="22"/>
      <c r="G1471" s="22"/>
      <c r="H1471" s="22"/>
      <c r="I1471" s="22"/>
      <c r="J1471" s="22"/>
      <c r="K1471" s="23"/>
      <c r="L1471" s="23"/>
      <c r="M1471" s="23"/>
      <c r="N1471" s="23"/>
      <c r="O1471" s="23"/>
      <c r="P1471" s="23"/>
      <c r="Q1471" s="23"/>
      <c r="R1471" s="23"/>
      <c r="S1471" s="69"/>
      <c r="T1471" s="69"/>
      <c r="U1471" s="69"/>
      <c r="V1471" s="69"/>
      <c r="W1471" s="69"/>
      <c r="X1471" s="69">
        <v>2.6672814400877418E-2</v>
      </c>
      <c r="Y1471" s="69">
        <v>2.6672814400877418E-2</v>
      </c>
      <c r="Z1471" s="69"/>
      <c r="AA1471" s="69"/>
      <c r="AB1471" s="69"/>
      <c r="AC1471" s="69"/>
      <c r="AD1471" s="69"/>
      <c r="AE1471" s="69"/>
      <c r="AF1471" s="69"/>
      <c r="AG1471" s="69"/>
      <c r="AH1471" s="69"/>
      <c r="AI1471" s="69"/>
      <c r="AJ1471" s="69"/>
      <c r="AK1471" s="69"/>
      <c r="AL1471" s="69"/>
      <c r="AM1471" s="69"/>
      <c r="AN1471" s="69"/>
      <c r="AO1471" s="69"/>
      <c r="AP1471" s="69"/>
      <c r="AQ1471" s="69"/>
      <c r="AR1471" s="69"/>
      <c r="AS1471" s="69"/>
      <c r="AT1471" s="2"/>
      <c r="AU1471" s="2"/>
    </row>
    <row r="1472" spans="1:47" hidden="1" outlineLevel="1">
      <c r="A1472" s="298"/>
      <c r="B1472" s="55" t="s">
        <v>665</v>
      </c>
      <c r="C1472" s="18" t="s">
        <v>180</v>
      </c>
      <c r="D1472" s="18"/>
      <c r="E1472" s="18"/>
      <c r="F1472" s="18"/>
      <c r="G1472" s="18"/>
      <c r="H1472" s="18"/>
      <c r="I1472" s="18"/>
      <c r="J1472" s="18"/>
      <c r="K1472" s="2"/>
      <c r="L1472" s="2"/>
      <c r="M1472" s="2"/>
      <c r="N1472" s="2"/>
      <c r="O1472" s="2"/>
      <c r="P1472" s="2"/>
      <c r="Q1472" s="2"/>
      <c r="R1472" s="2"/>
      <c r="S1472" s="67"/>
      <c r="T1472" s="67"/>
      <c r="U1472" s="67"/>
      <c r="V1472" s="67"/>
      <c r="W1472" s="67"/>
      <c r="X1472" s="67">
        <v>7.0109999999999992E-2</v>
      </c>
      <c r="Y1472" s="68">
        <v>9.8055000000000003E-2</v>
      </c>
      <c r="Z1472" s="68">
        <v>0.16849999999999998</v>
      </c>
      <c r="AA1472" s="68">
        <v>0.35549999999999998</v>
      </c>
      <c r="AB1472" s="68">
        <v>0.78823045045045037</v>
      </c>
      <c r="AC1472" s="68">
        <v>1.4066642342342339</v>
      </c>
      <c r="AD1472" s="68">
        <v>2.0246725225225219</v>
      </c>
      <c r="AE1472" s="68">
        <v>2.6543828828828824</v>
      </c>
      <c r="AF1472" s="68">
        <v>3.1399909909909902</v>
      </c>
      <c r="AG1472" s="68">
        <v>3.3012612612612604</v>
      </c>
      <c r="AH1472" s="68">
        <v>3.3333963963963957</v>
      </c>
      <c r="AI1472" s="68">
        <v>3.3410090090090083</v>
      </c>
      <c r="AJ1472" s="68">
        <v>1.6670270270270264</v>
      </c>
      <c r="AK1472" s="68">
        <v>0</v>
      </c>
      <c r="AL1472" s="68">
        <v>0</v>
      </c>
      <c r="AM1472" s="68">
        <v>0</v>
      </c>
      <c r="AN1472" s="68">
        <v>0</v>
      </c>
      <c r="AO1472" s="68">
        <v>0</v>
      </c>
      <c r="AP1472" s="68">
        <v>0</v>
      </c>
      <c r="AQ1472" s="68">
        <v>0</v>
      </c>
      <c r="AR1472" s="68">
        <v>0</v>
      </c>
      <c r="AS1472" s="68">
        <v>0</v>
      </c>
      <c r="AT1472" s="2"/>
      <c r="AU1472" s="2"/>
    </row>
    <row r="1473" spans="1:47" hidden="1" outlineLevel="1">
      <c r="A1473" s="298"/>
      <c r="B1473" s="55"/>
      <c r="C1473" s="18"/>
      <c r="D1473" s="18"/>
      <c r="E1473" s="18"/>
      <c r="F1473" s="18"/>
      <c r="G1473" s="18"/>
      <c r="H1473" s="18"/>
      <c r="I1473" s="18"/>
      <c r="J1473" s="18"/>
      <c r="K1473" s="2"/>
      <c r="L1473" s="2"/>
      <c r="M1473" s="2"/>
      <c r="N1473" s="2"/>
      <c r="O1473" s="2"/>
      <c r="P1473" s="2"/>
      <c r="Q1473" s="2"/>
      <c r="R1473" s="2"/>
      <c r="S1473" s="67"/>
      <c r="T1473" s="67"/>
      <c r="U1473" s="67"/>
      <c r="V1473" s="67"/>
      <c r="W1473" s="67"/>
      <c r="X1473" s="67"/>
      <c r="Y1473" s="67"/>
      <c r="Z1473" s="67"/>
      <c r="AA1473" s="67"/>
      <c r="AB1473" s="67"/>
      <c r="AC1473" s="67"/>
      <c r="AD1473" s="67"/>
      <c r="AE1473" s="67"/>
      <c r="AF1473" s="67"/>
      <c r="AG1473" s="67"/>
      <c r="AH1473" s="67"/>
      <c r="AI1473" s="67"/>
      <c r="AJ1473" s="67"/>
      <c r="AK1473" s="67"/>
      <c r="AL1473" s="67"/>
      <c r="AM1473" s="67"/>
      <c r="AN1473" s="67"/>
      <c r="AO1473" s="67"/>
      <c r="AP1473" s="67"/>
      <c r="AQ1473" s="67"/>
      <c r="AR1473" s="67"/>
      <c r="AS1473" s="67"/>
      <c r="AT1473" s="2"/>
      <c r="AU1473" s="2"/>
    </row>
    <row r="1474" spans="1:47" hidden="1" outlineLevel="1">
      <c r="A1474" s="298"/>
      <c r="B1474" s="6" t="s">
        <v>1119</v>
      </c>
      <c r="C1474" s="18"/>
      <c r="D1474" s="18"/>
      <c r="E1474" s="18"/>
      <c r="F1474" s="18"/>
      <c r="G1474" s="18"/>
      <c r="H1474" s="18"/>
      <c r="I1474" s="18"/>
      <c r="J1474" s="18"/>
      <c r="K1474" s="2"/>
      <c r="L1474" s="2"/>
      <c r="M1474" s="2"/>
      <c r="N1474" s="2"/>
      <c r="O1474" s="2"/>
      <c r="P1474" s="2"/>
      <c r="Q1474" s="2"/>
      <c r="R1474" s="2"/>
      <c r="S1474" s="67"/>
      <c r="T1474" s="67"/>
      <c r="U1474" s="67"/>
      <c r="V1474" s="67"/>
      <c r="W1474" s="67"/>
      <c r="X1474" s="67"/>
      <c r="Y1474" s="67"/>
      <c r="Z1474" s="67"/>
      <c r="AA1474" s="67"/>
      <c r="AB1474" s="67"/>
      <c r="AC1474" s="67"/>
      <c r="AD1474" s="67"/>
      <c r="AE1474" s="67"/>
      <c r="AF1474" s="67"/>
      <c r="AG1474" s="67"/>
      <c r="AH1474" s="67"/>
      <c r="AI1474" s="67"/>
      <c r="AJ1474" s="67"/>
      <c r="AK1474" s="67"/>
      <c r="AL1474" s="67"/>
      <c r="AM1474" s="67"/>
      <c r="AN1474" s="67"/>
      <c r="AO1474" s="67"/>
      <c r="AP1474" s="67"/>
      <c r="AQ1474" s="67"/>
      <c r="AR1474" s="67"/>
      <c r="AS1474" s="67"/>
      <c r="AT1474" s="2"/>
      <c r="AU1474" s="2"/>
    </row>
    <row r="1475" spans="1:47" hidden="1" outlineLevel="1">
      <c r="A1475" s="298"/>
      <c r="B1475" s="55" t="s">
        <v>637</v>
      </c>
      <c r="C1475" s="18"/>
      <c r="D1475" s="18"/>
      <c r="E1475" s="18"/>
      <c r="F1475" s="18"/>
      <c r="G1475" s="18"/>
      <c r="H1475" s="18"/>
      <c r="I1475" s="18"/>
      <c r="J1475" s="18"/>
      <c r="K1475" s="2"/>
      <c r="L1475" s="2"/>
      <c r="M1475" s="2"/>
      <c r="N1475" s="2"/>
      <c r="O1475" s="2"/>
      <c r="P1475" s="2"/>
      <c r="Q1475" s="2"/>
      <c r="R1475" s="2"/>
      <c r="S1475" s="530">
        <v>7.8650000000000002</v>
      </c>
      <c r="T1475" s="530">
        <v>7.7329999999999997</v>
      </c>
      <c r="U1475" s="530">
        <v>7.407</v>
      </c>
      <c r="V1475" s="530">
        <v>7.1580000000000004</v>
      </c>
      <c r="W1475" s="579">
        <v>6.8769999999999998</v>
      </c>
      <c r="X1475" s="579">
        <v>6.5430000000000001</v>
      </c>
      <c r="Y1475" s="583">
        <v>6.2460000000000004</v>
      </c>
      <c r="Z1475" s="583">
        <v>5.9809999999999999</v>
      </c>
      <c r="AA1475" s="460">
        <v>5.6708994989979971</v>
      </c>
      <c r="AB1475" s="460">
        <v>4.9814462324649309</v>
      </c>
      <c r="AC1475" s="460">
        <v>3.7919929659318643</v>
      </c>
      <c r="AD1475" s="460">
        <v>2.7578130661322655</v>
      </c>
      <c r="AE1475" s="460">
        <v>1.3789065330661323</v>
      </c>
      <c r="AF1475" s="459">
        <v>0.68945326653306571</v>
      </c>
      <c r="AG1475" s="459">
        <v>0.48166332665330636</v>
      </c>
      <c r="AH1475" s="459">
        <v>0.48166332665330636</v>
      </c>
      <c r="AI1475" s="459">
        <v>0.48166332665330636</v>
      </c>
      <c r="AJ1475" s="459">
        <v>0</v>
      </c>
      <c r="AK1475" s="459">
        <v>0</v>
      </c>
      <c r="AL1475" s="459">
        <v>0</v>
      </c>
      <c r="AM1475" s="459">
        <v>0</v>
      </c>
      <c r="AN1475" s="459">
        <v>0</v>
      </c>
      <c r="AO1475" s="459">
        <v>0</v>
      </c>
      <c r="AP1475" s="459">
        <v>0</v>
      </c>
      <c r="AQ1475" s="459">
        <v>0</v>
      </c>
      <c r="AR1475" s="459">
        <v>0</v>
      </c>
      <c r="AS1475" s="459">
        <v>0</v>
      </c>
      <c r="AT1475" s="2"/>
      <c r="AU1475" s="2"/>
    </row>
    <row r="1476" spans="1:47" hidden="1" outlineLevel="1">
      <c r="A1476" s="298"/>
      <c r="B1476" s="241" t="s">
        <v>1099</v>
      </c>
      <c r="C1476" s="18"/>
      <c r="D1476" s="18"/>
      <c r="E1476" s="18"/>
      <c r="F1476" s="18"/>
      <c r="G1476" s="18"/>
      <c r="H1476" s="18"/>
      <c r="I1476" s="18"/>
      <c r="J1476" s="18"/>
      <c r="K1476" s="2"/>
      <c r="L1476" s="2"/>
      <c r="M1476" s="2"/>
      <c r="N1476" s="2"/>
      <c r="O1476" s="2"/>
      <c r="P1476" s="2"/>
      <c r="Q1476" s="2"/>
      <c r="R1476" s="2"/>
      <c r="S1476" s="2"/>
      <c r="T1476" s="5">
        <v>-1.6783216783216814E-2</v>
      </c>
      <c r="U1476" s="5">
        <v>-4.2156989525410582E-2</v>
      </c>
      <c r="V1476" s="5">
        <v>-3.3616848926690923E-2</v>
      </c>
      <c r="W1476" s="5">
        <v>-3.9256775635652441E-2</v>
      </c>
      <c r="X1476" s="5">
        <v>-4.8567689399447334E-2</v>
      </c>
      <c r="Y1476" s="5">
        <v>-4.5392022008253097E-2</v>
      </c>
      <c r="Z1476" s="2">
        <v>-4.2427153378162163E-2</v>
      </c>
      <c r="AA1476" s="2">
        <v>-5.1847600903193958E-2</v>
      </c>
      <c r="AB1476" s="2">
        <v>-0.12157740877878143</v>
      </c>
      <c r="AC1476" s="2">
        <v>-0.23877669476410235</v>
      </c>
      <c r="AD1476" s="2">
        <v>-0.2727272727272726</v>
      </c>
      <c r="AE1476" s="2">
        <v>-0.50000000000000022</v>
      </c>
      <c r="AF1476" s="2">
        <v>-0.50000000000000033</v>
      </c>
      <c r="AG1476" s="2">
        <v>-0.3013836469651332</v>
      </c>
      <c r="AH1476" s="2">
        <v>0</v>
      </c>
      <c r="AI1476" s="2">
        <v>0</v>
      </c>
      <c r="AJ1476" s="2">
        <v>-1</v>
      </c>
      <c r="AK1476" s="2">
        <v>0</v>
      </c>
      <c r="AL1476" s="2">
        <v>1</v>
      </c>
      <c r="AM1476" s="2">
        <v>2</v>
      </c>
      <c r="AN1476" s="2">
        <v>3</v>
      </c>
      <c r="AO1476" s="2">
        <v>4</v>
      </c>
      <c r="AP1476" s="2">
        <v>5</v>
      </c>
      <c r="AQ1476" s="2">
        <v>5</v>
      </c>
      <c r="AR1476" s="2">
        <v>5</v>
      </c>
      <c r="AS1476" s="2">
        <v>5</v>
      </c>
      <c r="AT1476" s="2"/>
      <c r="AU1476" s="2"/>
    </row>
    <row r="1477" spans="1:47" hidden="1" outlineLevel="1">
      <c r="A1477" s="298"/>
      <c r="B1477" s="55" t="s">
        <v>295</v>
      </c>
      <c r="C1477" s="18"/>
      <c r="D1477" s="18"/>
      <c r="E1477" s="18"/>
      <c r="F1477" s="18"/>
      <c r="G1477" s="18"/>
      <c r="H1477" s="18"/>
      <c r="I1477" s="18"/>
      <c r="J1477" s="18"/>
      <c r="K1477" s="2"/>
      <c r="L1477" s="2"/>
      <c r="M1477" s="2"/>
      <c r="N1477" s="2"/>
      <c r="O1477" s="2"/>
      <c r="P1477" s="2"/>
      <c r="Q1477" s="2"/>
      <c r="R1477" s="2"/>
      <c r="S1477" s="530">
        <v>1.496</v>
      </c>
      <c r="T1477" s="530">
        <v>1.2849999999999999</v>
      </c>
      <c r="U1477" s="530">
        <v>1.2529999999999999</v>
      </c>
      <c r="V1477" s="530">
        <v>1.212</v>
      </c>
      <c r="W1477" s="566">
        <v>1.18</v>
      </c>
      <c r="X1477" s="566">
        <v>1.2390000000000001</v>
      </c>
      <c r="Y1477" s="584">
        <v>1.2849999999999999</v>
      </c>
      <c r="Z1477" s="584">
        <v>1.3380000000000001</v>
      </c>
      <c r="AA1477" s="461">
        <v>1.3867735470941884</v>
      </c>
      <c r="AB1477" s="461">
        <v>1.2685370741482966</v>
      </c>
      <c r="AC1477" s="461">
        <v>1.1503006012024048</v>
      </c>
      <c r="AD1477" s="461">
        <v>0.97294589178356716</v>
      </c>
      <c r="AE1477" s="461">
        <v>0.73647294589178358</v>
      </c>
      <c r="AF1477" s="459">
        <v>0.61823647294589168</v>
      </c>
      <c r="AG1477" s="459">
        <v>0.5</v>
      </c>
      <c r="AH1477" s="459">
        <v>0.5</v>
      </c>
      <c r="AI1477" s="459">
        <v>0.5</v>
      </c>
      <c r="AJ1477" s="459">
        <v>0</v>
      </c>
      <c r="AK1477" s="459">
        <v>1</v>
      </c>
      <c r="AL1477" s="459">
        <v>2</v>
      </c>
      <c r="AM1477" s="459">
        <v>3</v>
      </c>
      <c r="AN1477" s="459">
        <v>4</v>
      </c>
      <c r="AO1477" s="459">
        <v>5</v>
      </c>
      <c r="AP1477" s="459">
        <v>6</v>
      </c>
      <c r="AQ1477" s="459">
        <v>6</v>
      </c>
      <c r="AR1477" s="459">
        <v>6</v>
      </c>
      <c r="AS1477" s="459">
        <v>6</v>
      </c>
      <c r="AT1477" s="2"/>
      <c r="AU1477" s="2"/>
    </row>
    <row r="1478" spans="1:47" hidden="1" outlineLevel="1">
      <c r="A1478" s="298"/>
      <c r="B1478" s="431" t="s">
        <v>1099</v>
      </c>
      <c r="C1478" s="22"/>
      <c r="D1478" s="22"/>
      <c r="E1478" s="22"/>
      <c r="F1478" s="22"/>
      <c r="G1478" s="22"/>
      <c r="H1478" s="22"/>
      <c r="I1478" s="22"/>
      <c r="J1478" s="22"/>
      <c r="K1478" s="23"/>
      <c r="L1478" s="23"/>
      <c r="M1478" s="23"/>
      <c r="N1478" s="23"/>
      <c r="O1478" s="23"/>
      <c r="P1478" s="23"/>
      <c r="Q1478" s="23"/>
      <c r="R1478" s="23"/>
      <c r="S1478" s="23"/>
      <c r="T1478" s="91">
        <v>-0.14104278074866317</v>
      </c>
      <c r="U1478" s="91">
        <v>-2.4902723735408583E-2</v>
      </c>
      <c r="V1478" s="91">
        <v>-3.2721468475658377E-2</v>
      </c>
      <c r="W1478" s="91">
        <v>-2.6402640264026389E-2</v>
      </c>
      <c r="X1478" s="91">
        <v>5.0000000000000044E-2</v>
      </c>
      <c r="Y1478" s="94">
        <v>3.7126715092816731E-2</v>
      </c>
      <c r="Z1478" s="23">
        <v>4.1245136186770504E-2</v>
      </c>
      <c r="AA1478" s="23">
        <v>3.6452576303578788E-2</v>
      </c>
      <c r="AB1478" s="23">
        <v>-8.5260115606936471E-2</v>
      </c>
      <c r="AC1478" s="23">
        <v>-9.3206951026856277E-2</v>
      </c>
      <c r="AD1478" s="23">
        <v>-0.15418118466898956</v>
      </c>
      <c r="AE1478" s="23">
        <v>-0.24304840370751801</v>
      </c>
      <c r="AF1478" s="23">
        <v>-0.16054421768707494</v>
      </c>
      <c r="AG1478" s="23">
        <v>-0.19124797406807115</v>
      </c>
      <c r="AH1478" s="23">
        <v>0</v>
      </c>
      <c r="AI1478" s="23">
        <v>0</v>
      </c>
      <c r="AJ1478" s="23">
        <v>-1</v>
      </c>
      <c r="AK1478" s="23">
        <v>0</v>
      </c>
      <c r="AL1478" s="23">
        <v>1</v>
      </c>
      <c r="AM1478" s="23">
        <v>2</v>
      </c>
      <c r="AN1478" s="23">
        <v>3</v>
      </c>
      <c r="AO1478" s="23">
        <v>4</v>
      </c>
      <c r="AP1478" s="23">
        <v>5</v>
      </c>
      <c r="AQ1478" s="23">
        <v>5</v>
      </c>
      <c r="AR1478" s="23">
        <v>5</v>
      </c>
      <c r="AS1478" s="23">
        <v>5</v>
      </c>
      <c r="AT1478" s="23"/>
      <c r="AU1478" s="23"/>
    </row>
    <row r="1479" spans="1:47" hidden="1" outlineLevel="1">
      <c r="A1479" s="298"/>
      <c r="B1479" s="59" t="s">
        <v>302</v>
      </c>
      <c r="C1479" s="18"/>
      <c r="D1479" s="18"/>
      <c r="E1479" s="18"/>
      <c r="F1479" s="18"/>
      <c r="G1479" s="18"/>
      <c r="H1479" s="18"/>
      <c r="I1479" s="18"/>
      <c r="J1479" s="18"/>
      <c r="K1479" s="2"/>
      <c r="L1479" s="2"/>
      <c r="M1479" s="2"/>
      <c r="N1479" s="2"/>
      <c r="O1479" s="2"/>
      <c r="P1479" s="2"/>
      <c r="Q1479" s="2"/>
      <c r="R1479" s="2"/>
      <c r="S1479" s="4">
        <v>9.3610000000000007</v>
      </c>
      <c r="T1479" s="4">
        <v>9.0179999999999989</v>
      </c>
      <c r="U1479" s="4">
        <v>8.66</v>
      </c>
      <c r="V1479" s="4">
        <v>8.370000000000001</v>
      </c>
      <c r="W1479" s="4">
        <v>8.0570000000000004</v>
      </c>
      <c r="X1479" s="95">
        <v>7.782</v>
      </c>
      <c r="Y1479" s="95">
        <v>7.5310000000000006</v>
      </c>
      <c r="Z1479" s="95">
        <v>7.319</v>
      </c>
      <c r="AA1479" s="95">
        <v>7.0576730460921855</v>
      </c>
      <c r="AB1479" s="95">
        <v>6.2499833066132275</v>
      </c>
      <c r="AC1479" s="95">
        <v>4.9422935671342696</v>
      </c>
      <c r="AD1479" s="95">
        <v>3.7307589579158327</v>
      </c>
      <c r="AE1479" s="95">
        <v>2.1153794789579159</v>
      </c>
      <c r="AF1479" s="95">
        <v>1.3076897394789575</v>
      </c>
      <c r="AG1479" s="95">
        <v>0.98166332665330636</v>
      </c>
      <c r="AH1479" s="95">
        <v>0.98166332665330636</v>
      </c>
      <c r="AI1479" s="95">
        <v>0.98166332665330636</v>
      </c>
      <c r="AJ1479" s="95">
        <v>0</v>
      </c>
      <c r="AK1479" s="95">
        <v>1</v>
      </c>
      <c r="AL1479" s="95">
        <v>2</v>
      </c>
      <c r="AM1479" s="95">
        <v>3</v>
      </c>
      <c r="AN1479" s="95">
        <v>4</v>
      </c>
      <c r="AO1479" s="95">
        <v>5</v>
      </c>
      <c r="AP1479" s="95">
        <v>6</v>
      </c>
      <c r="AQ1479" s="95">
        <v>6</v>
      </c>
      <c r="AR1479" s="95">
        <v>6</v>
      </c>
      <c r="AS1479" s="95">
        <v>6</v>
      </c>
      <c r="AT1479" s="2"/>
      <c r="AU1479" s="2"/>
    </row>
    <row r="1480" spans="1:47" hidden="1" outlineLevel="1">
      <c r="A1480" s="298"/>
      <c r="B1480" s="241" t="s">
        <v>1099</v>
      </c>
      <c r="C1480" s="18"/>
      <c r="D1480" s="18"/>
      <c r="E1480" s="18"/>
      <c r="F1480" s="18"/>
      <c r="G1480" s="18"/>
      <c r="H1480" s="18"/>
      <c r="I1480" s="18"/>
      <c r="J1480" s="18"/>
      <c r="K1480" s="2"/>
      <c r="L1480" s="2"/>
      <c r="M1480" s="2"/>
      <c r="N1480" s="2"/>
      <c r="O1480" s="2"/>
      <c r="P1480" s="2"/>
      <c r="Q1480" s="2"/>
      <c r="R1480" s="2"/>
      <c r="S1480" s="2"/>
      <c r="T1480" s="5">
        <v>-3.6641384467471561E-2</v>
      </c>
      <c r="U1480" s="5">
        <v>-3.9698381015746187E-2</v>
      </c>
      <c r="V1480" s="5">
        <v>-3.3487297921477976E-2</v>
      </c>
      <c r="W1480" s="5">
        <v>-3.7395459976105161E-2</v>
      </c>
      <c r="X1480" s="96">
        <v>-3.4131810847710109E-2</v>
      </c>
      <c r="Y1480" s="2">
        <v>-3.2253919300950895E-2</v>
      </c>
      <c r="Z1480" s="2">
        <v>-2.8150312043553449E-2</v>
      </c>
      <c r="AA1480" s="2">
        <v>-3.5705281309989734E-2</v>
      </c>
      <c r="AB1480" s="2">
        <v>-0.11444136533445304</v>
      </c>
      <c r="AC1480" s="2">
        <v>-0.20923091716025322</v>
      </c>
      <c r="AD1480" s="2">
        <v>-0.24513610791455498</v>
      </c>
      <c r="AE1480" s="2">
        <v>-0.43298950620501608</v>
      </c>
      <c r="AF1480" s="2">
        <v>-0.38181789485678697</v>
      </c>
      <c r="AG1480" s="2">
        <v>-0.24931480532649497</v>
      </c>
      <c r="AH1480" s="2">
        <v>0</v>
      </c>
      <c r="AI1480" s="2">
        <v>0</v>
      </c>
      <c r="AJ1480" s="2">
        <v>-1</v>
      </c>
      <c r="AK1480" s="2">
        <v>0</v>
      </c>
      <c r="AL1480" s="2">
        <v>1</v>
      </c>
      <c r="AM1480" s="2">
        <v>2</v>
      </c>
      <c r="AN1480" s="2">
        <v>3</v>
      </c>
      <c r="AO1480" s="2">
        <v>4</v>
      </c>
      <c r="AP1480" s="2">
        <v>5</v>
      </c>
      <c r="AQ1480" s="2">
        <v>5</v>
      </c>
      <c r="AR1480" s="2">
        <v>5</v>
      </c>
      <c r="AS1480" s="2">
        <v>5</v>
      </c>
      <c r="AT1480" s="2"/>
      <c r="AU1480" s="2"/>
    </row>
    <row r="1481" spans="1:47" hidden="1" outlineLevel="1">
      <c r="A1481" s="298"/>
      <c r="B1481" s="2"/>
      <c r="C1481" s="18"/>
      <c r="D1481" s="18"/>
      <c r="E1481" s="18"/>
      <c r="F1481" s="18"/>
      <c r="G1481" s="18"/>
      <c r="H1481" s="18"/>
      <c r="I1481" s="18"/>
      <c r="J1481" s="18"/>
      <c r="K1481" s="2"/>
      <c r="L1481" s="2"/>
      <c r="M1481" s="2"/>
      <c r="N1481" s="2"/>
      <c r="O1481" s="2"/>
      <c r="P1481" s="2"/>
      <c r="Q1481" s="2"/>
      <c r="R1481" s="2"/>
      <c r="S1481" s="67"/>
      <c r="T1481" s="67"/>
      <c r="U1481" s="67"/>
      <c r="V1481" s="67"/>
      <c r="W1481" s="67"/>
      <c r="X1481" s="67"/>
      <c r="Y1481" s="2"/>
      <c r="Z1481" s="2"/>
      <c r="AA1481" s="2"/>
      <c r="AB1481" s="2"/>
      <c r="AC1481" s="2"/>
      <c r="AD1481" s="2"/>
      <c r="AE1481" s="2"/>
      <c r="AF1481" s="2"/>
      <c r="AG1481" s="2"/>
      <c r="AH1481" s="2"/>
      <c r="AI1481" s="2"/>
      <c r="AJ1481" s="2"/>
      <c r="AK1481" s="2"/>
      <c r="AL1481" s="2"/>
      <c r="AM1481" s="2"/>
      <c r="AN1481" s="2"/>
      <c r="AO1481" s="2"/>
      <c r="AP1481" s="2"/>
      <c r="AQ1481" s="2"/>
      <c r="AR1481" s="2"/>
      <c r="AS1481" s="2"/>
      <c r="AT1481" s="2"/>
      <c r="AU1481" s="2"/>
    </row>
    <row r="1482" spans="1:47" hidden="1" outlineLevel="1">
      <c r="A1482" s="298"/>
      <c r="B1482" s="6" t="s">
        <v>1120</v>
      </c>
      <c r="C1482" s="18"/>
      <c r="D1482" s="18"/>
      <c r="E1482" s="18"/>
      <c r="F1482" s="18"/>
      <c r="G1482" s="18"/>
      <c r="H1482" s="18"/>
      <c r="I1482" s="18"/>
      <c r="J1482" s="18"/>
      <c r="K1482" s="2"/>
      <c r="L1482" s="2"/>
      <c r="M1482" s="2"/>
      <c r="N1482" s="2"/>
      <c r="O1482" s="2"/>
      <c r="P1482" s="2"/>
      <c r="Q1482" s="2"/>
      <c r="R1482" s="2"/>
      <c r="S1482" s="67"/>
      <c r="T1482" s="67"/>
      <c r="U1482" s="67"/>
      <c r="V1482" s="67"/>
      <c r="W1482" s="67"/>
      <c r="X1482" s="67"/>
      <c r="Y1482" s="2"/>
      <c r="Z1482" s="2"/>
      <c r="AA1482" s="2"/>
      <c r="AB1482" s="2"/>
      <c r="AC1482" s="2"/>
      <c r="AD1482" s="2"/>
      <c r="AE1482" s="2"/>
      <c r="AF1482" s="2"/>
      <c r="AG1482" s="2"/>
      <c r="AH1482" s="2"/>
      <c r="AI1482" s="2"/>
      <c r="AJ1482" s="2"/>
      <c r="AK1482" s="2"/>
      <c r="AL1482" s="2"/>
      <c r="AM1482" s="2"/>
      <c r="AN1482" s="2"/>
      <c r="AO1482" s="2"/>
      <c r="AP1482" s="2"/>
      <c r="AQ1482" s="2"/>
      <c r="AR1482" s="2"/>
      <c r="AS1482" s="2"/>
      <c r="AT1482" s="2"/>
      <c r="AU1482" s="2"/>
    </row>
    <row r="1483" spans="1:47" hidden="1" outlineLevel="1">
      <c r="A1483" s="298"/>
      <c r="B1483" s="55" t="s">
        <v>637</v>
      </c>
      <c r="C1483" s="18" t="s">
        <v>180</v>
      </c>
      <c r="D1483" s="18"/>
      <c r="E1483" s="18"/>
      <c r="F1483" s="18"/>
      <c r="G1483" s="18"/>
      <c r="H1483" s="18"/>
      <c r="I1483" s="18"/>
      <c r="J1483" s="18"/>
      <c r="K1483" s="2"/>
      <c r="L1483" s="2"/>
      <c r="M1483" s="2"/>
      <c r="N1483" s="2"/>
      <c r="O1483" s="2"/>
      <c r="P1483" s="2"/>
      <c r="Q1483" s="2"/>
      <c r="R1483" s="2"/>
      <c r="S1483" s="67">
        <v>7.8650000000000002</v>
      </c>
      <c r="T1483" s="67">
        <v>7.7989999999999995</v>
      </c>
      <c r="U1483" s="67">
        <v>7.57</v>
      </c>
      <c r="V1483" s="67">
        <v>7.2825000000000006</v>
      </c>
      <c r="W1483" s="67">
        <v>7.0175000000000001</v>
      </c>
      <c r="X1483" s="67">
        <v>6.71</v>
      </c>
      <c r="Y1483" s="67">
        <v>6.3945000000000007</v>
      </c>
      <c r="Z1483" s="67">
        <v>6.1135000000000002</v>
      </c>
      <c r="AA1483" s="1">
        <v>5.8259497494989985</v>
      </c>
      <c r="AB1483" s="1">
        <v>5.326172865731464</v>
      </c>
      <c r="AC1483" s="1">
        <v>4.3867195991983978</v>
      </c>
      <c r="AD1483" s="1">
        <v>3.2749030160320647</v>
      </c>
      <c r="AE1483" s="1">
        <v>2.0683597995991989</v>
      </c>
      <c r="AF1483" s="1">
        <v>1.034179899799599</v>
      </c>
      <c r="AG1483" s="1">
        <v>0.58555829659318603</v>
      </c>
      <c r="AH1483" s="1">
        <v>0.48166332665330636</v>
      </c>
      <c r="AI1483" s="1">
        <v>0.48166332665330636</v>
      </c>
      <c r="AJ1483" s="1">
        <v>0.24083166332665318</v>
      </c>
      <c r="AK1483" s="1">
        <v>0</v>
      </c>
      <c r="AL1483" s="1">
        <v>0</v>
      </c>
      <c r="AM1483" s="1">
        <v>0</v>
      </c>
      <c r="AN1483" s="1">
        <v>0</v>
      </c>
      <c r="AO1483" s="1">
        <v>0</v>
      </c>
      <c r="AP1483" s="1">
        <v>0</v>
      </c>
      <c r="AQ1483" s="1">
        <v>0</v>
      </c>
      <c r="AR1483" s="1">
        <v>0</v>
      </c>
      <c r="AS1483" s="1">
        <v>0</v>
      </c>
      <c r="AT1483" s="2"/>
      <c r="AU1483" s="2"/>
    </row>
    <row r="1484" spans="1:47" hidden="1" outlineLevel="1">
      <c r="A1484" s="298"/>
      <c r="B1484" s="57" t="s">
        <v>295</v>
      </c>
      <c r="C1484" s="22" t="s">
        <v>180</v>
      </c>
      <c r="D1484" s="22"/>
      <c r="E1484" s="22"/>
      <c r="F1484" s="22"/>
      <c r="G1484" s="22"/>
      <c r="H1484" s="22"/>
      <c r="I1484" s="22"/>
      <c r="J1484" s="22"/>
      <c r="K1484" s="23"/>
      <c r="L1484" s="23"/>
      <c r="M1484" s="23"/>
      <c r="N1484" s="23"/>
      <c r="O1484" s="23"/>
      <c r="P1484" s="23"/>
      <c r="Q1484" s="23"/>
      <c r="R1484" s="23"/>
      <c r="S1484" s="69">
        <v>1.496</v>
      </c>
      <c r="T1484" s="69">
        <v>1.3904999999999998</v>
      </c>
      <c r="U1484" s="69">
        <v>1.2689999999999999</v>
      </c>
      <c r="V1484" s="69">
        <v>1.2324999999999999</v>
      </c>
      <c r="W1484" s="69">
        <v>1.196</v>
      </c>
      <c r="X1484" s="69">
        <v>1.2095</v>
      </c>
      <c r="Y1484" s="69">
        <v>1.262</v>
      </c>
      <c r="Z1484" s="69">
        <v>1.3115000000000001</v>
      </c>
      <c r="AA1484" s="94">
        <v>1.3623867735470943</v>
      </c>
      <c r="AB1484" s="94">
        <v>1.3276553106212425</v>
      </c>
      <c r="AC1484" s="94">
        <v>1.2094188376753507</v>
      </c>
      <c r="AD1484" s="94">
        <v>1.061623246492986</v>
      </c>
      <c r="AE1484" s="94">
        <v>0.85470941883767537</v>
      </c>
      <c r="AF1484" s="94">
        <v>0.67735470941883769</v>
      </c>
      <c r="AG1484" s="94">
        <v>0.5591182364729459</v>
      </c>
      <c r="AH1484" s="94">
        <v>0.5</v>
      </c>
      <c r="AI1484" s="94">
        <v>0.5</v>
      </c>
      <c r="AJ1484" s="94">
        <v>0.25</v>
      </c>
      <c r="AK1484" s="94">
        <v>0</v>
      </c>
      <c r="AL1484" s="94">
        <v>0</v>
      </c>
      <c r="AM1484" s="94">
        <v>0</v>
      </c>
      <c r="AN1484" s="94">
        <v>0</v>
      </c>
      <c r="AO1484" s="94">
        <v>0</v>
      </c>
      <c r="AP1484" s="94">
        <v>0</v>
      </c>
      <c r="AQ1484" s="94">
        <v>0</v>
      </c>
      <c r="AR1484" s="94">
        <v>0</v>
      </c>
      <c r="AS1484" s="94">
        <v>0</v>
      </c>
      <c r="AT1484" s="2"/>
      <c r="AU1484" s="2"/>
    </row>
    <row r="1485" spans="1:47" hidden="1" outlineLevel="1">
      <c r="A1485" s="298"/>
      <c r="B1485" s="55" t="s">
        <v>665</v>
      </c>
      <c r="C1485" s="18" t="s">
        <v>180</v>
      </c>
      <c r="D1485" s="18"/>
      <c r="E1485" s="18"/>
      <c r="F1485" s="18"/>
      <c r="G1485" s="18"/>
      <c r="H1485" s="18"/>
      <c r="I1485" s="18"/>
      <c r="J1485" s="18"/>
      <c r="K1485" s="2"/>
      <c r="L1485" s="2"/>
      <c r="M1485" s="2"/>
      <c r="N1485" s="2"/>
      <c r="O1485" s="2"/>
      <c r="P1485" s="2"/>
      <c r="Q1485" s="2"/>
      <c r="R1485" s="2"/>
      <c r="S1485" s="67">
        <v>9.3610000000000007</v>
      </c>
      <c r="T1485" s="67">
        <v>9.1894999999999989</v>
      </c>
      <c r="U1485" s="67">
        <v>8.8390000000000004</v>
      </c>
      <c r="V1485" s="67">
        <v>8.5150000000000006</v>
      </c>
      <c r="W1485" s="67">
        <v>8.2134999999999998</v>
      </c>
      <c r="X1485" s="67">
        <v>7.9195000000000002</v>
      </c>
      <c r="Y1485" s="68">
        <v>7.6565000000000012</v>
      </c>
      <c r="Z1485" s="67">
        <v>7.4250000000000007</v>
      </c>
      <c r="AA1485" s="1">
        <v>7.1883365230460932</v>
      </c>
      <c r="AB1485" s="1">
        <v>6.6538281763527065</v>
      </c>
      <c r="AC1485" s="1">
        <v>5.5961384368737486</v>
      </c>
      <c r="AD1485" s="1">
        <v>4.3365262625250507</v>
      </c>
      <c r="AE1485" s="1">
        <v>2.9230692184368743</v>
      </c>
      <c r="AF1485" s="1">
        <v>1.7115346092184367</v>
      </c>
      <c r="AG1485" s="1">
        <v>1.1446765330661319</v>
      </c>
      <c r="AH1485" s="1">
        <v>0.98166332665330636</v>
      </c>
      <c r="AI1485" s="1">
        <v>0.98166332665330636</v>
      </c>
      <c r="AJ1485" s="1">
        <v>0.49083166332665318</v>
      </c>
      <c r="AK1485" s="1">
        <v>0</v>
      </c>
      <c r="AL1485" s="1">
        <v>0</v>
      </c>
      <c r="AM1485" s="1">
        <v>0</v>
      </c>
      <c r="AN1485" s="1">
        <v>0</v>
      </c>
      <c r="AO1485" s="1">
        <v>0</v>
      </c>
      <c r="AP1485" s="1">
        <v>0</v>
      </c>
      <c r="AQ1485" s="1">
        <v>0</v>
      </c>
      <c r="AR1485" s="1">
        <v>0</v>
      </c>
      <c r="AS1485" s="1">
        <v>0</v>
      </c>
      <c r="AT1485" s="2"/>
      <c r="AU1485" s="2"/>
    </row>
    <row r="1486" spans="1:47" hidden="1" outlineLevel="1">
      <c r="A1486" s="298"/>
      <c r="B1486" s="2"/>
      <c r="C1486" s="18"/>
      <c r="D1486" s="18"/>
      <c r="E1486" s="18"/>
      <c r="F1486" s="18"/>
      <c r="G1486" s="18"/>
      <c r="H1486" s="18"/>
      <c r="I1486" s="18"/>
      <c r="J1486" s="18"/>
      <c r="K1486" s="2"/>
      <c r="L1486" s="2"/>
      <c r="M1486" s="2"/>
      <c r="N1486" s="2"/>
      <c r="O1486" s="2"/>
      <c r="P1486" s="2"/>
      <c r="Q1486" s="2"/>
      <c r="R1486" s="2"/>
      <c r="S1486" s="67"/>
      <c r="T1486" s="67"/>
      <c r="U1486" s="67"/>
      <c r="V1486" s="67"/>
      <c r="W1486" s="67"/>
      <c r="X1486" s="67"/>
      <c r="Y1486" s="67"/>
      <c r="Z1486" s="67"/>
      <c r="AA1486" s="67"/>
      <c r="AB1486" s="67"/>
      <c r="AC1486" s="67"/>
      <c r="AD1486" s="67"/>
      <c r="AE1486" s="67"/>
      <c r="AF1486" s="67"/>
      <c r="AG1486" s="67"/>
      <c r="AH1486" s="67"/>
      <c r="AI1486" s="67"/>
      <c r="AJ1486" s="67"/>
      <c r="AK1486" s="67"/>
      <c r="AL1486" s="67"/>
      <c r="AM1486" s="67"/>
      <c r="AN1486" s="67"/>
      <c r="AO1486" s="67"/>
      <c r="AP1486" s="67"/>
      <c r="AQ1486" s="67"/>
      <c r="AR1486" s="67"/>
      <c r="AS1486" s="67"/>
      <c r="AT1486" s="2"/>
      <c r="AU1486" s="2"/>
    </row>
    <row r="1487" spans="1:47" hidden="1" outlineLevel="1">
      <c r="A1487" s="298"/>
      <c r="B1487" s="2"/>
      <c r="C1487" s="18"/>
      <c r="D1487" s="18"/>
      <c r="E1487" s="18"/>
      <c r="F1487" s="18"/>
      <c r="G1487" s="18"/>
      <c r="H1487" s="18"/>
      <c r="I1487" s="18"/>
      <c r="J1487" s="18"/>
      <c r="K1487" s="2"/>
      <c r="L1487" s="2"/>
      <c r="M1487" s="2"/>
      <c r="N1487" s="2"/>
      <c r="O1487" s="2"/>
      <c r="P1487" s="2"/>
      <c r="Q1487" s="2"/>
      <c r="R1487" s="2"/>
      <c r="S1487" s="67"/>
      <c r="T1487" s="67"/>
      <c r="U1487" s="67"/>
      <c r="V1487" s="67"/>
      <c r="W1487" s="67"/>
      <c r="X1487" s="67"/>
      <c r="Y1487" s="67"/>
      <c r="Z1487" s="67"/>
      <c r="AA1487" s="67"/>
      <c r="AB1487" s="67"/>
      <c r="AC1487" s="67"/>
      <c r="AD1487" s="67"/>
      <c r="AE1487" s="67"/>
      <c r="AF1487" s="67"/>
      <c r="AG1487" s="67"/>
      <c r="AH1487" s="67"/>
      <c r="AI1487" s="67"/>
      <c r="AJ1487" s="67"/>
      <c r="AK1487" s="67"/>
      <c r="AL1487" s="67"/>
      <c r="AM1487" s="67"/>
      <c r="AN1487" s="67"/>
      <c r="AO1487" s="67"/>
      <c r="AP1487" s="67"/>
      <c r="AQ1487" s="67"/>
      <c r="AR1487" s="67"/>
      <c r="AS1487" s="67"/>
      <c r="AT1487" s="2"/>
      <c r="AU1487" s="2"/>
    </row>
    <row r="1488" spans="1:47" hidden="1" outlineLevel="1">
      <c r="A1488" s="298"/>
      <c r="B1488" s="55" t="s">
        <v>1022</v>
      </c>
      <c r="C1488" s="18" t="s">
        <v>180</v>
      </c>
      <c r="D1488" s="18"/>
      <c r="E1488" s="18"/>
      <c r="F1488" s="18"/>
      <c r="G1488" s="18"/>
      <c r="H1488" s="18"/>
      <c r="I1488" s="18"/>
      <c r="J1488" s="18"/>
      <c r="K1488" s="2"/>
      <c r="L1488" s="2"/>
      <c r="M1488" s="2"/>
      <c r="N1488" s="2"/>
      <c r="O1488" s="2"/>
      <c r="P1488" s="2"/>
      <c r="Q1488" s="2"/>
      <c r="R1488" s="2"/>
      <c r="S1488" s="67"/>
      <c r="T1488" s="67"/>
      <c r="U1488" s="67"/>
      <c r="V1488" s="67"/>
      <c r="W1488" s="67"/>
      <c r="X1488" s="67"/>
      <c r="Y1488" s="566">
        <v>7.53</v>
      </c>
      <c r="Z1488" s="566">
        <v>7.319</v>
      </c>
      <c r="AA1488" s="566">
        <v>7.0380000000000003</v>
      </c>
      <c r="AB1488" s="566">
        <v>6.492</v>
      </c>
      <c r="AC1488" s="566">
        <v>5.7329999999999997</v>
      </c>
      <c r="AD1488" s="3">
        <v>5.4463499999999998</v>
      </c>
      <c r="AE1488" s="3">
        <v>5.1740324999999991</v>
      </c>
      <c r="AF1488" s="3">
        <v>4.9153308749999987</v>
      </c>
      <c r="AG1488" s="3">
        <v>4.6695643312499984</v>
      </c>
      <c r="AH1488" s="3">
        <v>4.4360861146874981</v>
      </c>
      <c r="AI1488" s="3">
        <v>4.2142818089531229</v>
      </c>
      <c r="AJ1488" s="3">
        <v>4.0035677185054661</v>
      </c>
      <c r="AK1488" s="3">
        <v>3.8033893325801924</v>
      </c>
      <c r="AL1488" s="3">
        <v>3.6132198659511827</v>
      </c>
      <c r="AM1488" s="3">
        <v>3.4325588726536234</v>
      </c>
      <c r="AN1488" s="3">
        <v>3.2609309290209421</v>
      </c>
      <c r="AO1488" s="3">
        <v>3.097884382569895</v>
      </c>
      <c r="AP1488" s="3">
        <v>2.9429901634414</v>
      </c>
      <c r="AQ1488" s="3">
        <v>2.9429901634414</v>
      </c>
      <c r="AR1488" s="3">
        <v>2.9429901634414</v>
      </c>
      <c r="AS1488" s="3">
        <v>2.9429901634414</v>
      </c>
      <c r="AT1488" s="2"/>
      <c r="AU1488" s="2"/>
    </row>
    <row r="1489" spans="1:47" hidden="1" outlineLevel="1">
      <c r="A1489" s="298"/>
      <c r="B1489" s="2"/>
      <c r="C1489" s="18"/>
      <c r="D1489" s="18"/>
      <c r="E1489" s="18"/>
      <c r="F1489" s="18"/>
      <c r="G1489" s="18"/>
      <c r="H1489" s="18"/>
      <c r="I1489" s="18"/>
      <c r="J1489" s="18"/>
      <c r="K1489" s="2"/>
      <c r="L1489" s="2"/>
      <c r="M1489" s="2"/>
      <c r="N1489" s="2"/>
      <c r="O1489" s="2"/>
      <c r="P1489" s="2"/>
      <c r="Q1489" s="2"/>
      <c r="R1489" s="2"/>
      <c r="S1489" s="67"/>
      <c r="T1489" s="67"/>
      <c r="U1489" s="67"/>
      <c r="V1489" s="67"/>
      <c r="W1489" s="67"/>
      <c r="X1489" s="67"/>
      <c r="Y1489" s="67"/>
      <c r="Z1489" s="2">
        <v>-2.8021248339973437E-2</v>
      </c>
      <c r="AA1489" s="2">
        <v>-3.8393223117912267E-2</v>
      </c>
      <c r="AB1489" s="2">
        <v>-7.7578857630008602E-2</v>
      </c>
      <c r="AC1489" s="2">
        <v>-0.11691312384473207</v>
      </c>
      <c r="AD1489" s="581">
        <v>-0.05</v>
      </c>
      <c r="AE1489" s="267">
        <v>-0.05</v>
      </c>
      <c r="AF1489" s="267">
        <v>-0.05</v>
      </c>
      <c r="AG1489" s="267">
        <v>-0.05</v>
      </c>
      <c r="AH1489" s="267">
        <v>-0.05</v>
      </c>
      <c r="AI1489" s="267">
        <v>-0.05</v>
      </c>
      <c r="AJ1489" s="267">
        <v>-0.05</v>
      </c>
      <c r="AK1489" s="267">
        <v>-0.05</v>
      </c>
      <c r="AL1489" s="267">
        <v>-0.05</v>
      </c>
      <c r="AM1489" s="267">
        <v>-0.05</v>
      </c>
      <c r="AN1489" s="267">
        <v>-0.05</v>
      </c>
      <c r="AO1489" s="267">
        <v>-0.05</v>
      </c>
      <c r="AP1489" s="267">
        <v>-0.05</v>
      </c>
      <c r="AQ1489" s="267">
        <v>-0.05</v>
      </c>
      <c r="AR1489" s="267">
        <v>-0.05</v>
      </c>
      <c r="AS1489" s="267">
        <v>-0.05</v>
      </c>
      <c r="AT1489" s="2"/>
      <c r="AU1489" s="2"/>
    </row>
    <row r="1490" spans="1:47" hidden="1" outlineLevel="1">
      <c r="A1490" s="298"/>
      <c r="B1490" s="2"/>
      <c r="C1490" s="18"/>
      <c r="D1490" s="18"/>
      <c r="E1490" s="18"/>
      <c r="F1490" s="18"/>
      <c r="G1490" s="18"/>
      <c r="H1490" s="18"/>
      <c r="I1490" s="18"/>
      <c r="J1490" s="18"/>
      <c r="K1490" s="2"/>
      <c r="L1490" s="2"/>
      <c r="M1490" s="2"/>
      <c r="N1490" s="2"/>
      <c r="O1490" s="2"/>
      <c r="P1490" s="2"/>
      <c r="Q1490" s="2"/>
      <c r="R1490" s="2"/>
      <c r="S1490" s="67"/>
      <c r="T1490" s="67"/>
      <c r="U1490" s="67"/>
      <c r="V1490" s="67"/>
      <c r="W1490" s="67"/>
      <c r="X1490" s="67"/>
      <c r="Y1490" s="67"/>
      <c r="Z1490" s="67"/>
      <c r="AA1490" s="67"/>
      <c r="AB1490" s="67"/>
      <c r="AC1490" s="67"/>
      <c r="AD1490" s="67"/>
      <c r="AE1490" s="67"/>
      <c r="AF1490" s="67"/>
      <c r="AG1490" s="67"/>
      <c r="AH1490" s="67"/>
      <c r="AI1490" s="67"/>
      <c r="AJ1490" s="67"/>
      <c r="AK1490" s="67"/>
      <c r="AL1490" s="67"/>
      <c r="AM1490" s="67"/>
      <c r="AN1490" s="67"/>
      <c r="AO1490" s="67"/>
      <c r="AP1490" s="67"/>
      <c r="AQ1490" s="67"/>
      <c r="AR1490" s="67"/>
      <c r="AS1490" s="67"/>
      <c r="AT1490" s="2"/>
      <c r="AU1490" s="2"/>
    </row>
    <row r="1491" spans="1:47" hidden="1" outlineLevel="1">
      <c r="A1491" s="298"/>
      <c r="B1491" s="6" t="s">
        <v>1121</v>
      </c>
      <c r="C1491" s="18"/>
      <c r="D1491" s="18"/>
      <c r="E1491" s="18"/>
      <c r="F1491" s="18"/>
      <c r="G1491" s="18"/>
      <c r="H1491" s="18"/>
      <c r="I1491" s="18"/>
      <c r="J1491" s="18"/>
      <c r="K1491" s="2"/>
      <c r="L1491" s="2"/>
      <c r="M1491" s="2"/>
      <c r="N1491" s="2"/>
      <c r="O1491" s="2"/>
      <c r="P1491" s="2"/>
      <c r="Q1491" s="2"/>
      <c r="R1491" s="2"/>
      <c r="S1491" s="2"/>
      <c r="T1491" s="2"/>
      <c r="U1491" s="2"/>
      <c r="V1491" s="2"/>
      <c r="W1491" s="2"/>
      <c r="X1491" s="2"/>
      <c r="Y1491" s="2"/>
      <c r="Z1491" s="2"/>
      <c r="AA1491" s="2"/>
      <c r="AB1491" s="2"/>
      <c r="AC1491" s="2"/>
      <c r="AD1491" s="2"/>
      <c r="AE1491" s="2"/>
      <c r="AF1491" s="2"/>
      <c r="AG1491" s="2"/>
      <c r="AH1491" s="2"/>
      <c r="AI1491" s="2"/>
      <c r="AJ1491" s="2"/>
      <c r="AK1491" s="2"/>
      <c r="AL1491" s="2"/>
      <c r="AM1491" s="2"/>
      <c r="AN1491" s="2"/>
      <c r="AO1491" s="2"/>
      <c r="AP1491" s="2"/>
      <c r="AQ1491" s="2"/>
      <c r="AR1491" s="2"/>
      <c r="AS1491" s="2"/>
      <c r="AT1491" s="2"/>
      <c r="AU1491" s="2"/>
    </row>
    <row r="1492" spans="1:47" hidden="1" outlineLevel="1">
      <c r="A1492" s="298"/>
      <c r="B1492" s="55" t="s">
        <v>307</v>
      </c>
      <c r="C1492" s="18" t="s">
        <v>306</v>
      </c>
      <c r="D1492" s="18"/>
      <c r="E1492" s="18"/>
      <c r="F1492" s="18"/>
      <c r="G1492" s="18"/>
      <c r="H1492" s="18"/>
      <c r="I1492" s="18"/>
      <c r="J1492" s="18"/>
      <c r="K1492" s="2"/>
      <c r="L1492" s="2"/>
      <c r="M1492" s="2"/>
      <c r="N1492" s="2"/>
      <c r="O1492" s="2"/>
      <c r="P1492" s="2"/>
      <c r="Q1492" s="2"/>
      <c r="R1492" s="2"/>
      <c r="S1492" s="530">
        <v>58.11</v>
      </c>
      <c r="T1492" s="530">
        <v>57.46</v>
      </c>
      <c r="U1492" s="530">
        <v>54.99</v>
      </c>
      <c r="V1492" s="530">
        <v>52.41</v>
      </c>
      <c r="W1492" s="563">
        <v>48.88</v>
      </c>
      <c r="X1492" s="563">
        <v>45.89</v>
      </c>
      <c r="Y1492" s="92">
        <v>43.906049326280502</v>
      </c>
      <c r="Z1492" s="92">
        <v>42.042648709315372</v>
      </c>
      <c r="AA1492" s="92">
        <v>39.844638011646147</v>
      </c>
      <c r="AB1492" s="563">
        <v>38.5</v>
      </c>
      <c r="AC1492" s="563">
        <v>36.020000000000003</v>
      </c>
      <c r="AD1492" s="92">
        <v>34.219000000000001</v>
      </c>
      <c r="AE1492" s="92">
        <v>32.508049999999997</v>
      </c>
      <c r="AF1492" s="92">
        <v>30.882647499999997</v>
      </c>
      <c r="AG1492" s="92">
        <v>29.338515124999997</v>
      </c>
      <c r="AH1492" s="92">
        <v>27.871589368749994</v>
      </c>
      <c r="AI1492" s="92">
        <v>26.478009900312493</v>
      </c>
      <c r="AJ1492" s="92">
        <v>25.154109405296868</v>
      </c>
      <c r="AK1492" s="92">
        <v>23.896403935032023</v>
      </c>
      <c r="AL1492" s="92">
        <v>22.701583738280419</v>
      </c>
      <c r="AM1492" s="92">
        <v>21.566504551366396</v>
      </c>
      <c r="AN1492" s="92">
        <v>20.488179323798075</v>
      </c>
      <c r="AO1492" s="92">
        <v>19.463770357608169</v>
      </c>
      <c r="AP1492" s="92">
        <v>18.49058183972776</v>
      </c>
      <c r="AQ1492" s="92">
        <v>18.49058183972776</v>
      </c>
      <c r="AR1492" s="92">
        <v>18.49058183972776</v>
      </c>
      <c r="AS1492" s="92">
        <v>18.49058183972776</v>
      </c>
      <c r="AT1492" s="2"/>
      <c r="AU1492" s="2"/>
    </row>
    <row r="1493" spans="1:47" hidden="1" outlineLevel="1">
      <c r="A1493" s="298"/>
      <c r="B1493" s="241" t="s">
        <v>1099</v>
      </c>
      <c r="C1493" s="18" t="s">
        <v>733</v>
      </c>
      <c r="D1493" s="18"/>
      <c r="E1493" s="18"/>
      <c r="F1493" s="18"/>
      <c r="G1493" s="18"/>
      <c r="H1493" s="18"/>
      <c r="I1493" s="18"/>
      <c r="J1493" s="18"/>
      <c r="K1493" s="2"/>
      <c r="L1493" s="2"/>
      <c r="M1493" s="2"/>
      <c r="N1493" s="2"/>
      <c r="O1493" s="2"/>
      <c r="P1493" s="2"/>
      <c r="Q1493" s="2"/>
      <c r="R1493" s="2"/>
      <c r="S1493" s="2"/>
      <c r="T1493" s="5">
        <v>-1.1185682326621871E-2</v>
      </c>
      <c r="U1493" s="5">
        <v>-4.2986425339366474E-2</v>
      </c>
      <c r="V1493" s="5">
        <v>-4.6917621385706543E-2</v>
      </c>
      <c r="W1493" s="5">
        <v>-6.7353558481205722E-2</v>
      </c>
      <c r="X1493" s="5">
        <v>-6.1170212765957466E-2</v>
      </c>
      <c r="Y1493" s="5">
        <v>-4.3232745123545357E-2</v>
      </c>
      <c r="Z1493" s="5">
        <v>-4.2440635073257904E-2</v>
      </c>
      <c r="AA1493" s="5">
        <v>-5.2280500043333733E-2</v>
      </c>
      <c r="AB1493" s="5">
        <v>-3.3747025415392762E-2</v>
      </c>
      <c r="AC1493" s="97">
        <v>-6.441558441558437E-2</v>
      </c>
      <c r="AD1493" s="581">
        <v>-0.05</v>
      </c>
      <c r="AE1493" s="581">
        <v>-0.05</v>
      </c>
      <c r="AF1493" s="581">
        <v>-0.05</v>
      </c>
      <c r="AG1493" s="581">
        <v>-0.05</v>
      </c>
      <c r="AH1493" s="581">
        <v>-0.05</v>
      </c>
      <c r="AI1493" s="581">
        <v>-0.05</v>
      </c>
      <c r="AJ1493" s="581">
        <v>-0.05</v>
      </c>
      <c r="AK1493" s="581">
        <v>-0.05</v>
      </c>
      <c r="AL1493" s="581">
        <v>-0.05</v>
      </c>
      <c r="AM1493" s="581">
        <v>-0.05</v>
      </c>
      <c r="AN1493" s="581">
        <v>-0.05</v>
      </c>
      <c r="AO1493" s="581">
        <v>-0.05</v>
      </c>
      <c r="AP1493" s="581">
        <v>-0.05</v>
      </c>
      <c r="AQ1493" s="581">
        <v>-0.05</v>
      </c>
      <c r="AR1493" s="581">
        <v>-0.05</v>
      </c>
      <c r="AS1493" s="581">
        <v>-0.05</v>
      </c>
      <c r="AT1493" s="2"/>
      <c r="AU1493" s="2"/>
    </row>
    <row r="1494" spans="1:47" hidden="1" outlineLevel="1">
      <c r="A1494" s="298"/>
      <c r="B1494" s="55"/>
      <c r="C1494" s="18"/>
      <c r="D1494" s="18"/>
      <c r="E1494" s="18"/>
      <c r="F1494" s="18"/>
      <c r="G1494" s="18"/>
      <c r="H1494" s="18"/>
      <c r="I1494" s="18"/>
      <c r="J1494" s="18"/>
      <c r="K1494" s="2"/>
      <c r="L1494" s="2"/>
      <c r="M1494" s="2"/>
      <c r="N1494" s="2"/>
      <c r="O1494" s="2"/>
      <c r="P1494" s="2"/>
      <c r="Q1494" s="2"/>
      <c r="R1494" s="2"/>
      <c r="S1494" s="2"/>
      <c r="T1494" s="5"/>
      <c r="U1494" s="5"/>
      <c r="V1494" s="5"/>
      <c r="W1494" s="5"/>
      <c r="X1494" s="5"/>
      <c r="Y1494" s="5"/>
      <c r="Z1494" s="5"/>
      <c r="AA1494" s="5"/>
      <c r="AB1494" s="5"/>
      <c r="AC1494" s="5"/>
      <c r="AD1494" s="5"/>
      <c r="AE1494" s="5"/>
      <c r="AF1494" s="5"/>
      <c r="AG1494" s="5"/>
      <c r="AH1494" s="5"/>
      <c r="AI1494" s="5"/>
      <c r="AJ1494" s="5"/>
      <c r="AK1494" s="5"/>
      <c r="AL1494" s="5"/>
      <c r="AM1494" s="5"/>
      <c r="AN1494" s="5"/>
      <c r="AO1494" s="5"/>
      <c r="AP1494" s="5"/>
      <c r="AQ1494" s="5"/>
      <c r="AR1494" s="5"/>
      <c r="AS1494" s="5"/>
      <c r="AT1494" s="2"/>
      <c r="AU1494" s="2"/>
    </row>
    <row r="1495" spans="1:47" hidden="1" outlineLevel="1">
      <c r="A1495" s="298"/>
      <c r="B1495" s="173" t="s">
        <v>952</v>
      </c>
      <c r="C1495" s="169" t="s">
        <v>732</v>
      </c>
      <c r="D1495" s="169"/>
      <c r="E1495" s="169"/>
      <c r="F1495" s="169"/>
      <c r="G1495" s="169"/>
      <c r="H1495" s="169"/>
      <c r="I1495" s="169"/>
      <c r="J1495" s="169"/>
      <c r="K1495" s="173"/>
      <c r="L1495" s="173"/>
      <c r="M1495" s="173"/>
      <c r="N1495" s="173"/>
      <c r="O1495" s="173"/>
      <c r="P1495" s="173"/>
      <c r="Q1495" s="173"/>
      <c r="R1495" s="173"/>
      <c r="S1495" s="215">
        <v>6527.6125199999997</v>
      </c>
      <c r="T1495" s="215">
        <v>6336.344039999999</v>
      </c>
      <c r="U1495" s="215">
        <v>5832.6793200000002</v>
      </c>
      <c r="V1495" s="215">
        <v>5355.2538000000004</v>
      </c>
      <c r="W1495" s="215">
        <v>4817.7105600000004</v>
      </c>
      <c r="X1495" s="215">
        <v>4359.1102600000004</v>
      </c>
      <c r="Y1495" s="585">
        <v>4034</v>
      </c>
      <c r="Z1495" s="585">
        <v>3746</v>
      </c>
      <c r="AA1495" s="585">
        <v>3437</v>
      </c>
      <c r="AB1495" s="585">
        <v>3124</v>
      </c>
      <c r="AC1495" s="585">
        <v>2642</v>
      </c>
      <c r="AD1495" s="215">
        <v>2236.4238078000003</v>
      </c>
      <c r="AE1495" s="215">
        <v>2018.3724865394995</v>
      </c>
      <c r="AF1495" s="215">
        <v>1821.5811691018982</v>
      </c>
      <c r="AG1495" s="215">
        <v>1643.9770051144628</v>
      </c>
      <c r="AH1495" s="215">
        <v>1483.6892471158026</v>
      </c>
      <c r="AI1495" s="215">
        <v>1339.0295455220116</v>
      </c>
      <c r="AJ1495" s="215">
        <v>1208.4741648336153</v>
      </c>
      <c r="AK1495" s="215">
        <v>1090.6479337623375</v>
      </c>
      <c r="AL1495" s="215">
        <v>984.30976022050947</v>
      </c>
      <c r="AM1495" s="215">
        <v>888.33955859900971</v>
      </c>
      <c r="AN1495" s="215">
        <v>801.72645163560617</v>
      </c>
      <c r="AO1495" s="215">
        <v>723.55812260113453</v>
      </c>
      <c r="AP1495" s="215">
        <v>653.01120564752375</v>
      </c>
      <c r="AQ1495" s="215">
        <v>653.01120564752375</v>
      </c>
      <c r="AR1495" s="215">
        <v>653.01120564752375</v>
      </c>
      <c r="AS1495" s="215">
        <v>653.01120564752375</v>
      </c>
      <c r="AT1495" s="2"/>
      <c r="AU1495" s="2"/>
    </row>
    <row r="1496" spans="1:47" hidden="1" outlineLevel="1">
      <c r="A1496" s="298"/>
      <c r="B1496" s="241" t="s">
        <v>1099</v>
      </c>
      <c r="C1496" s="18" t="s">
        <v>733</v>
      </c>
      <c r="D1496" s="18"/>
      <c r="E1496" s="18"/>
      <c r="F1496" s="18"/>
      <c r="G1496" s="18"/>
      <c r="H1496" s="18"/>
      <c r="I1496" s="18"/>
      <c r="J1496" s="18"/>
      <c r="K1496" s="2"/>
      <c r="L1496" s="2"/>
      <c r="M1496" s="2"/>
      <c r="N1496" s="2"/>
      <c r="O1496" s="2"/>
      <c r="P1496" s="2"/>
      <c r="Q1496" s="2"/>
      <c r="R1496" s="2"/>
      <c r="S1496" s="2"/>
      <c r="T1496" s="5">
        <v>-2.9301445117027369E-2</v>
      </c>
      <c r="U1496" s="5">
        <v>-7.9488221728566177E-2</v>
      </c>
      <c r="V1496" s="5">
        <v>-8.1853551996751928E-2</v>
      </c>
      <c r="W1496" s="5">
        <v>-0.10037680006874738</v>
      </c>
      <c r="X1496" s="5">
        <v>-9.5190504761249128E-2</v>
      </c>
      <c r="Y1496" s="5">
        <v>-7.4581793212085468E-2</v>
      </c>
      <c r="Z1496" s="5">
        <v>-7.1393158155676706E-2</v>
      </c>
      <c r="AA1496" s="5">
        <v>-8.2487987186332101E-2</v>
      </c>
      <c r="AB1496" s="5">
        <v>-9.1067791678789645E-2</v>
      </c>
      <c r="AC1496" s="5">
        <v>-0.1542893725992317</v>
      </c>
      <c r="AD1496" s="5">
        <v>-0.15351104928084769</v>
      </c>
      <c r="AE1496" s="5">
        <v>-9.7500000000000364E-2</v>
      </c>
      <c r="AF1496" s="5">
        <v>-9.7500000000000031E-2</v>
      </c>
      <c r="AG1496" s="5">
        <v>-9.7500000000000142E-2</v>
      </c>
      <c r="AH1496" s="5">
        <v>-9.7500000000000031E-2</v>
      </c>
      <c r="AI1496" s="5">
        <v>-9.7500000000000142E-2</v>
      </c>
      <c r="AJ1496" s="5">
        <v>-9.7500000000000142E-2</v>
      </c>
      <c r="AK1496" s="5">
        <v>-9.7500000000000253E-2</v>
      </c>
      <c r="AL1496" s="5">
        <v>-9.7500000000000142E-2</v>
      </c>
      <c r="AM1496" s="5">
        <v>-9.7500000000000142E-2</v>
      </c>
      <c r="AN1496" s="5">
        <v>-9.7500000000000142E-2</v>
      </c>
      <c r="AO1496" s="5">
        <v>-9.7500000000000031E-2</v>
      </c>
      <c r="AP1496" s="5">
        <v>-9.7500000000000253E-2</v>
      </c>
      <c r="AQ1496" s="5">
        <v>-9.7500000000000253E-2</v>
      </c>
      <c r="AR1496" s="5">
        <v>-9.7500000000000253E-2</v>
      </c>
      <c r="AS1496" s="5">
        <v>-9.7500000000000253E-2</v>
      </c>
      <c r="AT1496" s="2"/>
      <c r="AU1496" s="2"/>
    </row>
    <row r="1497" spans="1:47" hidden="1" outlineLevel="1">
      <c r="A1497" s="298"/>
      <c r="B1497" s="55"/>
      <c r="C1497" s="18"/>
      <c r="D1497" s="18"/>
      <c r="E1497" s="18"/>
      <c r="F1497" s="18"/>
      <c r="G1497" s="18"/>
      <c r="H1497" s="18"/>
      <c r="I1497" s="18"/>
      <c r="J1497" s="18"/>
      <c r="K1497" s="2"/>
      <c r="L1497" s="2"/>
      <c r="M1497" s="2"/>
      <c r="N1497" s="2"/>
      <c r="O1497" s="2"/>
      <c r="P1497" s="2"/>
      <c r="Q1497" s="2"/>
      <c r="R1497" s="2"/>
      <c r="S1497" s="2"/>
      <c r="T1497" s="5"/>
      <c r="U1497" s="5"/>
      <c r="V1497" s="5"/>
      <c r="W1497" s="5"/>
      <c r="X1497" s="5"/>
      <c r="Y1497" s="5"/>
      <c r="Z1497" s="5"/>
      <c r="AA1497" s="5"/>
      <c r="AB1497" s="5"/>
      <c r="AC1497" s="5"/>
      <c r="AD1497" s="5"/>
      <c r="AE1497" s="5"/>
      <c r="AF1497" s="5"/>
      <c r="AG1497" s="5"/>
      <c r="AH1497" s="5"/>
      <c r="AI1497" s="5"/>
      <c r="AJ1497" s="5"/>
      <c r="AK1497" s="5"/>
      <c r="AL1497" s="5"/>
      <c r="AM1497" s="5"/>
      <c r="AN1497" s="5"/>
      <c r="AO1497" s="5"/>
      <c r="AP1497" s="5"/>
      <c r="AQ1497" s="5"/>
      <c r="AR1497" s="5"/>
      <c r="AS1497" s="5"/>
      <c r="AT1497" s="2"/>
      <c r="AU1497" s="2"/>
    </row>
    <row r="1498" spans="1:47" hidden="1" outlineLevel="1">
      <c r="A1498" s="298"/>
      <c r="B1498" s="55"/>
      <c r="C1498" s="18"/>
      <c r="D1498" s="18"/>
      <c r="E1498" s="18"/>
      <c r="F1498" s="18"/>
      <c r="G1498" s="18"/>
      <c r="H1498" s="18"/>
      <c r="I1498" s="18"/>
      <c r="J1498" s="18"/>
      <c r="K1498" s="2"/>
      <c r="L1498" s="2"/>
      <c r="M1498" s="2"/>
      <c r="N1498" s="2"/>
      <c r="O1498" s="2"/>
      <c r="P1498" s="2"/>
      <c r="Q1498" s="2"/>
      <c r="R1498" s="2"/>
      <c r="S1498" s="2"/>
      <c r="T1498" s="5"/>
      <c r="U1498" s="5"/>
      <c r="V1498" s="5"/>
      <c r="W1498" s="5"/>
      <c r="X1498" s="5"/>
      <c r="Y1498" s="5"/>
      <c r="Z1498" s="5"/>
      <c r="AA1498" s="5"/>
      <c r="AB1498" s="5"/>
      <c r="AC1498" s="5"/>
      <c r="AD1498" s="5"/>
      <c r="AE1498" s="5"/>
      <c r="AF1498" s="5"/>
      <c r="AG1498" s="5"/>
      <c r="AH1498" s="5"/>
      <c r="AI1498" s="5"/>
      <c r="AJ1498" s="5"/>
      <c r="AK1498" s="5"/>
      <c r="AL1498" s="5"/>
      <c r="AM1498" s="5"/>
      <c r="AN1498" s="5"/>
      <c r="AO1498" s="5"/>
      <c r="AP1498" s="5"/>
      <c r="AQ1498" s="5"/>
      <c r="AR1498" s="5"/>
      <c r="AS1498" s="5"/>
      <c r="AT1498" s="2"/>
      <c r="AU1498" s="2"/>
    </row>
    <row r="1499" spans="1:47" hidden="1" outlineLevel="1">
      <c r="A1499" s="298"/>
      <c r="B1499" s="6" t="s">
        <v>1122</v>
      </c>
      <c r="C1499" s="18"/>
      <c r="D1499" s="18"/>
      <c r="E1499" s="18"/>
      <c r="F1499" s="18"/>
      <c r="G1499" s="18"/>
      <c r="H1499" s="18"/>
      <c r="I1499" s="18"/>
      <c r="J1499" s="18"/>
      <c r="K1499" s="2"/>
      <c r="L1499" s="2"/>
      <c r="M1499" s="2"/>
      <c r="N1499" s="2"/>
      <c r="O1499" s="2"/>
      <c r="P1499" s="2"/>
      <c r="Q1499" s="2"/>
      <c r="R1499" s="2"/>
      <c r="S1499" s="2"/>
      <c r="T1499" s="5"/>
      <c r="U1499" s="5"/>
      <c r="V1499" s="5"/>
      <c r="W1499" s="5"/>
      <c r="X1499" s="5"/>
      <c r="Y1499" s="5"/>
      <c r="Z1499" s="5"/>
      <c r="AA1499" s="5"/>
      <c r="AB1499" s="5"/>
      <c r="AC1499" s="5"/>
      <c r="AD1499" s="5"/>
      <c r="AE1499" s="5"/>
      <c r="AF1499" s="5"/>
      <c r="AG1499" s="5"/>
      <c r="AH1499" s="5"/>
      <c r="AI1499" s="5"/>
      <c r="AJ1499" s="5"/>
      <c r="AK1499" s="5"/>
      <c r="AL1499" s="5"/>
      <c r="AM1499" s="5"/>
      <c r="AN1499" s="5"/>
      <c r="AO1499" s="5"/>
      <c r="AP1499" s="5"/>
      <c r="AQ1499" s="5"/>
      <c r="AR1499" s="5"/>
      <c r="AS1499" s="5"/>
      <c r="AT1499" s="2"/>
      <c r="AU1499" s="2"/>
    </row>
    <row r="1500" spans="1:47" hidden="1" outlineLevel="1">
      <c r="A1500" s="298"/>
      <c r="B1500" s="55" t="s">
        <v>307</v>
      </c>
      <c r="C1500" s="18" t="s">
        <v>306</v>
      </c>
      <c r="D1500" s="18"/>
      <c r="E1500" s="18"/>
      <c r="F1500" s="18"/>
      <c r="G1500" s="18"/>
      <c r="H1500" s="18"/>
      <c r="I1500" s="18"/>
      <c r="J1500" s="18"/>
      <c r="K1500" s="2"/>
      <c r="L1500" s="2"/>
      <c r="M1500" s="2"/>
      <c r="N1500" s="2"/>
      <c r="O1500" s="2"/>
      <c r="P1500" s="2"/>
      <c r="Q1500" s="2"/>
      <c r="R1500" s="2"/>
      <c r="S1500" s="2"/>
      <c r="T1500" s="5"/>
      <c r="U1500" s="5"/>
      <c r="V1500" s="5"/>
      <c r="W1500" s="5"/>
      <c r="X1500" s="5"/>
      <c r="Y1500" s="5"/>
      <c r="Z1500" s="5"/>
      <c r="AA1500" s="5"/>
      <c r="AB1500" s="5"/>
      <c r="AC1500" s="5"/>
      <c r="AD1500" s="5"/>
      <c r="AE1500" s="5"/>
      <c r="AF1500" s="5"/>
      <c r="AG1500" s="5"/>
      <c r="AH1500" s="5"/>
      <c r="AI1500" s="5"/>
      <c r="AJ1500" s="5"/>
      <c r="AK1500" s="5"/>
      <c r="AL1500" s="5"/>
      <c r="AM1500" s="5"/>
      <c r="AN1500" s="5"/>
      <c r="AO1500" s="5"/>
      <c r="AP1500" s="5"/>
      <c r="AQ1500" s="5"/>
      <c r="AR1500" s="5"/>
      <c r="AS1500" s="5"/>
      <c r="AT1500" s="2"/>
      <c r="AU1500" s="2"/>
    </row>
    <row r="1501" spans="1:47" hidden="1" outlineLevel="1">
      <c r="A1501" s="298"/>
      <c r="B1501" s="241" t="s">
        <v>1099</v>
      </c>
      <c r="C1501" s="18" t="s">
        <v>733</v>
      </c>
      <c r="D1501" s="18"/>
      <c r="E1501" s="18"/>
      <c r="F1501" s="18"/>
      <c r="G1501" s="18"/>
      <c r="H1501" s="18"/>
      <c r="I1501" s="18"/>
      <c r="J1501" s="18"/>
      <c r="K1501" s="2"/>
      <c r="L1501" s="2"/>
      <c r="M1501" s="2"/>
      <c r="N1501" s="2"/>
      <c r="O1501" s="2"/>
      <c r="P1501" s="2"/>
      <c r="Q1501" s="2"/>
      <c r="R1501" s="2"/>
      <c r="S1501" s="2"/>
      <c r="T1501" s="5"/>
      <c r="U1501" s="5"/>
      <c r="V1501" s="5"/>
      <c r="W1501" s="5"/>
      <c r="X1501" s="563">
        <v>20</v>
      </c>
      <c r="Y1501" s="92">
        <v>20</v>
      </c>
      <c r="Z1501" s="563">
        <v>10</v>
      </c>
      <c r="AA1501" s="563">
        <v>30</v>
      </c>
      <c r="AB1501" s="92">
        <v>30.900000000000002</v>
      </c>
      <c r="AC1501" s="92">
        <v>30.900000000000002</v>
      </c>
      <c r="AD1501" s="92">
        <v>30.900000000000002</v>
      </c>
      <c r="AE1501" s="92">
        <v>30.900000000000002</v>
      </c>
      <c r="AF1501" s="92">
        <v>30.900000000000002</v>
      </c>
      <c r="AG1501" s="92">
        <v>30.900000000000002</v>
      </c>
      <c r="AH1501" s="92">
        <v>30.900000000000002</v>
      </c>
      <c r="AI1501" s="92">
        <v>30.900000000000002</v>
      </c>
      <c r="AJ1501" s="92">
        <v>30.900000000000002</v>
      </c>
      <c r="AK1501" s="92">
        <v>30.900000000000002</v>
      </c>
      <c r="AL1501" s="92">
        <v>30.900000000000002</v>
      </c>
      <c r="AM1501" s="92">
        <v>30.900000000000002</v>
      </c>
      <c r="AN1501" s="92">
        <v>30.900000000000002</v>
      </c>
      <c r="AO1501" s="92">
        <v>30.900000000000002</v>
      </c>
      <c r="AP1501" s="92">
        <v>30.900000000000002</v>
      </c>
      <c r="AQ1501" s="92">
        <v>30.900000000000002</v>
      </c>
      <c r="AR1501" s="92">
        <v>30.900000000000002</v>
      </c>
      <c r="AS1501" s="92">
        <v>30.900000000000002</v>
      </c>
      <c r="AT1501" s="2"/>
      <c r="AU1501" s="2"/>
    </row>
    <row r="1502" spans="1:47" hidden="1" outlineLevel="1">
      <c r="A1502" s="298"/>
      <c r="B1502" s="2"/>
      <c r="C1502" s="18"/>
      <c r="D1502" s="18"/>
      <c r="E1502" s="18"/>
      <c r="F1502" s="18"/>
      <c r="G1502" s="18"/>
      <c r="H1502" s="18"/>
      <c r="I1502" s="18"/>
      <c r="J1502" s="18"/>
      <c r="K1502" s="2"/>
      <c r="L1502" s="2"/>
      <c r="M1502" s="2"/>
      <c r="N1502" s="2"/>
      <c r="O1502" s="2"/>
      <c r="P1502" s="2"/>
      <c r="Q1502" s="2"/>
      <c r="R1502" s="2"/>
      <c r="S1502" s="2"/>
      <c r="T1502" s="5"/>
      <c r="U1502" s="5"/>
      <c r="V1502" s="5"/>
      <c r="W1502" s="5"/>
      <c r="X1502" s="5"/>
      <c r="Y1502" s="580">
        <v>0</v>
      </c>
      <c r="Z1502" s="581">
        <v>0</v>
      </c>
      <c r="AA1502" s="581">
        <v>0</v>
      </c>
      <c r="AB1502" s="581">
        <v>0.03</v>
      </c>
      <c r="AC1502" s="581">
        <v>0</v>
      </c>
      <c r="AD1502" s="267">
        <v>0</v>
      </c>
      <c r="AE1502" s="267">
        <v>0</v>
      </c>
      <c r="AF1502" s="267">
        <v>0</v>
      </c>
      <c r="AG1502" s="267">
        <v>0</v>
      </c>
      <c r="AH1502" s="267">
        <v>0</v>
      </c>
      <c r="AI1502" s="267">
        <v>0</v>
      </c>
      <c r="AJ1502" s="267">
        <v>0</v>
      </c>
      <c r="AK1502" s="267">
        <v>0</v>
      </c>
      <c r="AL1502" s="267">
        <v>0</v>
      </c>
      <c r="AM1502" s="267">
        <v>0</v>
      </c>
      <c r="AN1502" s="267">
        <v>0</v>
      </c>
      <c r="AO1502" s="267">
        <v>0</v>
      </c>
      <c r="AP1502" s="267">
        <v>0</v>
      </c>
      <c r="AQ1502" s="267">
        <v>0</v>
      </c>
      <c r="AR1502" s="267">
        <v>0</v>
      </c>
      <c r="AS1502" s="267">
        <v>0</v>
      </c>
      <c r="AT1502" s="2"/>
      <c r="AU1502" s="2"/>
    </row>
    <row r="1503" spans="1:47" hidden="1" outlineLevel="1">
      <c r="A1503" s="301"/>
      <c r="B1503" s="173" t="s">
        <v>484</v>
      </c>
      <c r="C1503" s="169" t="s">
        <v>732</v>
      </c>
      <c r="D1503" s="169"/>
      <c r="E1503" s="169"/>
      <c r="F1503" s="169"/>
      <c r="G1503" s="169"/>
      <c r="H1503" s="169"/>
      <c r="I1503" s="169"/>
      <c r="J1503" s="169"/>
      <c r="K1503" s="173"/>
      <c r="L1503" s="173"/>
      <c r="M1503" s="173"/>
      <c r="N1503" s="173"/>
      <c r="O1503" s="173"/>
      <c r="P1503" s="173"/>
      <c r="Q1503" s="173"/>
      <c r="R1503" s="173"/>
      <c r="S1503" s="173"/>
      <c r="T1503" s="216"/>
      <c r="U1503" s="216"/>
      <c r="V1503" s="216"/>
      <c r="W1503" s="216"/>
      <c r="X1503" s="215">
        <v>16.8264</v>
      </c>
      <c r="Y1503" s="215">
        <v>23.533200000000001</v>
      </c>
      <c r="Z1503" s="215">
        <v>20.22</v>
      </c>
      <c r="AA1503" s="215">
        <v>127.97999999999999</v>
      </c>
      <c r="AB1503" s="215">
        <v>292.27585102702699</v>
      </c>
      <c r="AC1503" s="215">
        <v>521.59109805405399</v>
      </c>
      <c r="AD1503" s="215">
        <v>750.74857135135119</v>
      </c>
      <c r="AE1503" s="215">
        <v>984.2451729729728</v>
      </c>
      <c r="AF1503" s="215">
        <v>1164.3086594594592</v>
      </c>
      <c r="AG1503" s="215">
        <v>1224.1076756756754</v>
      </c>
      <c r="AH1503" s="215">
        <v>1236.0233837837836</v>
      </c>
      <c r="AI1503" s="215">
        <v>1238.8461405405403</v>
      </c>
      <c r="AJ1503" s="215">
        <v>618.13362162162139</v>
      </c>
      <c r="AK1503" s="215">
        <v>0</v>
      </c>
      <c r="AL1503" s="215">
        <v>0</v>
      </c>
      <c r="AM1503" s="215">
        <v>0</v>
      </c>
      <c r="AN1503" s="215">
        <v>0</v>
      </c>
      <c r="AO1503" s="215">
        <v>0</v>
      </c>
      <c r="AP1503" s="215">
        <v>0</v>
      </c>
      <c r="AQ1503" s="215">
        <v>0</v>
      </c>
      <c r="AR1503" s="215">
        <v>0</v>
      </c>
      <c r="AS1503" s="215">
        <v>0</v>
      </c>
      <c r="AT1503" s="6"/>
      <c r="AU1503" s="6"/>
    </row>
    <row r="1504" spans="1:47" hidden="1" outlineLevel="1">
      <c r="A1504" s="298"/>
      <c r="B1504" s="241" t="s">
        <v>1099</v>
      </c>
      <c r="C1504" s="18" t="s">
        <v>733</v>
      </c>
      <c r="D1504" s="18"/>
      <c r="E1504" s="18"/>
      <c r="F1504" s="18"/>
      <c r="G1504" s="18"/>
      <c r="H1504" s="18"/>
      <c r="I1504" s="18"/>
      <c r="J1504" s="18"/>
      <c r="K1504" s="2"/>
      <c r="L1504" s="2"/>
      <c r="M1504" s="2"/>
      <c r="N1504" s="2"/>
      <c r="O1504" s="2"/>
      <c r="P1504" s="2"/>
      <c r="Q1504" s="2"/>
      <c r="R1504" s="2"/>
      <c r="S1504" s="2"/>
      <c r="T1504" s="5"/>
      <c r="U1504" s="5"/>
      <c r="V1504" s="5"/>
      <c r="W1504" s="5"/>
      <c r="X1504" s="5"/>
      <c r="Y1504" s="5"/>
      <c r="Z1504" s="5"/>
      <c r="AA1504" s="5"/>
      <c r="AB1504" s="5"/>
      <c r="AC1504" s="5"/>
      <c r="AD1504" s="5"/>
      <c r="AE1504" s="5"/>
      <c r="AF1504" s="5"/>
      <c r="AG1504" s="5"/>
      <c r="AH1504" s="5"/>
      <c r="AI1504" s="5"/>
      <c r="AJ1504" s="5"/>
      <c r="AK1504" s="5"/>
      <c r="AL1504" s="5"/>
      <c r="AM1504" s="5"/>
      <c r="AN1504" s="5"/>
      <c r="AO1504" s="5"/>
      <c r="AP1504" s="5"/>
      <c r="AQ1504" s="5"/>
      <c r="AR1504" s="5"/>
      <c r="AS1504" s="5"/>
      <c r="AT1504" s="2"/>
      <c r="AU1504" s="2"/>
    </row>
    <row r="1505" spans="1:47" hidden="1" outlineLevel="1">
      <c r="A1505" s="298"/>
      <c r="B1505" s="55"/>
      <c r="C1505" s="18"/>
      <c r="D1505" s="18"/>
      <c r="E1505" s="18"/>
      <c r="F1505" s="18"/>
      <c r="G1505" s="18"/>
      <c r="H1505" s="18"/>
      <c r="I1505" s="18"/>
      <c r="J1505" s="18"/>
      <c r="K1505" s="2"/>
      <c r="L1505" s="2"/>
      <c r="M1505" s="2"/>
      <c r="N1505" s="2"/>
      <c r="O1505" s="2"/>
      <c r="P1505" s="2"/>
      <c r="Q1505" s="2"/>
      <c r="R1505" s="2"/>
      <c r="S1505" s="2"/>
      <c r="T1505" s="5"/>
      <c r="U1505" s="5"/>
      <c r="V1505" s="5"/>
      <c r="W1505" s="5"/>
      <c r="X1505" s="5"/>
      <c r="Y1505" s="5"/>
      <c r="Z1505" s="5"/>
      <c r="AA1505" s="5"/>
      <c r="AB1505" s="5"/>
      <c r="AC1505" s="5"/>
      <c r="AD1505" s="5"/>
      <c r="AE1505" s="5"/>
      <c r="AF1505" s="5"/>
      <c r="AG1505" s="5"/>
      <c r="AH1505" s="5"/>
      <c r="AI1505" s="5"/>
      <c r="AJ1505" s="5"/>
      <c r="AK1505" s="5"/>
      <c r="AL1505" s="5"/>
      <c r="AM1505" s="5"/>
      <c r="AN1505" s="5"/>
      <c r="AO1505" s="5"/>
      <c r="AP1505" s="5"/>
      <c r="AQ1505" s="5"/>
      <c r="AR1505" s="5"/>
      <c r="AS1505" s="5"/>
      <c r="AT1505" s="2"/>
      <c r="AU1505" s="2"/>
    </row>
    <row r="1506" spans="1:47" hidden="1" outlineLevel="1">
      <c r="A1506" s="298"/>
      <c r="B1506" s="6" t="s">
        <v>664</v>
      </c>
      <c r="C1506" s="18"/>
      <c r="D1506" s="18"/>
      <c r="E1506" s="18"/>
      <c r="F1506" s="18"/>
      <c r="G1506" s="18"/>
      <c r="H1506" s="18"/>
      <c r="I1506" s="18"/>
      <c r="J1506" s="18"/>
      <c r="K1506" s="2"/>
      <c r="L1506" s="2"/>
      <c r="M1506" s="2"/>
      <c r="N1506" s="2"/>
      <c r="O1506" s="2"/>
      <c r="P1506" s="2"/>
      <c r="Q1506" s="2"/>
      <c r="R1506" s="2"/>
      <c r="S1506" s="2"/>
      <c r="T1506" s="2"/>
      <c r="U1506" s="2"/>
      <c r="V1506" s="2"/>
      <c r="W1506" s="2"/>
      <c r="X1506" s="2"/>
      <c r="Y1506" s="2"/>
      <c r="Z1506" s="2"/>
      <c r="AA1506" s="2"/>
      <c r="AB1506" s="2"/>
      <c r="AC1506" s="2"/>
      <c r="AD1506" s="2"/>
      <c r="AE1506" s="2"/>
      <c r="AF1506" s="2"/>
      <c r="AG1506" s="2"/>
      <c r="AH1506" s="2"/>
      <c r="AI1506" s="2"/>
      <c r="AJ1506" s="2"/>
      <c r="AK1506" s="2"/>
      <c r="AL1506" s="2"/>
      <c r="AM1506" s="2"/>
      <c r="AN1506" s="2"/>
      <c r="AO1506" s="2"/>
      <c r="AP1506" s="2"/>
      <c r="AQ1506" s="2"/>
      <c r="AR1506" s="2"/>
      <c r="AS1506" s="2"/>
      <c r="AT1506" s="2"/>
      <c r="AU1506" s="2"/>
    </row>
    <row r="1507" spans="1:47" hidden="1" outlineLevel="1">
      <c r="A1507" s="298"/>
      <c r="B1507" s="6" t="s">
        <v>1115</v>
      </c>
      <c r="C1507" s="18"/>
      <c r="D1507" s="18"/>
      <c r="E1507" s="18"/>
      <c r="F1507" s="18"/>
      <c r="G1507" s="18"/>
      <c r="H1507" s="18"/>
      <c r="I1507" s="18"/>
      <c r="J1507" s="18"/>
      <c r="K1507" s="2"/>
      <c r="L1507" s="2"/>
      <c r="M1507" s="2"/>
      <c r="N1507" s="2"/>
      <c r="O1507" s="2"/>
      <c r="P1507" s="2"/>
      <c r="Q1507" s="2"/>
      <c r="R1507" s="2"/>
      <c r="S1507" s="2"/>
      <c r="T1507" s="2"/>
      <c r="U1507" s="2"/>
      <c r="V1507" s="2"/>
      <c r="W1507" s="2"/>
      <c r="X1507" s="2"/>
      <c r="Y1507" s="2"/>
      <c r="Z1507" s="2"/>
      <c r="AA1507" s="2"/>
      <c r="AB1507" s="2"/>
      <c r="AC1507" s="2"/>
      <c r="AD1507" s="2"/>
      <c r="AE1507" s="2"/>
      <c r="AF1507" s="2"/>
      <c r="AG1507" s="2"/>
      <c r="AH1507" s="2"/>
      <c r="AI1507" s="2"/>
      <c r="AJ1507" s="2"/>
      <c r="AK1507" s="2"/>
      <c r="AL1507" s="2"/>
      <c r="AM1507" s="2"/>
      <c r="AN1507" s="2"/>
      <c r="AO1507" s="2"/>
      <c r="AP1507" s="2"/>
      <c r="AQ1507" s="2"/>
      <c r="AR1507" s="2"/>
      <c r="AS1507" s="2"/>
      <c r="AT1507" s="2"/>
      <c r="AU1507" s="2"/>
    </row>
    <row r="1508" spans="1:47" hidden="1" outlineLevel="1">
      <c r="A1508" s="298"/>
      <c r="B1508" s="55" t="s">
        <v>304</v>
      </c>
      <c r="C1508" s="18" t="s">
        <v>180</v>
      </c>
      <c r="D1508" s="18"/>
      <c r="E1508" s="18"/>
      <c r="F1508" s="18"/>
      <c r="G1508" s="18"/>
      <c r="H1508" s="18"/>
      <c r="I1508" s="18"/>
      <c r="J1508" s="18"/>
      <c r="K1508" s="566">
        <v>6.51</v>
      </c>
      <c r="L1508" s="566">
        <v>6.29</v>
      </c>
      <c r="M1508" s="566">
        <v>6.41</v>
      </c>
      <c r="N1508" s="566">
        <v>6.2</v>
      </c>
      <c r="O1508" s="566">
        <v>5.87</v>
      </c>
      <c r="P1508" s="566">
        <v>5.6</v>
      </c>
      <c r="Q1508" s="566">
        <v>5.47</v>
      </c>
      <c r="R1508" s="566">
        <v>5.56</v>
      </c>
      <c r="S1508" s="566">
        <v>5.56</v>
      </c>
      <c r="T1508" s="566">
        <v>5.4619999999999997</v>
      </c>
      <c r="U1508" s="566">
        <v>5.2030000000000003</v>
      </c>
      <c r="V1508" s="566">
        <v>5.0199999999999996</v>
      </c>
      <c r="W1508" s="462">
        <v>4.8070000000000004</v>
      </c>
      <c r="X1508" s="462">
        <v>2.1718592799561287E-2</v>
      </c>
      <c r="Y1508" s="462">
        <v>0.20321490338770795</v>
      </c>
      <c r="Z1508" s="462">
        <v>0.33022421800502538</v>
      </c>
      <c r="AA1508" s="462">
        <v>0.63504657308658741</v>
      </c>
      <c r="AB1508" s="462">
        <v>0.88906520232122233</v>
      </c>
      <c r="AC1508" s="462">
        <v>1.1430838315558574</v>
      </c>
      <c r="AD1508" s="462">
        <v>1.5241117754078095</v>
      </c>
      <c r="AE1508" s="462">
        <v>2.0321490338770798</v>
      </c>
      <c r="AF1508" s="462">
        <v>2.2861676631117147</v>
      </c>
      <c r="AG1508" s="462">
        <v>2.5401862923463496</v>
      </c>
      <c r="AH1508" s="462">
        <v>2.5401862923463496</v>
      </c>
      <c r="AI1508" s="462">
        <v>2.5401862923463496</v>
      </c>
      <c r="AJ1508" s="462">
        <v>0</v>
      </c>
      <c r="AK1508" s="462"/>
      <c r="AL1508" s="462"/>
      <c r="AM1508" s="462"/>
      <c r="AN1508" s="462"/>
      <c r="AO1508" s="462"/>
      <c r="AP1508" s="462"/>
      <c r="AQ1508" s="462"/>
      <c r="AR1508" s="462"/>
      <c r="AS1508" s="462"/>
      <c r="AT1508" s="2"/>
      <c r="AU1508" s="2"/>
    </row>
    <row r="1509" spans="1:47" hidden="1" outlineLevel="1">
      <c r="A1509" s="298"/>
      <c r="B1509" s="241" t="s">
        <v>1099</v>
      </c>
      <c r="C1509" s="18" t="s">
        <v>733</v>
      </c>
      <c r="D1509" s="18"/>
      <c r="E1509" s="18"/>
      <c r="F1509" s="18"/>
      <c r="G1509" s="18"/>
      <c r="H1509" s="18"/>
      <c r="I1509" s="18"/>
      <c r="J1509" s="18"/>
      <c r="K1509" s="3"/>
      <c r="L1509" s="5">
        <v>-3.3794162826420893E-2</v>
      </c>
      <c r="M1509" s="5">
        <v>1.9077901430842648E-2</v>
      </c>
      <c r="N1509" s="5">
        <v>-3.2761310452418035E-2</v>
      </c>
      <c r="O1509" s="5">
        <v>-5.32258064516129E-2</v>
      </c>
      <c r="P1509" s="5">
        <v>-4.5996592844974482E-2</v>
      </c>
      <c r="Q1509" s="5">
        <v>-2.3214285714285743E-2</v>
      </c>
      <c r="R1509" s="5">
        <v>1.6453382084095081E-2</v>
      </c>
      <c r="S1509" s="5">
        <v>0</v>
      </c>
      <c r="T1509" s="5">
        <v>-1.7625899280575563E-2</v>
      </c>
      <c r="U1509" s="5">
        <v>-4.7418528011717198E-2</v>
      </c>
      <c r="V1509" s="5">
        <v>-3.5172016144532137E-2</v>
      </c>
      <c r="W1509" s="5">
        <v>-4.2430278884462047E-2</v>
      </c>
      <c r="X1509" s="5">
        <v>-0.99548188208871202</v>
      </c>
      <c r="Y1509" s="5">
        <v>8.3567251461988299</v>
      </c>
      <c r="Z1509" s="5">
        <v>0.62499999999999978</v>
      </c>
      <c r="AA1509" s="5">
        <v>0.92307692307692357</v>
      </c>
      <c r="AB1509" s="5">
        <v>0.39999999999999991</v>
      </c>
      <c r="AC1509" s="5">
        <v>0.28571428571428581</v>
      </c>
      <c r="AD1509" s="5">
        <v>0.33333333333333304</v>
      </c>
      <c r="AE1509" s="5">
        <v>0.3333333333333337</v>
      </c>
      <c r="AF1509" s="5">
        <v>0.125</v>
      </c>
      <c r="AG1509" s="5">
        <v>0.11111111111111116</v>
      </c>
      <c r="AH1509" s="5">
        <v>0</v>
      </c>
      <c r="AI1509" s="5">
        <v>0</v>
      </c>
      <c r="AJ1509" s="5">
        <v>-1</v>
      </c>
      <c r="AK1509" s="5"/>
      <c r="AL1509" s="5"/>
      <c r="AM1509" s="5"/>
      <c r="AN1509" s="5"/>
      <c r="AO1509" s="5"/>
      <c r="AP1509" s="5"/>
      <c r="AQ1509" s="5"/>
      <c r="AR1509" s="5"/>
      <c r="AS1509" s="5"/>
      <c r="AT1509" s="2"/>
      <c r="AU1509" s="2"/>
    </row>
    <row r="1510" spans="1:47" hidden="1" outlineLevel="1">
      <c r="A1510" s="298"/>
      <c r="B1510" s="55" t="s">
        <v>303</v>
      </c>
      <c r="C1510" s="18" t="s">
        <v>180</v>
      </c>
      <c r="D1510" s="18"/>
      <c r="E1510" s="18"/>
      <c r="F1510" s="18"/>
      <c r="G1510" s="18"/>
      <c r="H1510" s="18"/>
      <c r="I1510" s="18"/>
      <c r="J1510" s="18"/>
      <c r="K1510" s="566">
        <v>2.36</v>
      </c>
      <c r="L1510" s="566">
        <v>2.4700000000000002</v>
      </c>
      <c r="M1510" s="566">
        <v>2.81</v>
      </c>
      <c r="N1510" s="566">
        <v>2.71</v>
      </c>
      <c r="O1510" s="566">
        <v>2.57</v>
      </c>
      <c r="P1510" s="566">
        <v>2.4500000000000002</v>
      </c>
      <c r="Q1510" s="566">
        <v>2.31</v>
      </c>
      <c r="R1510" s="566">
        <v>2.2200000000000002</v>
      </c>
      <c r="S1510" s="566">
        <v>2.31</v>
      </c>
      <c r="T1510" s="566">
        <v>2.2709999999999999</v>
      </c>
      <c r="U1510" s="566">
        <v>2.2040000000000002</v>
      </c>
      <c r="V1510" s="566">
        <v>2.1379999999999999</v>
      </c>
      <c r="W1510" s="462">
        <v>2.0737435999999998</v>
      </c>
      <c r="X1510" s="462">
        <v>1.3336407200438709E-2</v>
      </c>
      <c r="Y1510" s="462">
        <v>0.12478509661229201</v>
      </c>
      <c r="Z1510" s="462">
        <v>0.20277578199497451</v>
      </c>
      <c r="AA1510" s="462">
        <v>0.38995342691341256</v>
      </c>
      <c r="AB1510" s="462">
        <v>0.54593479767877751</v>
      </c>
      <c r="AC1510" s="462">
        <v>0.70191616844414262</v>
      </c>
      <c r="AD1510" s="462">
        <v>0.93588822459219001</v>
      </c>
      <c r="AE1510" s="462">
        <v>1.2478509661229202</v>
      </c>
      <c r="AF1510" s="462">
        <v>1.4038323368882852</v>
      </c>
      <c r="AG1510" s="462">
        <v>1.5598137076536502</v>
      </c>
      <c r="AH1510" s="462">
        <v>1.5598137076536502</v>
      </c>
      <c r="AI1510" s="462">
        <v>1.5598137076536502</v>
      </c>
      <c r="AJ1510" s="462">
        <v>0</v>
      </c>
      <c r="AK1510" s="462"/>
      <c r="AL1510" s="462"/>
      <c r="AM1510" s="462"/>
      <c r="AN1510" s="462"/>
      <c r="AO1510" s="462"/>
      <c r="AP1510" s="462"/>
      <c r="AQ1510" s="462"/>
      <c r="AR1510" s="462"/>
      <c r="AS1510" s="462"/>
      <c r="AT1510" s="2"/>
      <c r="AU1510" s="2"/>
    </row>
    <row r="1511" spans="1:47" hidden="1" outlineLevel="1">
      <c r="A1511" s="298"/>
      <c r="B1511" s="241" t="s">
        <v>1099</v>
      </c>
      <c r="C1511" s="18" t="s">
        <v>733</v>
      </c>
      <c r="D1511" s="18"/>
      <c r="E1511" s="18"/>
      <c r="F1511" s="18"/>
      <c r="G1511" s="18"/>
      <c r="H1511" s="18"/>
      <c r="I1511" s="18"/>
      <c r="J1511" s="18"/>
      <c r="K1511" s="3"/>
      <c r="L1511" s="5">
        <v>4.6610169491525522E-2</v>
      </c>
      <c r="M1511" s="5">
        <v>0.13765182186234814</v>
      </c>
      <c r="N1511" s="5">
        <v>-3.5587188612099641E-2</v>
      </c>
      <c r="O1511" s="5">
        <v>-5.1660516605166129E-2</v>
      </c>
      <c r="P1511" s="5">
        <v>-4.6692607003890885E-2</v>
      </c>
      <c r="Q1511" s="5">
        <v>-5.7142857142857162E-2</v>
      </c>
      <c r="R1511" s="5">
        <v>-3.8961038961038863E-2</v>
      </c>
      <c r="S1511" s="5">
        <v>4.0540540540540571E-2</v>
      </c>
      <c r="T1511" s="5">
        <v>-1.6883116883116944E-2</v>
      </c>
      <c r="U1511" s="5">
        <v>-2.9502421840598703E-2</v>
      </c>
      <c r="V1511" s="5">
        <v>-2.9945553539020064E-2</v>
      </c>
      <c r="W1511" s="5">
        <v>-3.0054443405051479E-2</v>
      </c>
      <c r="X1511" s="5">
        <v>-0.99356892182792578</v>
      </c>
      <c r="Y1511" s="5">
        <v>8.3567251461988299</v>
      </c>
      <c r="Z1511" s="5">
        <v>0.625</v>
      </c>
      <c r="AA1511" s="5">
        <v>0.92307692307692335</v>
      </c>
      <c r="AB1511" s="5">
        <v>0.39999999999999991</v>
      </c>
      <c r="AC1511" s="5">
        <v>0.28571428571428581</v>
      </c>
      <c r="AD1511" s="5">
        <v>0.33333333333333304</v>
      </c>
      <c r="AE1511" s="5">
        <v>0.33333333333333348</v>
      </c>
      <c r="AF1511" s="5">
        <v>0.125</v>
      </c>
      <c r="AG1511" s="5">
        <v>0.11111111111111116</v>
      </c>
      <c r="AH1511" s="5">
        <v>0</v>
      </c>
      <c r="AI1511" s="5">
        <v>0</v>
      </c>
      <c r="AJ1511" s="5">
        <v>-1</v>
      </c>
      <c r="AK1511" s="5"/>
      <c r="AL1511" s="5"/>
      <c r="AM1511" s="5"/>
      <c r="AN1511" s="5"/>
      <c r="AO1511" s="5"/>
      <c r="AP1511" s="5"/>
      <c r="AQ1511" s="5"/>
      <c r="AR1511" s="5"/>
      <c r="AS1511" s="5"/>
      <c r="AT1511" s="2"/>
      <c r="AU1511" s="2"/>
    </row>
    <row r="1512" spans="1:47" hidden="1" outlineLevel="1">
      <c r="A1512" s="298"/>
      <c r="B1512" s="55" t="s">
        <v>295</v>
      </c>
      <c r="C1512" s="18" t="s">
        <v>180</v>
      </c>
      <c r="D1512" s="18"/>
      <c r="E1512" s="18"/>
      <c r="F1512" s="18"/>
      <c r="G1512" s="18"/>
      <c r="H1512" s="18"/>
      <c r="I1512" s="18"/>
      <c r="J1512" s="18"/>
      <c r="K1512" s="566">
        <v>1.17</v>
      </c>
      <c r="L1512" s="566">
        <v>1.3</v>
      </c>
      <c r="M1512" s="566">
        <v>1.32</v>
      </c>
      <c r="N1512" s="566">
        <v>1.55</v>
      </c>
      <c r="O1512" s="566">
        <v>1.84</v>
      </c>
      <c r="P1512" s="566">
        <v>2.0699999999999998</v>
      </c>
      <c r="Q1512" s="566">
        <v>2.16</v>
      </c>
      <c r="R1512" s="566">
        <v>1.98</v>
      </c>
      <c r="S1512" s="566">
        <v>1.5</v>
      </c>
      <c r="T1512" s="566">
        <v>1.2849999999999999</v>
      </c>
      <c r="U1512" s="566">
        <v>1.2529999999999999</v>
      </c>
      <c r="V1512" s="566">
        <v>1.212</v>
      </c>
      <c r="W1512" s="566">
        <v>1.18</v>
      </c>
      <c r="X1512" s="462">
        <v>1.1722555110220441</v>
      </c>
      <c r="Y1512" s="462">
        <v>1.1877755511022046</v>
      </c>
      <c r="Z1512" s="462">
        <v>1.2286573146292585</v>
      </c>
      <c r="AA1512" s="462">
        <v>1.3867735470941884</v>
      </c>
      <c r="AB1512" s="462">
        <v>1.2685370741482966</v>
      </c>
      <c r="AC1512" s="462">
        <v>1.1503006012024048</v>
      </c>
      <c r="AD1512" s="462">
        <v>0.97294589178356716</v>
      </c>
      <c r="AE1512" s="462">
        <v>0.73647294589178358</v>
      </c>
      <c r="AF1512" s="462">
        <v>0.61823647294589168</v>
      </c>
      <c r="AG1512" s="462">
        <v>0.5</v>
      </c>
      <c r="AH1512" s="462">
        <v>0.5</v>
      </c>
      <c r="AI1512" s="462">
        <v>0.5</v>
      </c>
      <c r="AJ1512" s="462">
        <v>0</v>
      </c>
      <c r="AK1512" s="462"/>
      <c r="AL1512" s="462"/>
      <c r="AM1512" s="462"/>
      <c r="AN1512" s="462"/>
      <c r="AO1512" s="462"/>
      <c r="AP1512" s="462"/>
      <c r="AQ1512" s="462"/>
      <c r="AR1512" s="462"/>
      <c r="AS1512" s="462"/>
      <c r="AT1512" s="2"/>
      <c r="AU1512" s="2"/>
    </row>
    <row r="1513" spans="1:47" hidden="1" outlineLevel="1">
      <c r="A1513" s="298"/>
      <c r="B1513" s="431" t="s">
        <v>1099</v>
      </c>
      <c r="C1513" s="22" t="s">
        <v>733</v>
      </c>
      <c r="D1513" s="22"/>
      <c r="E1513" s="22"/>
      <c r="F1513" s="22"/>
      <c r="G1513" s="22"/>
      <c r="H1513" s="22"/>
      <c r="I1513" s="22"/>
      <c r="J1513" s="22"/>
      <c r="K1513" s="23"/>
      <c r="L1513" s="91">
        <v>0.11111111111111116</v>
      </c>
      <c r="M1513" s="91">
        <v>1.538461538461533E-2</v>
      </c>
      <c r="N1513" s="91">
        <v>0.17424242424242431</v>
      </c>
      <c r="O1513" s="91">
        <v>0.18709677419354831</v>
      </c>
      <c r="P1513" s="91">
        <v>0.12499999999999978</v>
      </c>
      <c r="Q1513" s="91">
        <v>4.347826086956541E-2</v>
      </c>
      <c r="R1513" s="91">
        <v>-8.333333333333337E-2</v>
      </c>
      <c r="S1513" s="91">
        <v>-0.24242424242424243</v>
      </c>
      <c r="T1513" s="91">
        <v>-0.14333333333333342</v>
      </c>
      <c r="U1513" s="91">
        <v>-2.4902723735408583E-2</v>
      </c>
      <c r="V1513" s="91">
        <v>-3.2721468475658377E-2</v>
      </c>
      <c r="W1513" s="91">
        <v>-2.6402640264026389E-2</v>
      </c>
      <c r="X1513" s="91">
        <v>-6.5631262525049916E-3</v>
      </c>
      <c r="Y1513" s="91">
        <v>1.3239468643341468E-2</v>
      </c>
      <c r="Z1513" s="91">
        <v>3.4418761599460002E-2</v>
      </c>
      <c r="AA1513" s="91">
        <v>0.12869026259990224</v>
      </c>
      <c r="AB1513" s="91">
        <v>-8.5260115606936471E-2</v>
      </c>
      <c r="AC1513" s="91">
        <v>-9.3206951026856277E-2</v>
      </c>
      <c r="AD1513" s="91">
        <v>-0.15418118466898956</v>
      </c>
      <c r="AE1513" s="91">
        <v>-0.24304840370751801</v>
      </c>
      <c r="AF1513" s="91">
        <v>-0.16054421768707494</v>
      </c>
      <c r="AG1513" s="91">
        <v>-0.19124797406807115</v>
      </c>
      <c r="AH1513" s="91">
        <v>0</v>
      </c>
      <c r="AI1513" s="91">
        <v>0</v>
      </c>
      <c r="AJ1513" s="91">
        <v>-1</v>
      </c>
      <c r="AK1513" s="5"/>
      <c r="AL1513" s="5"/>
      <c r="AM1513" s="5"/>
      <c r="AN1513" s="5"/>
      <c r="AO1513" s="5"/>
      <c r="AP1513" s="5"/>
      <c r="AQ1513" s="5"/>
      <c r="AR1513" s="5"/>
      <c r="AS1513" s="5"/>
      <c r="AT1513" s="2"/>
      <c r="AU1513" s="2"/>
    </row>
    <row r="1514" spans="1:47" hidden="1" outlineLevel="1">
      <c r="A1514" s="298"/>
      <c r="B1514" s="59" t="s">
        <v>302</v>
      </c>
      <c r="C1514" s="21" t="s">
        <v>180</v>
      </c>
      <c r="D1514" s="21"/>
      <c r="E1514" s="21"/>
      <c r="F1514" s="21"/>
      <c r="G1514" s="21"/>
      <c r="H1514" s="21"/>
      <c r="I1514" s="21"/>
      <c r="J1514" s="21"/>
      <c r="K1514" s="4">
        <v>10.039999999999999</v>
      </c>
      <c r="L1514" s="4">
        <v>10.06</v>
      </c>
      <c r="M1514" s="4">
        <v>10.540000000000001</v>
      </c>
      <c r="N1514" s="4">
        <v>10.46</v>
      </c>
      <c r="O1514" s="4">
        <v>10.28</v>
      </c>
      <c r="P1514" s="4">
        <v>10.120000000000001</v>
      </c>
      <c r="Q1514" s="4">
        <v>9.94</v>
      </c>
      <c r="R1514" s="4">
        <v>9.76</v>
      </c>
      <c r="S1514" s="4">
        <v>9.3699999999999992</v>
      </c>
      <c r="T1514" s="4">
        <v>9.0179999999999989</v>
      </c>
      <c r="U1514" s="4">
        <v>8.66</v>
      </c>
      <c r="V1514" s="4">
        <v>8.3699999999999992</v>
      </c>
      <c r="W1514" s="4">
        <v>8.0607436000000003</v>
      </c>
      <c r="X1514" s="4">
        <v>1.2073105110220441</v>
      </c>
      <c r="Y1514" s="4">
        <v>1.5157755511022044</v>
      </c>
      <c r="Z1514" s="4">
        <v>1.7616573146292585</v>
      </c>
      <c r="AA1514" s="4">
        <v>2.4117735470941883</v>
      </c>
      <c r="AB1514" s="4">
        <v>2.7035370741482962</v>
      </c>
      <c r="AC1514" s="4">
        <v>2.9953006012024046</v>
      </c>
      <c r="AD1514" s="4">
        <v>3.4329458917835667</v>
      </c>
      <c r="AE1514" s="4">
        <v>4.0164729458917838</v>
      </c>
      <c r="AF1514" s="4">
        <v>4.3082364729458913</v>
      </c>
      <c r="AG1514" s="4">
        <v>4.5999999999999996</v>
      </c>
      <c r="AH1514" s="4">
        <v>4.5999999999999996</v>
      </c>
      <c r="AI1514" s="4">
        <v>4.5999999999999996</v>
      </c>
      <c r="AJ1514" s="4">
        <v>0</v>
      </c>
      <c r="AK1514" s="462"/>
      <c r="AL1514" s="462"/>
      <c r="AM1514" s="462"/>
      <c r="AN1514" s="462"/>
      <c r="AO1514" s="462"/>
      <c r="AP1514" s="462"/>
      <c r="AQ1514" s="462"/>
      <c r="AR1514" s="462"/>
      <c r="AS1514" s="462"/>
      <c r="AT1514" s="2"/>
      <c r="AU1514" s="2"/>
    </row>
    <row r="1515" spans="1:47" hidden="1" outlineLevel="1">
      <c r="A1515" s="298"/>
      <c r="B1515" s="241" t="s">
        <v>1099</v>
      </c>
      <c r="C1515" s="18" t="s">
        <v>733</v>
      </c>
      <c r="D1515" s="18"/>
      <c r="E1515" s="18"/>
      <c r="F1515" s="18"/>
      <c r="G1515" s="18"/>
      <c r="H1515" s="18"/>
      <c r="I1515" s="18"/>
      <c r="J1515" s="18"/>
      <c r="K1515" s="2"/>
      <c r="L1515" s="2">
        <v>1.9920318725101804E-3</v>
      </c>
      <c r="M1515" s="2">
        <v>4.7713717693836921E-2</v>
      </c>
      <c r="N1515" s="2">
        <v>-7.5901328273244584E-3</v>
      </c>
      <c r="O1515" s="2">
        <v>-1.7208413001912226E-2</v>
      </c>
      <c r="P1515" s="2">
        <v>-1.5564202334630184E-2</v>
      </c>
      <c r="Q1515" s="2">
        <v>-1.7786561264822254E-2</v>
      </c>
      <c r="R1515" s="2">
        <v>-1.810865191146882E-2</v>
      </c>
      <c r="S1515" s="2">
        <v>-3.9959016393442681E-2</v>
      </c>
      <c r="T1515" s="2">
        <v>-3.7566702241195293E-2</v>
      </c>
      <c r="U1515" s="2">
        <v>-3.9698381015746187E-2</v>
      </c>
      <c r="V1515" s="2">
        <v>-3.3487297921478199E-2</v>
      </c>
      <c r="W1515" s="2">
        <v>-3.6948195937873241E-2</v>
      </c>
      <c r="X1515" s="2">
        <v>-0.85022343211337925</v>
      </c>
      <c r="Y1515" s="2">
        <v>0.25549768453438748</v>
      </c>
      <c r="Z1515" s="2">
        <v>0.16221515339013082</v>
      </c>
      <c r="AA1515" s="2">
        <v>0.36903671733781396</v>
      </c>
      <c r="AB1515" s="2">
        <v>0.12097467749641644</v>
      </c>
      <c r="AC1515" s="2">
        <v>0.10791918847498083</v>
      </c>
      <c r="AD1515" s="2">
        <v>0.14611064091713466</v>
      </c>
      <c r="AE1515" s="2">
        <v>0.16997851772287875</v>
      </c>
      <c r="AF1515" s="2">
        <v>7.2641725958227932E-2</v>
      </c>
      <c r="AG1515" s="2">
        <v>6.77222638279662E-2</v>
      </c>
      <c r="AH1515" s="2">
        <v>0</v>
      </c>
      <c r="AI1515" s="2">
        <v>0</v>
      </c>
      <c r="AJ1515" s="2">
        <v>-1</v>
      </c>
      <c r="AK1515" s="5"/>
      <c r="AL1515" s="5"/>
      <c r="AM1515" s="5"/>
      <c r="AN1515" s="5"/>
      <c r="AO1515" s="5"/>
      <c r="AP1515" s="5"/>
      <c r="AQ1515" s="5"/>
      <c r="AR1515" s="5"/>
      <c r="AS1515" s="5"/>
      <c r="AT1515" s="2"/>
      <c r="AU1515" s="2"/>
    </row>
    <row r="1516" spans="1:47" hidden="1" outlineLevel="1">
      <c r="A1516" s="298"/>
      <c r="B1516" s="2"/>
      <c r="C1516" s="18"/>
      <c r="D1516" s="18"/>
      <c r="E1516" s="18"/>
      <c r="F1516" s="18"/>
      <c r="G1516" s="18"/>
      <c r="H1516" s="18"/>
      <c r="I1516" s="18"/>
      <c r="J1516" s="18"/>
      <c r="K1516" s="2"/>
      <c r="L1516" s="2"/>
      <c r="M1516" s="2"/>
      <c r="N1516" s="2"/>
      <c r="O1516" s="2"/>
      <c r="P1516" s="2"/>
      <c r="Q1516" s="2"/>
      <c r="R1516" s="2"/>
      <c r="S1516" s="2"/>
      <c r="T1516" s="2"/>
      <c r="U1516" s="2"/>
      <c r="V1516" s="2"/>
      <c r="W1516" s="2"/>
      <c r="X1516" s="2"/>
      <c r="Y1516" s="2"/>
      <c r="Z1516" s="2"/>
      <c r="AA1516" s="2"/>
      <c r="AB1516" s="2"/>
      <c r="AC1516" s="2"/>
      <c r="AD1516" s="2"/>
      <c r="AE1516" s="2"/>
      <c r="AF1516" s="2"/>
      <c r="AG1516" s="2"/>
      <c r="AH1516" s="2"/>
      <c r="AI1516" s="2"/>
      <c r="AJ1516" s="2"/>
      <c r="AK1516" s="462"/>
      <c r="AL1516" s="462"/>
      <c r="AM1516" s="462"/>
      <c r="AN1516" s="462"/>
      <c r="AO1516" s="462"/>
      <c r="AP1516" s="462"/>
      <c r="AQ1516" s="462"/>
      <c r="AR1516" s="462"/>
      <c r="AS1516" s="462"/>
      <c r="AT1516" s="2"/>
      <c r="AU1516" s="2"/>
    </row>
    <row r="1517" spans="1:47" hidden="1" outlineLevel="1">
      <c r="A1517" s="298"/>
      <c r="B1517" s="6" t="s">
        <v>1116</v>
      </c>
      <c r="C1517" s="18"/>
      <c r="D1517" s="18"/>
      <c r="E1517" s="18"/>
      <c r="F1517" s="18"/>
      <c r="G1517" s="18"/>
      <c r="H1517" s="18"/>
      <c r="I1517" s="18"/>
      <c r="J1517" s="18"/>
      <c r="K1517" s="2"/>
      <c r="L1517" s="2"/>
      <c r="M1517" s="2"/>
      <c r="N1517" s="2"/>
      <c r="O1517" s="2"/>
      <c r="P1517" s="2"/>
      <c r="Q1517" s="2"/>
      <c r="R1517" s="2"/>
      <c r="S1517" s="2"/>
      <c r="T1517" s="2"/>
      <c r="U1517" s="2"/>
      <c r="V1517" s="2"/>
      <c r="W1517" s="2"/>
      <c r="X1517" s="2"/>
      <c r="Y1517" s="2"/>
      <c r="Z1517" s="2"/>
      <c r="AA1517" s="2"/>
      <c r="AB1517" s="2"/>
      <c r="AC1517" s="2"/>
      <c r="AD1517" s="2"/>
      <c r="AE1517" s="2"/>
      <c r="AF1517" s="2"/>
      <c r="AG1517" s="2"/>
      <c r="AH1517" s="2"/>
      <c r="AI1517" s="2"/>
      <c r="AJ1517" s="2"/>
      <c r="AK1517" s="5"/>
      <c r="AL1517" s="5"/>
      <c r="AM1517" s="5"/>
      <c r="AN1517" s="5"/>
      <c r="AO1517" s="5"/>
      <c r="AP1517" s="5"/>
      <c r="AQ1517" s="5"/>
      <c r="AR1517" s="5"/>
      <c r="AS1517" s="5"/>
      <c r="AT1517" s="2"/>
      <c r="AU1517" s="2"/>
    </row>
    <row r="1518" spans="1:47" hidden="1" outlineLevel="1">
      <c r="A1518" s="298"/>
      <c r="B1518" s="55" t="s">
        <v>304</v>
      </c>
      <c r="C1518" s="18" t="s">
        <v>180</v>
      </c>
      <c r="D1518" s="18"/>
      <c r="E1518" s="18"/>
      <c r="F1518" s="18"/>
      <c r="G1518" s="18"/>
      <c r="H1518" s="18"/>
      <c r="I1518" s="18"/>
      <c r="J1518" s="18"/>
      <c r="K1518" s="3">
        <v>6.51</v>
      </c>
      <c r="L1518" s="3">
        <v>6.4</v>
      </c>
      <c r="M1518" s="3">
        <v>6.35</v>
      </c>
      <c r="N1518" s="3">
        <v>6.3049999999999997</v>
      </c>
      <c r="O1518" s="3">
        <v>6.0350000000000001</v>
      </c>
      <c r="P1518" s="3">
        <v>5.7349999999999994</v>
      </c>
      <c r="Q1518" s="3">
        <v>5.5350000000000001</v>
      </c>
      <c r="R1518" s="3">
        <v>5.5149999999999997</v>
      </c>
      <c r="S1518" s="3">
        <v>5.56</v>
      </c>
      <c r="T1518" s="3">
        <v>5.5109999999999992</v>
      </c>
      <c r="U1518" s="3">
        <v>5.3324999999999996</v>
      </c>
      <c r="V1518" s="3">
        <v>5.1114999999999995</v>
      </c>
      <c r="W1518" s="3">
        <v>4.9135</v>
      </c>
      <c r="X1518" s="3">
        <v>2.4143592963997809</v>
      </c>
      <c r="Y1518" s="3">
        <v>0.11246674809363462</v>
      </c>
      <c r="Z1518" s="3">
        <v>0.26671956069636665</v>
      </c>
      <c r="AA1518" s="3">
        <v>0.48263539554580637</v>
      </c>
      <c r="AB1518" s="3">
        <v>0.76205588770390487</v>
      </c>
      <c r="AC1518" s="3">
        <v>1.0160745169385399</v>
      </c>
      <c r="AD1518" s="3">
        <v>1.3335978034818334</v>
      </c>
      <c r="AE1518" s="3">
        <v>1.7781304046424447</v>
      </c>
      <c r="AF1518" s="3">
        <v>2.1591583484943975</v>
      </c>
      <c r="AG1518" s="3">
        <v>2.4131769777290319</v>
      </c>
      <c r="AH1518" s="3">
        <v>2.5401862923463496</v>
      </c>
      <c r="AI1518" s="3">
        <v>2.5401862923463496</v>
      </c>
      <c r="AJ1518" s="3">
        <v>1.2700931461731748</v>
      </c>
      <c r="AK1518" s="462"/>
      <c r="AL1518" s="462"/>
      <c r="AM1518" s="462"/>
      <c r="AN1518" s="462"/>
      <c r="AO1518" s="462"/>
      <c r="AP1518" s="462"/>
      <c r="AQ1518" s="462"/>
      <c r="AR1518" s="462"/>
      <c r="AS1518" s="462"/>
      <c r="AT1518" s="2"/>
      <c r="AU1518" s="2"/>
    </row>
    <row r="1519" spans="1:47" hidden="1" outlineLevel="1">
      <c r="A1519" s="298"/>
      <c r="B1519" s="55" t="s">
        <v>303</v>
      </c>
      <c r="C1519" s="18" t="s">
        <v>180</v>
      </c>
      <c r="D1519" s="18"/>
      <c r="E1519" s="18"/>
      <c r="F1519" s="18"/>
      <c r="G1519" s="18"/>
      <c r="H1519" s="18"/>
      <c r="I1519" s="18"/>
      <c r="J1519" s="18"/>
      <c r="K1519" s="3">
        <v>2.36</v>
      </c>
      <c r="L1519" s="3">
        <v>2.415</v>
      </c>
      <c r="M1519" s="3">
        <v>2.64</v>
      </c>
      <c r="N1519" s="3">
        <v>2.76</v>
      </c>
      <c r="O1519" s="3">
        <v>2.6399999999999997</v>
      </c>
      <c r="P1519" s="3">
        <v>2.5099999999999998</v>
      </c>
      <c r="Q1519" s="3">
        <v>2.38</v>
      </c>
      <c r="R1519" s="3">
        <v>2.2650000000000001</v>
      </c>
      <c r="S1519" s="3">
        <v>2.2650000000000001</v>
      </c>
      <c r="T1519" s="3">
        <v>2.2904999999999998</v>
      </c>
      <c r="U1519" s="3">
        <v>2.2374999999999998</v>
      </c>
      <c r="V1519" s="3">
        <v>2.1710000000000003</v>
      </c>
      <c r="W1519" s="3">
        <v>2.1058718000000001</v>
      </c>
      <c r="X1519" s="3">
        <v>1.0435400036002191</v>
      </c>
      <c r="Y1519" s="3">
        <v>6.9060751906365361E-2</v>
      </c>
      <c r="Z1519" s="3">
        <v>0.16378043930363326</v>
      </c>
      <c r="AA1519" s="3">
        <v>0.29636460445419355</v>
      </c>
      <c r="AB1519" s="3">
        <v>0.46794411229609501</v>
      </c>
      <c r="AC1519" s="3">
        <v>0.62392548306146001</v>
      </c>
      <c r="AD1519" s="3">
        <v>0.81890219651816631</v>
      </c>
      <c r="AE1519" s="3">
        <v>1.0918695953575552</v>
      </c>
      <c r="AF1519" s="3">
        <v>1.3258416515056028</v>
      </c>
      <c r="AG1519" s="3">
        <v>1.4818230222709676</v>
      </c>
      <c r="AH1519" s="3">
        <v>1.5598137076536502</v>
      </c>
      <c r="AI1519" s="3">
        <v>1.5598137076536502</v>
      </c>
      <c r="AJ1519" s="3">
        <v>0.77990685382682512</v>
      </c>
      <c r="AK1519" s="5"/>
      <c r="AL1519" s="5"/>
      <c r="AM1519" s="5"/>
      <c r="AN1519" s="5"/>
      <c r="AO1519" s="5"/>
      <c r="AP1519" s="5"/>
      <c r="AQ1519" s="5"/>
      <c r="AR1519" s="5"/>
      <c r="AS1519" s="5"/>
      <c r="AT1519" s="2"/>
      <c r="AU1519" s="2"/>
    </row>
    <row r="1520" spans="1:47" hidden="1" outlineLevel="1">
      <c r="A1520" s="298"/>
      <c r="B1520" s="57" t="s">
        <v>295</v>
      </c>
      <c r="C1520" s="22" t="s">
        <v>180</v>
      </c>
      <c r="D1520" s="22"/>
      <c r="E1520" s="22"/>
      <c r="F1520" s="22"/>
      <c r="G1520" s="22"/>
      <c r="H1520" s="22"/>
      <c r="I1520" s="22"/>
      <c r="J1520" s="22"/>
      <c r="K1520" s="84">
        <v>1.17</v>
      </c>
      <c r="L1520" s="84">
        <v>1.2349999999999999</v>
      </c>
      <c r="M1520" s="84">
        <v>1.31</v>
      </c>
      <c r="N1520" s="84">
        <v>1.4350000000000001</v>
      </c>
      <c r="O1520" s="84">
        <v>1.6950000000000001</v>
      </c>
      <c r="P1520" s="84">
        <v>1.9550000000000001</v>
      </c>
      <c r="Q1520" s="84">
        <v>2.1150000000000002</v>
      </c>
      <c r="R1520" s="84">
        <v>2.0700000000000003</v>
      </c>
      <c r="S1520" s="84">
        <v>1.74</v>
      </c>
      <c r="T1520" s="84">
        <v>1.3925000000000001</v>
      </c>
      <c r="U1520" s="84">
        <v>1.2689999999999999</v>
      </c>
      <c r="V1520" s="84">
        <v>1.2324999999999999</v>
      </c>
      <c r="W1520" s="84">
        <v>1.196</v>
      </c>
      <c r="X1520" s="84">
        <v>1.1761277555110219</v>
      </c>
      <c r="Y1520" s="84">
        <v>1.1800155310621243</v>
      </c>
      <c r="Z1520" s="84">
        <v>1.2082164328657314</v>
      </c>
      <c r="AA1520" s="84">
        <v>1.3077154308617236</v>
      </c>
      <c r="AB1520" s="84">
        <v>1.3276553106212425</v>
      </c>
      <c r="AC1520" s="84">
        <v>1.2094188376753507</v>
      </c>
      <c r="AD1520" s="84">
        <v>1.061623246492986</v>
      </c>
      <c r="AE1520" s="84">
        <v>0.85470941883767537</v>
      </c>
      <c r="AF1520" s="84">
        <v>0.67735470941883769</v>
      </c>
      <c r="AG1520" s="84">
        <v>0.5591182364729459</v>
      </c>
      <c r="AH1520" s="84">
        <v>0.5</v>
      </c>
      <c r="AI1520" s="84">
        <v>0.5</v>
      </c>
      <c r="AJ1520" s="84">
        <v>0.25</v>
      </c>
      <c r="AK1520" s="462"/>
      <c r="AL1520" s="462"/>
      <c r="AM1520" s="462"/>
      <c r="AN1520" s="462"/>
      <c r="AO1520" s="462"/>
      <c r="AP1520" s="462"/>
      <c r="AQ1520" s="462"/>
      <c r="AR1520" s="462"/>
      <c r="AS1520" s="462"/>
      <c r="AT1520" s="2"/>
      <c r="AU1520" s="2"/>
    </row>
    <row r="1521" spans="1:47" hidden="1" outlineLevel="1">
      <c r="A1521" s="298"/>
      <c r="B1521" s="55" t="s">
        <v>302</v>
      </c>
      <c r="C1521" s="18" t="s">
        <v>180</v>
      </c>
      <c r="D1521" s="18"/>
      <c r="E1521" s="18"/>
      <c r="F1521" s="18"/>
      <c r="G1521" s="18"/>
      <c r="H1521" s="18"/>
      <c r="I1521" s="18"/>
      <c r="J1521" s="18"/>
      <c r="K1521" s="3">
        <v>10.039999999999999</v>
      </c>
      <c r="L1521" s="3">
        <v>10.050000000000001</v>
      </c>
      <c r="M1521" s="3">
        <v>10.3</v>
      </c>
      <c r="N1521" s="3">
        <v>10.5</v>
      </c>
      <c r="O1521" s="3">
        <v>10.370000000000001</v>
      </c>
      <c r="P1521" s="3">
        <v>10.199999999999999</v>
      </c>
      <c r="Q1521" s="3">
        <v>10.030000000000001</v>
      </c>
      <c r="R1521" s="3">
        <v>9.85</v>
      </c>
      <c r="S1521" s="3">
        <v>9.5649999999999995</v>
      </c>
      <c r="T1521" s="3">
        <v>9.1939999999999991</v>
      </c>
      <c r="U1521" s="3">
        <v>8.8389999999999986</v>
      </c>
      <c r="V1521" s="3">
        <v>8.5150000000000006</v>
      </c>
      <c r="W1521" s="3">
        <v>8.2153717999999998</v>
      </c>
      <c r="X1521" s="3">
        <v>4.6340270555110221</v>
      </c>
      <c r="Y1521" s="3">
        <v>1.3615430310621242</v>
      </c>
      <c r="Z1521" s="3">
        <v>1.6387164328657313</v>
      </c>
      <c r="AA1521" s="3">
        <v>2.0867154308617235</v>
      </c>
      <c r="AB1521" s="3">
        <v>2.5576553106212421</v>
      </c>
      <c r="AC1521" s="3">
        <v>2.8494188376753504</v>
      </c>
      <c r="AD1521" s="3">
        <v>3.2141232464929859</v>
      </c>
      <c r="AE1521" s="3">
        <v>3.7247094188376755</v>
      </c>
      <c r="AF1521" s="3">
        <v>4.1623547094188371</v>
      </c>
      <c r="AG1521" s="3">
        <v>4.4541182364729455</v>
      </c>
      <c r="AH1521" s="3">
        <v>4.5999999999999996</v>
      </c>
      <c r="AI1521" s="3">
        <v>4.5999999999999996</v>
      </c>
      <c r="AJ1521" s="3">
        <v>2.2999999999999998</v>
      </c>
      <c r="AK1521" s="5"/>
      <c r="AL1521" s="5"/>
      <c r="AM1521" s="5"/>
      <c r="AN1521" s="5"/>
      <c r="AO1521" s="5"/>
      <c r="AP1521" s="5"/>
      <c r="AQ1521" s="5"/>
      <c r="AR1521" s="5"/>
      <c r="AS1521" s="5"/>
      <c r="AT1521" s="2"/>
      <c r="AU1521" s="2"/>
    </row>
    <row r="1522" spans="1:47" hidden="1" outlineLevel="1">
      <c r="A1522" s="298"/>
      <c r="B1522" s="2"/>
      <c r="C1522" s="18"/>
      <c r="D1522" s="18"/>
      <c r="E1522" s="18"/>
      <c r="F1522" s="18"/>
      <c r="G1522" s="18"/>
      <c r="H1522" s="18"/>
      <c r="I1522" s="18"/>
      <c r="J1522" s="18"/>
      <c r="K1522" s="2"/>
      <c r="L1522" s="2">
        <v>9.9601593625520124E-4</v>
      </c>
      <c r="M1522" s="2">
        <v>2.4875621890547261E-2</v>
      </c>
      <c r="N1522" s="2">
        <v>1.9417475728155331E-2</v>
      </c>
      <c r="O1522" s="2">
        <v>-1.238095238095227E-2</v>
      </c>
      <c r="P1522" s="2">
        <v>-1.6393442622950949E-2</v>
      </c>
      <c r="Q1522" s="2">
        <v>-1.6666666666666496E-2</v>
      </c>
      <c r="R1522" s="2">
        <v>-1.7946161515453807E-2</v>
      </c>
      <c r="S1522" s="2">
        <v>-2.8934010152284251E-2</v>
      </c>
      <c r="T1522" s="2">
        <v>-3.878724516466292E-2</v>
      </c>
      <c r="U1522" s="2">
        <v>-3.8612138351098557E-2</v>
      </c>
      <c r="V1522" s="2">
        <v>-3.6655730286231258E-2</v>
      </c>
      <c r="W1522" s="2">
        <v>-3.5188279506752851E-2</v>
      </c>
      <c r="X1522" s="2">
        <v>-0.43593215641061767</v>
      </c>
      <c r="Y1522" s="2">
        <v>-0.70618578295892609</v>
      </c>
      <c r="Z1522" s="2">
        <v>0.20357300171951764</v>
      </c>
      <c r="AA1522" s="2">
        <v>0.27338408830901084</v>
      </c>
      <c r="AB1522" s="2">
        <v>0.22568476410079574</v>
      </c>
      <c r="AC1522" s="2">
        <v>0.11407460803748437</v>
      </c>
      <c r="AD1522" s="2">
        <v>0.12799255904238116</v>
      </c>
      <c r="AE1522" s="2">
        <v>0.15885706091133978</v>
      </c>
      <c r="AF1522" s="2">
        <v>0.11749783442643214</v>
      </c>
      <c r="AG1522" s="2">
        <v>7.0095786501301216E-2</v>
      </c>
      <c r="AH1522" s="2">
        <v>3.2752108449319639E-2</v>
      </c>
      <c r="AI1522" s="2">
        <v>0</v>
      </c>
      <c r="AJ1522" s="2">
        <v>-0.5</v>
      </c>
      <c r="AK1522" s="462"/>
      <c r="AL1522" s="462"/>
      <c r="AM1522" s="462"/>
      <c r="AN1522" s="462"/>
      <c r="AO1522" s="462"/>
      <c r="AP1522" s="462"/>
      <c r="AQ1522" s="462"/>
      <c r="AR1522" s="462"/>
      <c r="AS1522" s="462"/>
      <c r="AT1522" s="2"/>
      <c r="AU1522" s="2"/>
    </row>
    <row r="1523" spans="1:47" hidden="1" outlineLevel="1">
      <c r="A1523" s="298"/>
      <c r="B1523" s="6" t="s">
        <v>305</v>
      </c>
      <c r="C1523" s="18"/>
      <c r="D1523" s="18"/>
      <c r="E1523" s="18"/>
      <c r="F1523" s="18"/>
      <c r="G1523" s="18"/>
      <c r="H1523" s="18"/>
      <c r="I1523" s="18"/>
      <c r="J1523" s="18"/>
      <c r="K1523" s="2"/>
      <c r="L1523" s="2"/>
      <c r="M1523" s="2"/>
      <c r="N1523" s="2"/>
      <c r="O1523" s="2"/>
      <c r="P1523" s="2"/>
      <c r="Q1523" s="2"/>
      <c r="R1523" s="2"/>
      <c r="S1523" s="2"/>
      <c r="T1523" s="2"/>
      <c r="U1523" s="2"/>
      <c r="V1523" s="2"/>
      <c r="W1523" s="2"/>
      <c r="X1523" s="2"/>
      <c r="Y1523" s="2"/>
      <c r="Z1523" s="2"/>
      <c r="AA1523" s="2"/>
      <c r="AB1523" s="2"/>
      <c r="AC1523" s="2"/>
      <c r="AD1523" s="2"/>
      <c r="AE1523" s="2"/>
      <c r="AF1523" s="2"/>
      <c r="AG1523" s="2"/>
      <c r="AH1523" s="2"/>
      <c r="AI1523" s="2"/>
      <c r="AJ1523" s="2"/>
      <c r="AK1523" s="5"/>
      <c r="AL1523" s="5"/>
      <c r="AM1523" s="5"/>
      <c r="AN1523" s="5"/>
      <c r="AO1523" s="5"/>
      <c r="AP1523" s="5"/>
      <c r="AQ1523" s="5"/>
      <c r="AR1523" s="5"/>
      <c r="AS1523" s="5"/>
      <c r="AT1523" s="2"/>
      <c r="AU1523" s="2"/>
    </row>
    <row r="1524" spans="1:47" hidden="1" outlineLevel="1">
      <c r="A1524" s="298"/>
      <c r="B1524" s="55" t="s">
        <v>304</v>
      </c>
      <c r="C1524" s="18" t="s">
        <v>306</v>
      </c>
      <c r="D1524" s="18"/>
      <c r="E1524" s="18"/>
      <c r="F1524" s="18"/>
      <c r="G1524" s="18"/>
      <c r="H1524" s="18"/>
      <c r="I1524" s="18"/>
      <c r="J1524" s="18"/>
      <c r="K1524" s="92">
        <v>14.336917562724016</v>
      </c>
      <c r="L1524" s="92">
        <v>16.276041666666668</v>
      </c>
      <c r="M1524" s="92">
        <v>19.199475065616799</v>
      </c>
      <c r="N1524" s="92">
        <v>20.222045995241874</v>
      </c>
      <c r="O1524" s="92">
        <v>21.955260977630488</v>
      </c>
      <c r="P1524" s="92">
        <v>23.539668700959027</v>
      </c>
      <c r="Q1524" s="92">
        <v>24.40529960855164</v>
      </c>
      <c r="R1524" s="92">
        <v>24.554245995769119</v>
      </c>
      <c r="S1524" s="92">
        <v>24.730215827338132</v>
      </c>
      <c r="T1524" s="92">
        <v>24.723280711304668</v>
      </c>
      <c r="U1524" s="92">
        <v>24.22253477105798</v>
      </c>
      <c r="V1524" s="92">
        <v>24.047083374091102</v>
      </c>
      <c r="W1524" s="92">
        <v>23.56614170660928</v>
      </c>
      <c r="X1524" s="92">
        <v>23.094818872477095</v>
      </c>
      <c r="Y1524" s="92">
        <v>22.632922495027554</v>
      </c>
      <c r="Z1524" s="92">
        <v>22.180264045127004</v>
      </c>
      <c r="AA1524" s="92">
        <v>21.736658764224462</v>
      </c>
      <c r="AB1524" s="92">
        <v>21.301925588939973</v>
      </c>
      <c r="AC1524" s="92">
        <v>20.875887077161174</v>
      </c>
      <c r="AD1524" s="92">
        <v>20.458369335617949</v>
      </c>
      <c r="AE1524" s="92">
        <v>20.049201948905591</v>
      </c>
      <c r="AF1524" s="92">
        <v>19.648217909927478</v>
      </c>
      <c r="AG1524" s="92">
        <v>19.255253551728927</v>
      </c>
      <c r="AH1524" s="92">
        <v>18.870148480694347</v>
      </c>
      <c r="AI1524" s="92">
        <v>18.492745511080461</v>
      </c>
      <c r="AJ1524" s="92">
        <v>18.122890600858852</v>
      </c>
      <c r="AK1524" s="462"/>
      <c r="AL1524" s="462"/>
      <c r="AM1524" s="462"/>
      <c r="AN1524" s="462"/>
      <c r="AO1524" s="462"/>
      <c r="AP1524" s="462"/>
      <c r="AQ1524" s="462"/>
      <c r="AR1524" s="462"/>
      <c r="AS1524" s="462"/>
      <c r="AT1524" s="2"/>
      <c r="AU1524" s="2"/>
    </row>
    <row r="1525" spans="1:47" hidden="1" outlineLevel="1">
      <c r="A1525" s="298"/>
      <c r="B1525" s="241" t="s">
        <v>1099</v>
      </c>
      <c r="C1525" s="18" t="s">
        <v>733</v>
      </c>
      <c r="D1525" s="18"/>
      <c r="E1525" s="18"/>
      <c r="F1525" s="18"/>
      <c r="G1525" s="18"/>
      <c r="H1525" s="18"/>
      <c r="I1525" s="18"/>
      <c r="J1525" s="18"/>
      <c r="K1525" s="2"/>
      <c r="L1525" s="5">
        <v>0.13525390625</v>
      </c>
      <c r="M1525" s="5">
        <v>0.17961574803149594</v>
      </c>
      <c r="N1525" s="5">
        <v>5.3260358740554237E-2</v>
      </c>
      <c r="O1525" s="5">
        <v>8.57091801094918E-2</v>
      </c>
      <c r="P1525" s="5">
        <v>7.2165287624813113E-2</v>
      </c>
      <c r="Q1525" s="5">
        <v>3.6773283370693521E-2</v>
      </c>
      <c r="R1525" s="5">
        <v>6.1030345706261091E-3</v>
      </c>
      <c r="S1525" s="5">
        <v>7.1665744327613634E-3</v>
      </c>
      <c r="T1525" s="5">
        <v>-2.8043087378948339E-4</v>
      </c>
      <c r="U1525" s="5">
        <v>-2.0254024783115554E-2</v>
      </c>
      <c r="V1525" s="5">
        <v>-7.2433128334906671E-3</v>
      </c>
      <c r="W1525" s="586">
        <v>-0.02</v>
      </c>
      <c r="X1525" s="187">
        <v>-0.02</v>
      </c>
      <c r="Y1525" s="187">
        <v>-0.02</v>
      </c>
      <c r="Z1525" s="187">
        <v>-0.02</v>
      </c>
      <c r="AA1525" s="187">
        <v>-0.02</v>
      </c>
      <c r="AB1525" s="187">
        <v>-0.02</v>
      </c>
      <c r="AC1525" s="187">
        <v>-0.02</v>
      </c>
      <c r="AD1525" s="187">
        <v>-0.02</v>
      </c>
      <c r="AE1525" s="187">
        <v>-0.02</v>
      </c>
      <c r="AF1525" s="187">
        <v>-0.02</v>
      </c>
      <c r="AG1525" s="187">
        <v>-0.02</v>
      </c>
      <c r="AH1525" s="187">
        <v>-0.02</v>
      </c>
      <c r="AI1525" s="187">
        <v>-0.02</v>
      </c>
      <c r="AJ1525" s="187">
        <v>-0.02</v>
      </c>
      <c r="AK1525" s="5"/>
      <c r="AL1525" s="5"/>
      <c r="AM1525" s="5"/>
      <c r="AN1525" s="5"/>
      <c r="AO1525" s="5"/>
      <c r="AP1525" s="5"/>
      <c r="AQ1525" s="5"/>
      <c r="AR1525" s="5"/>
      <c r="AS1525" s="5"/>
      <c r="AT1525" s="2"/>
      <c r="AU1525" s="2"/>
    </row>
    <row r="1526" spans="1:47" hidden="1" outlineLevel="1">
      <c r="A1526" s="298"/>
      <c r="B1526" s="55" t="s">
        <v>303</v>
      </c>
      <c r="C1526" s="18" t="s">
        <v>306</v>
      </c>
      <c r="D1526" s="18"/>
      <c r="E1526" s="18"/>
      <c r="F1526" s="18"/>
      <c r="G1526" s="18"/>
      <c r="H1526" s="18"/>
      <c r="I1526" s="18"/>
      <c r="J1526" s="18"/>
      <c r="K1526" s="92">
        <v>25.459039548022602</v>
      </c>
      <c r="L1526" s="92">
        <v>27.846790890269151</v>
      </c>
      <c r="M1526" s="92">
        <v>33.396464646464644</v>
      </c>
      <c r="N1526" s="92">
        <v>34.390096618357489</v>
      </c>
      <c r="O1526" s="92">
        <v>35.574494949494955</v>
      </c>
      <c r="P1526" s="92">
        <v>36.68658698539177</v>
      </c>
      <c r="Q1526" s="92">
        <v>33.963585434173673</v>
      </c>
      <c r="R1526" s="92">
        <v>35.393671817512875</v>
      </c>
      <c r="S1526" s="92">
        <v>37.417218543046353</v>
      </c>
      <c r="T1526" s="92">
        <v>37.473622935312527</v>
      </c>
      <c r="U1526" s="92">
        <v>36.499068901303538</v>
      </c>
      <c r="V1526" s="92">
        <v>36.964532473514502</v>
      </c>
      <c r="W1526" s="92">
        <v>36.225241824044211</v>
      </c>
      <c r="X1526" s="92">
        <v>35.500736987563329</v>
      </c>
      <c r="Y1526" s="92">
        <v>34.826222984799628</v>
      </c>
      <c r="Z1526" s="92">
        <v>34.164524748088432</v>
      </c>
      <c r="AA1526" s="92">
        <v>33.515398777874751</v>
      </c>
      <c r="AB1526" s="92">
        <v>32.878606201095131</v>
      </c>
      <c r="AC1526" s="92">
        <v>32.253912683274322</v>
      </c>
      <c r="AD1526" s="92">
        <v>31.641088342292111</v>
      </c>
      <c r="AE1526" s="92">
        <v>31.039907663788561</v>
      </c>
      <c r="AF1526" s="92">
        <v>30.450149418176579</v>
      </c>
      <c r="AG1526" s="92">
        <v>29.871596579231223</v>
      </c>
      <c r="AH1526" s="92">
        <v>29.304036244225831</v>
      </c>
      <c r="AI1526" s="92">
        <v>28.74725955558554</v>
      </c>
      <c r="AJ1526" s="92">
        <v>28.201061624029414</v>
      </c>
      <c r="AK1526" s="462"/>
      <c r="AL1526" s="462"/>
      <c r="AM1526" s="462"/>
      <c r="AN1526" s="462"/>
      <c r="AO1526" s="462"/>
      <c r="AP1526" s="462"/>
      <c r="AQ1526" s="462"/>
      <c r="AR1526" s="462"/>
      <c r="AS1526" s="462"/>
      <c r="AT1526" s="2"/>
      <c r="AU1526" s="2"/>
    </row>
    <row r="1527" spans="1:47" hidden="1" outlineLevel="1">
      <c r="A1527" s="298"/>
      <c r="B1527" s="241" t="s">
        <v>1099</v>
      </c>
      <c r="C1527" s="18" t="s">
        <v>733</v>
      </c>
      <c r="D1527" s="18"/>
      <c r="E1527" s="18"/>
      <c r="F1527" s="18"/>
      <c r="G1527" s="18"/>
      <c r="H1527" s="18"/>
      <c r="I1527" s="18"/>
      <c r="J1527" s="18"/>
      <c r="K1527" s="2"/>
      <c r="L1527" s="5">
        <v>9.3787958408352745E-2</v>
      </c>
      <c r="M1527" s="5">
        <v>0.1992931170440464</v>
      </c>
      <c r="N1527" s="5">
        <v>2.9752609517547546E-2</v>
      </c>
      <c r="O1527" s="5">
        <v>3.4440098970388799E-2</v>
      </c>
      <c r="P1527" s="5">
        <v>3.1260936732219191E-2</v>
      </c>
      <c r="Q1527" s="5">
        <v>-7.4223354500171146E-2</v>
      </c>
      <c r="R1527" s="5">
        <v>4.2106460936255141E-2</v>
      </c>
      <c r="S1527" s="5">
        <v>5.7172557172557203E-2</v>
      </c>
      <c r="T1527" s="5">
        <v>1.5074448198570956E-3</v>
      </c>
      <c r="U1527" s="5">
        <v>-2.6006400173564148E-2</v>
      </c>
      <c r="V1527" s="5">
        <v>1.2752751952922914E-2</v>
      </c>
      <c r="W1527" s="586">
        <v>-0.02</v>
      </c>
      <c r="X1527" s="187">
        <v>-0.02</v>
      </c>
      <c r="Y1527" s="587">
        <v>-1.9E-2</v>
      </c>
      <c r="Z1527" s="187">
        <v>-1.9E-2</v>
      </c>
      <c r="AA1527" s="187">
        <v>-1.9E-2</v>
      </c>
      <c r="AB1527" s="187">
        <v>-1.9E-2</v>
      </c>
      <c r="AC1527" s="187">
        <v>-1.9E-2</v>
      </c>
      <c r="AD1527" s="187">
        <v>-1.9E-2</v>
      </c>
      <c r="AE1527" s="187">
        <v>-1.9E-2</v>
      </c>
      <c r="AF1527" s="187">
        <v>-1.9E-2</v>
      </c>
      <c r="AG1527" s="187">
        <v>-1.9E-2</v>
      </c>
      <c r="AH1527" s="187">
        <v>-1.9E-2</v>
      </c>
      <c r="AI1527" s="187">
        <v>-1.9E-2</v>
      </c>
      <c r="AJ1527" s="187">
        <v>-1.9E-2</v>
      </c>
      <c r="AK1527" s="5"/>
      <c r="AL1527" s="5"/>
      <c r="AM1527" s="5"/>
      <c r="AN1527" s="5"/>
      <c r="AO1527" s="5"/>
      <c r="AP1527" s="5"/>
      <c r="AQ1527" s="5"/>
      <c r="AR1527" s="5"/>
      <c r="AS1527" s="5"/>
      <c r="AT1527" s="2"/>
      <c r="AU1527" s="2"/>
    </row>
    <row r="1528" spans="1:47" hidden="1" outlineLevel="1">
      <c r="A1528" s="298"/>
      <c r="B1528" s="55" t="s">
        <v>295</v>
      </c>
      <c r="C1528" s="18" t="s">
        <v>306</v>
      </c>
      <c r="D1528" s="18"/>
      <c r="E1528" s="18"/>
      <c r="F1528" s="18"/>
      <c r="G1528" s="18"/>
      <c r="H1528" s="18"/>
      <c r="I1528" s="18"/>
      <c r="J1528" s="18"/>
      <c r="K1528" s="92">
        <v>11.680911680911683</v>
      </c>
      <c r="L1528" s="92">
        <v>20.445344129554659</v>
      </c>
      <c r="M1528" s="92">
        <v>22.837150127226462</v>
      </c>
      <c r="N1528" s="92">
        <v>24.041811846689896</v>
      </c>
      <c r="O1528" s="92">
        <v>25.565388397246803</v>
      </c>
      <c r="P1528" s="92">
        <v>27.152600170502982</v>
      </c>
      <c r="Q1528" s="92">
        <v>28.605200945626475</v>
      </c>
      <c r="R1528" s="92">
        <v>30.032206119162637</v>
      </c>
      <c r="S1528" s="92">
        <v>29.262452107279696</v>
      </c>
      <c r="T1528" s="92">
        <v>29.443447037701972</v>
      </c>
      <c r="U1528" s="92">
        <v>29.419490412398215</v>
      </c>
      <c r="V1528" s="92">
        <v>27.383367139959432</v>
      </c>
      <c r="W1528" s="92">
        <v>26.561866125760648</v>
      </c>
      <c r="X1528" s="92">
        <v>25.76501014198783</v>
      </c>
      <c r="Y1528" s="92">
        <v>24.992059837728196</v>
      </c>
      <c r="Z1528" s="92">
        <v>24.242298042596349</v>
      </c>
      <c r="AA1528" s="92">
        <v>23.515029101318458</v>
      </c>
      <c r="AB1528" s="92">
        <v>22.809578228278902</v>
      </c>
      <c r="AC1528" s="92">
        <v>22.125290881430534</v>
      </c>
      <c r="AD1528" s="92">
        <v>21.461532154987616</v>
      </c>
      <c r="AE1528" s="92">
        <v>20.817686190337987</v>
      </c>
      <c r="AF1528" s="92">
        <v>20.193155604627847</v>
      </c>
      <c r="AG1528" s="92">
        <v>19.587360936489013</v>
      </c>
      <c r="AH1528" s="92">
        <v>18.999740108394342</v>
      </c>
      <c r="AI1528" s="92">
        <v>18.429747905142509</v>
      </c>
      <c r="AJ1528" s="92">
        <v>17.876855467988232</v>
      </c>
      <c r="AK1528" s="462"/>
      <c r="AL1528" s="462"/>
      <c r="AM1528" s="462"/>
      <c r="AN1528" s="462"/>
      <c r="AO1528" s="462"/>
      <c r="AP1528" s="462"/>
      <c r="AQ1528" s="462"/>
      <c r="AR1528" s="462"/>
      <c r="AS1528" s="462"/>
      <c r="AT1528" s="2"/>
      <c r="AU1528" s="2"/>
    </row>
    <row r="1529" spans="1:47" hidden="1" outlineLevel="1">
      <c r="A1529" s="298"/>
      <c r="B1529" s="431" t="s">
        <v>1099</v>
      </c>
      <c r="C1529" s="22" t="s">
        <v>733</v>
      </c>
      <c r="D1529" s="22"/>
      <c r="E1529" s="22"/>
      <c r="F1529" s="22"/>
      <c r="G1529" s="22"/>
      <c r="H1529" s="22"/>
      <c r="I1529" s="22"/>
      <c r="J1529" s="22"/>
      <c r="K1529" s="23"/>
      <c r="L1529" s="91">
        <v>0.75032092426187424</v>
      </c>
      <c r="M1529" s="91">
        <v>0.11698536265840298</v>
      </c>
      <c r="N1529" s="91">
        <v>5.2750089777061859E-2</v>
      </c>
      <c r="O1529" s="91">
        <v>6.3371952175337976E-2</v>
      </c>
      <c r="P1529" s="91">
        <v>6.2084398976982147E-2</v>
      </c>
      <c r="Q1529" s="91">
        <v>5.34976674794303E-2</v>
      </c>
      <c r="R1529" s="91">
        <v>4.9886213917834432E-2</v>
      </c>
      <c r="S1529" s="91">
        <v>-2.5630951280391834E-2</v>
      </c>
      <c r="T1529" s="91">
        <v>6.1852277368528163E-3</v>
      </c>
      <c r="U1529" s="91">
        <v>-8.1364879842638071E-4</v>
      </c>
      <c r="V1529" s="91">
        <v>-6.9210011590843279E-2</v>
      </c>
      <c r="W1529" s="588">
        <v>-0.03</v>
      </c>
      <c r="X1529" s="587">
        <v>-0.03</v>
      </c>
      <c r="Y1529" s="587">
        <v>-0.03</v>
      </c>
      <c r="Z1529" s="587">
        <v>-0.03</v>
      </c>
      <c r="AA1529" s="587">
        <v>-0.03</v>
      </c>
      <c r="AB1529" s="587">
        <v>-0.03</v>
      </c>
      <c r="AC1529" s="187">
        <v>-0.03</v>
      </c>
      <c r="AD1529" s="187">
        <v>-0.03</v>
      </c>
      <c r="AE1529" s="187">
        <v>-0.03</v>
      </c>
      <c r="AF1529" s="187">
        <v>-0.03</v>
      </c>
      <c r="AG1529" s="187">
        <v>-0.03</v>
      </c>
      <c r="AH1529" s="187">
        <v>-0.03</v>
      </c>
      <c r="AI1529" s="187">
        <v>-0.03</v>
      </c>
      <c r="AJ1529" s="187">
        <v>-0.03</v>
      </c>
      <c r="AK1529" s="5"/>
      <c r="AL1529" s="5"/>
      <c r="AM1529" s="5"/>
      <c r="AN1529" s="5"/>
      <c r="AO1529" s="5"/>
      <c r="AP1529" s="5"/>
      <c r="AQ1529" s="5"/>
      <c r="AR1529" s="5"/>
      <c r="AS1529" s="5"/>
      <c r="AT1529" s="2"/>
      <c r="AU1529" s="2"/>
    </row>
    <row r="1530" spans="1:47" hidden="1" outlineLevel="1">
      <c r="A1530" s="298"/>
      <c r="B1530" s="55" t="s">
        <v>307</v>
      </c>
      <c r="C1530" s="18" t="s">
        <v>306</v>
      </c>
      <c r="D1530" s="18"/>
      <c r="E1530" s="18"/>
      <c r="F1530" s="18"/>
      <c r="G1530" s="18"/>
      <c r="H1530" s="18"/>
      <c r="I1530" s="18"/>
      <c r="J1530" s="18"/>
      <c r="K1530" s="3">
        <v>16.641766268260294</v>
      </c>
      <c r="L1530" s="3">
        <v>19.568822553897181</v>
      </c>
      <c r="M1530" s="3">
        <v>23.300970873786408</v>
      </c>
      <c r="N1530" s="3">
        <v>24.468253968253965</v>
      </c>
      <c r="O1530" s="3">
        <v>26.012536162005784</v>
      </c>
      <c r="P1530" s="3">
        <v>27.467320261437909</v>
      </c>
      <c r="Q1530" s="3">
        <v>27.558989697573939</v>
      </c>
      <c r="R1530" s="3">
        <v>28.197969543147209</v>
      </c>
      <c r="S1530" s="3">
        <v>28.558982401115177</v>
      </c>
      <c r="T1530" s="3">
        <v>28.614676238126318</v>
      </c>
      <c r="U1530" s="3">
        <v>28.076328393106312</v>
      </c>
      <c r="V1530" s="3">
        <v>27.823448815815226</v>
      </c>
      <c r="W1530" s="3">
        <v>27.247208016473422</v>
      </c>
      <c r="X1530" s="3">
        <v>26.566218090991573</v>
      </c>
      <c r="Y1530" s="3">
        <v>25.296001899510845</v>
      </c>
      <c r="Z1530" s="3">
        <v>24.898349220938215</v>
      </c>
      <c r="AA1530" s="3">
        <v>24.52400766225648</v>
      </c>
      <c r="AB1530" s="3">
        <v>24.202583286938694</v>
      </c>
      <c r="AC1530" s="3">
        <v>23.89758838182119</v>
      </c>
      <c r="AD1530" s="3">
        <v>23.638874046451701</v>
      </c>
      <c r="AE1530" s="3">
        <v>23.447385994342781</v>
      </c>
      <c r="AF1530" s="3">
        <v>23.1776544548114</v>
      </c>
      <c r="AG1530" s="3">
        <v>22.828851727777742</v>
      </c>
      <c r="AH1530" s="3">
        <v>22.42226086580872</v>
      </c>
      <c r="AI1530" s="3">
        <v>21.963100460858055</v>
      </c>
      <c r="AJ1530" s="3">
        <v>21.513554023377107</v>
      </c>
      <c r="AK1530" s="462"/>
      <c r="AL1530" s="462"/>
      <c r="AM1530" s="462"/>
      <c r="AN1530" s="462"/>
      <c r="AO1530" s="462"/>
      <c r="AP1530" s="462"/>
      <c r="AQ1530" s="462"/>
      <c r="AR1530" s="462"/>
      <c r="AS1530" s="462"/>
      <c r="AT1530" s="2"/>
      <c r="AU1530" s="2"/>
    </row>
    <row r="1531" spans="1:47" hidden="1" outlineLevel="1">
      <c r="A1531" s="298"/>
      <c r="B1531" s="241" t="s">
        <v>1099</v>
      </c>
      <c r="C1531" s="18" t="s">
        <v>733</v>
      </c>
      <c r="D1531" s="18"/>
      <c r="E1531" s="18"/>
      <c r="F1531" s="18"/>
      <c r="G1531" s="18"/>
      <c r="H1531" s="18"/>
      <c r="I1531" s="18"/>
      <c r="J1531" s="18"/>
      <c r="K1531" s="2"/>
      <c r="L1531" s="5">
        <v>0.1758861552586195</v>
      </c>
      <c r="M1531" s="5">
        <v>0.19071910482145804</v>
      </c>
      <c r="N1531" s="5">
        <v>5.0095899470899319E-2</v>
      </c>
      <c r="O1531" s="5">
        <v>6.3113706264265046E-2</v>
      </c>
      <c r="P1531" s="5">
        <v>5.5926269179281229E-2</v>
      </c>
      <c r="Q1531" s="5">
        <v>3.3374000544468263E-3</v>
      </c>
      <c r="R1531" s="5">
        <v>2.3185895150195535E-2</v>
      </c>
      <c r="S1531" s="5">
        <v>1.280279622316649E-2</v>
      </c>
      <c r="T1531" s="5">
        <v>1.9501338048013572E-3</v>
      </c>
      <c r="U1531" s="5">
        <v>-1.8813696878481889E-2</v>
      </c>
      <c r="V1531" s="5">
        <v>-9.0068606461084499E-3</v>
      </c>
      <c r="W1531" s="5">
        <v>-2.0710617262309383E-2</v>
      </c>
      <c r="X1531" s="5">
        <v>-2.4993016718268146E-2</v>
      </c>
      <c r="Y1531" s="5">
        <v>-4.7813211015965029E-2</v>
      </c>
      <c r="Z1531" s="5">
        <v>-1.5719981369084257E-2</v>
      </c>
      <c r="AA1531" s="5">
        <v>-1.5034794289371378E-2</v>
      </c>
      <c r="AB1531" s="5">
        <v>-1.3106519119730708E-2</v>
      </c>
      <c r="AC1531" s="5">
        <v>-1.2601750048809812E-2</v>
      </c>
      <c r="AD1531" s="5">
        <v>-1.0825959977044941E-2</v>
      </c>
      <c r="AE1531" s="5">
        <v>-8.1005572318137986E-3</v>
      </c>
      <c r="AF1531" s="5">
        <v>-1.1503693400895965E-2</v>
      </c>
      <c r="AG1531" s="5">
        <v>-1.5049095140912794E-2</v>
      </c>
      <c r="AH1531" s="5">
        <v>-1.7810394794158246E-2</v>
      </c>
      <c r="AI1531" s="5">
        <v>-2.047788167743736E-2</v>
      </c>
      <c r="AJ1531" s="5">
        <v>-2.0468259400903577E-2</v>
      </c>
      <c r="AK1531" s="5"/>
      <c r="AL1531" s="5"/>
      <c r="AM1531" s="5"/>
      <c r="AN1531" s="5"/>
      <c r="AO1531" s="5"/>
      <c r="AP1531" s="5"/>
      <c r="AQ1531" s="5"/>
      <c r="AR1531" s="5"/>
      <c r="AS1531" s="5"/>
      <c r="AT1531" s="2"/>
      <c r="AU1531" s="2"/>
    </row>
    <row r="1532" spans="1:47" hidden="1" outlineLevel="1">
      <c r="A1532" s="298"/>
      <c r="B1532" s="2"/>
      <c r="C1532" s="18"/>
      <c r="D1532" s="18"/>
      <c r="E1532" s="18"/>
      <c r="F1532" s="18"/>
      <c r="G1532" s="18"/>
      <c r="H1532" s="18"/>
      <c r="I1532" s="18"/>
      <c r="J1532" s="18"/>
      <c r="K1532" s="2"/>
      <c r="L1532" s="2"/>
      <c r="M1532" s="2"/>
      <c r="N1532" s="2"/>
      <c r="O1532" s="2"/>
      <c r="P1532" s="2"/>
      <c r="Q1532" s="2"/>
      <c r="R1532" s="2"/>
      <c r="S1532" s="2"/>
      <c r="T1532" s="2"/>
      <c r="U1532" s="2"/>
      <c r="V1532" s="80"/>
      <c r="W1532" s="2"/>
      <c r="X1532" s="2"/>
      <c r="Y1532" s="2"/>
      <c r="Z1532" s="2"/>
      <c r="AA1532" s="2"/>
      <c r="AB1532" s="2"/>
      <c r="AC1532" s="2"/>
      <c r="AD1532" s="2"/>
      <c r="AE1532" s="2"/>
      <c r="AF1532" s="2"/>
      <c r="AG1532" s="2"/>
      <c r="AH1532" s="2"/>
      <c r="AI1532" s="2"/>
      <c r="AJ1532" s="2"/>
      <c r="AK1532" s="462"/>
      <c r="AL1532" s="462"/>
      <c r="AM1532" s="462"/>
      <c r="AN1532" s="462"/>
      <c r="AO1532" s="462"/>
      <c r="AP1532" s="462"/>
      <c r="AQ1532" s="462"/>
      <c r="AR1532" s="462"/>
      <c r="AS1532" s="462"/>
      <c r="AT1532" s="2"/>
      <c r="AU1532" s="2"/>
    </row>
    <row r="1533" spans="1:47" hidden="1" outlineLevel="1">
      <c r="A1533" s="298"/>
      <c r="B1533" s="6" t="s">
        <v>731</v>
      </c>
      <c r="C1533" s="18"/>
      <c r="D1533" s="18"/>
      <c r="E1533" s="18"/>
      <c r="F1533" s="18"/>
      <c r="G1533" s="18"/>
      <c r="H1533" s="18"/>
      <c r="I1533" s="18"/>
      <c r="J1533" s="18"/>
      <c r="K1533" s="2"/>
      <c r="L1533" s="2"/>
      <c r="M1533" s="2"/>
      <c r="N1533" s="2"/>
      <c r="O1533" s="2"/>
      <c r="P1533" s="2"/>
      <c r="Q1533" s="2"/>
      <c r="R1533" s="2"/>
      <c r="S1533" s="2"/>
      <c r="T1533" s="2"/>
      <c r="U1533" s="2"/>
      <c r="V1533" s="2"/>
      <c r="W1533" s="2"/>
      <c r="X1533" s="2"/>
      <c r="Y1533" s="2"/>
      <c r="Z1533" s="2"/>
      <c r="AA1533" s="2"/>
      <c r="AB1533" s="2"/>
      <c r="AC1533" s="2"/>
      <c r="AD1533" s="2"/>
      <c r="AE1533" s="2"/>
      <c r="AF1533" s="2"/>
      <c r="AG1533" s="2"/>
      <c r="AH1533" s="2"/>
      <c r="AI1533" s="2"/>
      <c r="AJ1533" s="2"/>
      <c r="AK1533" s="5"/>
      <c r="AL1533" s="5"/>
      <c r="AM1533" s="5"/>
      <c r="AN1533" s="5"/>
      <c r="AO1533" s="5"/>
      <c r="AP1533" s="5"/>
      <c r="AQ1533" s="5"/>
      <c r="AR1533" s="5"/>
      <c r="AS1533" s="5"/>
      <c r="AT1533" s="2"/>
      <c r="AU1533" s="2"/>
    </row>
    <row r="1534" spans="1:47" hidden="1" outlineLevel="1">
      <c r="A1534" s="298"/>
      <c r="B1534" s="55" t="s">
        <v>304</v>
      </c>
      <c r="C1534" s="18" t="s">
        <v>732</v>
      </c>
      <c r="D1534" s="18"/>
      <c r="E1534" s="18"/>
      <c r="F1534" s="18"/>
      <c r="G1534" s="18"/>
      <c r="H1534" s="18"/>
      <c r="I1534" s="18"/>
      <c r="J1534" s="18"/>
      <c r="K1534" s="530">
        <v>1120</v>
      </c>
      <c r="L1534" s="530">
        <v>1250</v>
      </c>
      <c r="M1534" s="530">
        <v>1463</v>
      </c>
      <c r="N1534" s="530">
        <v>1530</v>
      </c>
      <c r="O1534" s="530">
        <v>1590</v>
      </c>
      <c r="P1534" s="530">
        <v>1620</v>
      </c>
      <c r="Q1534" s="530">
        <v>1621</v>
      </c>
      <c r="R1534" s="530">
        <v>1625</v>
      </c>
      <c r="S1534" s="530">
        <v>1650</v>
      </c>
      <c r="T1534" s="530">
        <v>1635</v>
      </c>
      <c r="U1534" s="530">
        <v>1550</v>
      </c>
      <c r="V1534" s="530">
        <v>1475</v>
      </c>
      <c r="W1534" s="19">
        <v>1389.5068473050965</v>
      </c>
      <c r="X1534" s="19">
        <v>669.11028772121017</v>
      </c>
      <c r="Y1534" s="19">
        <v>30.545414314452245</v>
      </c>
      <c r="Z1534" s="19">
        <v>70.990923386948296</v>
      </c>
      <c r="AA1534" s="19">
        <v>125.89057080618829</v>
      </c>
      <c r="AB1534" s="19">
        <v>194.79909377378613</v>
      </c>
      <c r="AC1534" s="19">
        <v>254.53748253108057</v>
      </c>
      <c r="AD1534" s="19">
        <v>327.39883690560231</v>
      </c>
      <c r="AE1534" s="19">
        <v>427.80114688998708</v>
      </c>
      <c r="AF1534" s="19">
        <v>509.08336479908468</v>
      </c>
      <c r="AG1534" s="19">
        <v>557.59601485640906</v>
      </c>
      <c r="AH1534" s="19">
        <v>575.20431006240096</v>
      </c>
      <c r="AI1534" s="19">
        <v>563.70022386115295</v>
      </c>
      <c r="AJ1534" s="19">
        <v>276.21310969196497</v>
      </c>
      <c r="AK1534" s="462"/>
      <c r="AL1534" s="462"/>
      <c r="AM1534" s="462"/>
      <c r="AN1534" s="462"/>
      <c r="AO1534" s="462"/>
      <c r="AP1534" s="462"/>
      <c r="AQ1534" s="462"/>
      <c r="AR1534" s="462"/>
      <c r="AS1534" s="462"/>
      <c r="AT1534" s="2"/>
      <c r="AU1534" s="2"/>
    </row>
    <row r="1535" spans="1:47" hidden="1" outlineLevel="1">
      <c r="A1535" s="298"/>
      <c r="B1535" s="241" t="s">
        <v>1099</v>
      </c>
      <c r="C1535" s="18" t="s">
        <v>733</v>
      </c>
      <c r="D1535" s="18"/>
      <c r="E1535" s="18"/>
      <c r="F1535" s="18"/>
      <c r="G1535" s="18"/>
      <c r="H1535" s="18"/>
      <c r="I1535" s="18"/>
      <c r="J1535" s="18"/>
      <c r="K1535" s="2"/>
      <c r="L1535" s="2">
        <v>0.1160714285714286</v>
      </c>
      <c r="M1535" s="2">
        <v>0.17040000000000011</v>
      </c>
      <c r="N1535" s="2">
        <v>4.5796308954203724E-2</v>
      </c>
      <c r="O1535" s="2">
        <v>3.9215686274509887E-2</v>
      </c>
      <c r="P1535" s="2">
        <v>1.8867924528301883E-2</v>
      </c>
      <c r="Q1535" s="2">
        <v>6.172839506173311E-4</v>
      </c>
      <c r="R1535" s="2">
        <v>2.467612584824197E-3</v>
      </c>
      <c r="S1535" s="2">
        <v>1.538461538461533E-2</v>
      </c>
      <c r="T1535" s="2">
        <v>-9.0909090909090384E-3</v>
      </c>
      <c r="U1535" s="2">
        <v>-5.1987767584097844E-2</v>
      </c>
      <c r="V1535" s="2">
        <v>-4.8387096774193505E-2</v>
      </c>
      <c r="W1535" s="2">
        <v>-5.796145945417186E-2</v>
      </c>
      <c r="X1535" s="2">
        <v>-0.51845484675449571</v>
      </c>
      <c r="Y1535" s="2">
        <v>-0.95434920838165438</v>
      </c>
      <c r="Z1535" s="2">
        <v>1.3241106719367588</v>
      </c>
      <c r="AA1535" s="2">
        <v>0.77333333333333298</v>
      </c>
      <c r="AB1535" s="2">
        <v>0.54736842105263173</v>
      </c>
      <c r="AC1535" s="2">
        <v>0.30666666666666687</v>
      </c>
      <c r="AD1535" s="2">
        <v>0.28624999999999967</v>
      </c>
      <c r="AE1535" s="2">
        <v>0.30666666666666687</v>
      </c>
      <c r="AF1535" s="2">
        <v>0.19000000000000017</v>
      </c>
      <c r="AG1535" s="2">
        <v>9.5294117647058529E-2</v>
      </c>
      <c r="AH1535" s="2">
        <v>3.1578947368421151E-2</v>
      </c>
      <c r="AI1535" s="2">
        <v>-2.0000000000000018E-2</v>
      </c>
      <c r="AJ1535" s="2">
        <v>-0.51</v>
      </c>
      <c r="AK1535" s="5"/>
      <c r="AL1535" s="5"/>
      <c r="AM1535" s="5"/>
      <c r="AN1535" s="5"/>
      <c r="AO1535" s="5"/>
      <c r="AP1535" s="5"/>
      <c r="AQ1535" s="5"/>
      <c r="AR1535" s="5"/>
      <c r="AS1535" s="5"/>
      <c r="AT1535" s="2"/>
      <c r="AU1535" s="2"/>
    </row>
    <row r="1536" spans="1:47" hidden="1" outlineLevel="1">
      <c r="A1536" s="298"/>
      <c r="B1536" s="55" t="s">
        <v>303</v>
      </c>
      <c r="C1536" s="18" t="s">
        <v>732</v>
      </c>
      <c r="D1536" s="18"/>
      <c r="E1536" s="18"/>
      <c r="F1536" s="18"/>
      <c r="G1536" s="18"/>
      <c r="H1536" s="18"/>
      <c r="I1536" s="18"/>
      <c r="J1536" s="18"/>
      <c r="K1536" s="2">
        <v>721</v>
      </c>
      <c r="L1536" s="2">
        <v>807</v>
      </c>
      <c r="M1536" s="2">
        <v>1058</v>
      </c>
      <c r="N1536" s="2">
        <v>1139</v>
      </c>
      <c r="O1536" s="2">
        <v>1127</v>
      </c>
      <c r="P1536" s="2">
        <v>1105</v>
      </c>
      <c r="Q1536" s="2">
        <v>970</v>
      </c>
      <c r="R1536" s="2">
        <v>962</v>
      </c>
      <c r="S1536" s="2">
        <v>1017</v>
      </c>
      <c r="T1536" s="2">
        <v>1030</v>
      </c>
      <c r="U1536" s="2">
        <v>980</v>
      </c>
      <c r="V1536" s="2">
        <v>963</v>
      </c>
      <c r="W1536" s="19">
        <v>915.42858246522314</v>
      </c>
      <c r="X1536" s="19">
        <v>444.55727044574724</v>
      </c>
      <c r="Y1536" s="19">
        <v>28.861501744668075</v>
      </c>
      <c r="Z1536" s="19">
        <v>67.145770462101297</v>
      </c>
      <c r="AA1536" s="19">
        <v>119.19333482315295</v>
      </c>
      <c r="AB1536" s="19">
        <v>184.62420230765215</v>
      </c>
      <c r="AC1536" s="19">
        <v>241.48845661840897</v>
      </c>
      <c r="AD1536" s="19">
        <v>310.9314809247403</v>
      </c>
      <c r="AE1536" s="19">
        <v>406.69837704956035</v>
      </c>
      <c r="AF1536" s="19">
        <v>484.46491671825129</v>
      </c>
      <c r="AG1536" s="19">
        <v>531.17303427714614</v>
      </c>
      <c r="AH1536" s="19">
        <v>548.50604907987406</v>
      </c>
      <c r="AI1536" s="19">
        <v>538.08443414735643</v>
      </c>
      <c r="AJ1536" s="19">
        <v>263.93041494927832</v>
      </c>
      <c r="AK1536" s="462"/>
      <c r="AL1536" s="462"/>
      <c r="AM1536" s="462"/>
      <c r="AN1536" s="462"/>
      <c r="AO1536" s="462"/>
      <c r="AP1536" s="462"/>
      <c r="AQ1536" s="462"/>
      <c r="AR1536" s="462"/>
      <c r="AS1536" s="462"/>
      <c r="AT1536" s="2"/>
      <c r="AU1536" s="2"/>
    </row>
    <row r="1537" spans="1:47" hidden="1" outlineLevel="1">
      <c r="A1537" s="298"/>
      <c r="B1537" s="241" t="s">
        <v>1099</v>
      </c>
      <c r="C1537" s="18" t="s">
        <v>733</v>
      </c>
      <c r="D1537" s="18"/>
      <c r="E1537" s="18"/>
      <c r="F1537" s="18"/>
      <c r="G1537" s="18"/>
      <c r="H1537" s="18"/>
      <c r="I1537" s="18"/>
      <c r="J1537" s="18"/>
      <c r="K1537" s="2"/>
      <c r="L1537" s="2">
        <v>0.11927877947295418</v>
      </c>
      <c r="M1537" s="2">
        <v>0.31102850061957876</v>
      </c>
      <c r="N1537" s="2">
        <v>7.6559546313799576E-2</v>
      </c>
      <c r="O1537" s="2">
        <v>-1.0535557506584747E-2</v>
      </c>
      <c r="P1537" s="2">
        <v>-1.9520851818988438E-2</v>
      </c>
      <c r="Q1537" s="2">
        <v>-0.12217194570135748</v>
      </c>
      <c r="R1537" s="2">
        <v>-8.2474226804123418E-3</v>
      </c>
      <c r="S1537" s="2">
        <v>5.7172557172557203E-2</v>
      </c>
      <c r="T1537" s="2">
        <v>1.2782694198623323E-2</v>
      </c>
      <c r="U1537" s="2">
        <v>-4.8543689320388328E-2</v>
      </c>
      <c r="V1537" s="2">
        <v>-1.734693877551019E-2</v>
      </c>
      <c r="W1537" s="2">
        <v>-4.9399187471211636E-2</v>
      </c>
      <c r="X1537" s="2">
        <v>-0.51437252565506841</v>
      </c>
      <c r="Y1537" s="2">
        <v>-0.93507810205031783</v>
      </c>
      <c r="Z1537" s="2">
        <v>1.3264822134387351</v>
      </c>
      <c r="AA1537" s="2">
        <v>0.77514285714285713</v>
      </c>
      <c r="AB1537" s="2">
        <v>0.54894736842105241</v>
      </c>
      <c r="AC1537" s="2">
        <v>0.30799999999999983</v>
      </c>
      <c r="AD1537" s="2">
        <v>0.28756250000000039</v>
      </c>
      <c r="AE1537" s="2">
        <v>0.30800000000000005</v>
      </c>
      <c r="AF1537" s="2">
        <v>0.19121428571428578</v>
      </c>
      <c r="AG1537" s="2">
        <v>9.6411764705882197E-2</v>
      </c>
      <c r="AH1537" s="2">
        <v>3.2631578947368345E-2</v>
      </c>
      <c r="AI1537" s="2">
        <v>-1.9000000000000017E-2</v>
      </c>
      <c r="AJ1537" s="2">
        <v>-0.50950000000000006</v>
      </c>
      <c r="AK1537" s="5"/>
      <c r="AL1537" s="5"/>
      <c r="AM1537" s="5"/>
      <c r="AN1537" s="5"/>
      <c r="AO1537" s="5"/>
      <c r="AP1537" s="5"/>
      <c r="AQ1537" s="5"/>
      <c r="AR1537" s="5"/>
      <c r="AS1537" s="5"/>
      <c r="AT1537" s="2"/>
      <c r="AU1537" s="2"/>
    </row>
    <row r="1538" spans="1:47" hidden="1" outlineLevel="1">
      <c r="A1538" s="298"/>
      <c r="B1538" s="55" t="s">
        <v>295</v>
      </c>
      <c r="C1538" s="18" t="s">
        <v>732</v>
      </c>
      <c r="D1538" s="18"/>
      <c r="E1538" s="18"/>
      <c r="F1538" s="18"/>
      <c r="G1538" s="18"/>
      <c r="H1538" s="18"/>
      <c r="I1538" s="18"/>
      <c r="J1538" s="18"/>
      <c r="K1538" s="530">
        <v>164</v>
      </c>
      <c r="L1538" s="530">
        <v>303</v>
      </c>
      <c r="M1538" s="530">
        <v>359</v>
      </c>
      <c r="N1538" s="530">
        <v>414</v>
      </c>
      <c r="O1538" s="530">
        <v>520</v>
      </c>
      <c r="P1538" s="530">
        <v>637</v>
      </c>
      <c r="Q1538" s="530">
        <v>726</v>
      </c>
      <c r="R1538" s="530">
        <v>746</v>
      </c>
      <c r="S1538" s="530">
        <v>611</v>
      </c>
      <c r="T1538" s="530">
        <v>492</v>
      </c>
      <c r="U1538" s="530">
        <v>448</v>
      </c>
      <c r="V1538" s="530">
        <v>405</v>
      </c>
      <c r="W1538" s="19">
        <v>381.21590263691684</v>
      </c>
      <c r="X1538" s="19">
        <v>363.63532258817838</v>
      </c>
      <c r="Y1538" s="19">
        <v>353.89222514103869</v>
      </c>
      <c r="Z1538" s="19">
        <v>351.479314385924</v>
      </c>
      <c r="AA1538" s="19">
        <v>369.0115969554796</v>
      </c>
      <c r="AB1538" s="19">
        <v>363.39909201366186</v>
      </c>
      <c r="AC1538" s="19">
        <v>321.10492297258503</v>
      </c>
      <c r="AD1538" s="19">
        <v>273.40873729309874</v>
      </c>
      <c r="AE1538" s="19">
        <v>213.51686958346656</v>
      </c>
      <c r="AF1538" s="19">
        <v>164.13514856186481</v>
      </c>
      <c r="AG1538" s="19">
        <v>131.41980844762568</v>
      </c>
      <c r="AH1538" s="19">
        <v>113.99844065036605</v>
      </c>
      <c r="AI1538" s="19">
        <v>110.57848743085506</v>
      </c>
      <c r="AJ1538" s="19">
        <v>53.630566403964693</v>
      </c>
      <c r="AK1538" s="462"/>
      <c r="AL1538" s="462"/>
      <c r="AM1538" s="462"/>
      <c r="AN1538" s="462"/>
      <c r="AO1538" s="462"/>
      <c r="AP1538" s="462"/>
      <c r="AQ1538" s="462"/>
      <c r="AR1538" s="462"/>
      <c r="AS1538" s="462"/>
      <c r="AT1538" s="2"/>
      <c r="AU1538" s="2"/>
    </row>
    <row r="1539" spans="1:47" hidden="1" outlineLevel="1">
      <c r="A1539" s="298"/>
      <c r="B1539" s="431" t="s">
        <v>1099</v>
      </c>
      <c r="C1539" s="22" t="s">
        <v>733</v>
      </c>
      <c r="D1539" s="22"/>
      <c r="E1539" s="22"/>
      <c r="F1539" s="22"/>
      <c r="G1539" s="22"/>
      <c r="H1539" s="22"/>
      <c r="I1539" s="22"/>
      <c r="J1539" s="22"/>
      <c r="K1539" s="25"/>
      <c r="L1539" s="23">
        <v>0.84756097560975618</v>
      </c>
      <c r="M1539" s="23">
        <v>0.18481848184818483</v>
      </c>
      <c r="N1539" s="23">
        <v>0.15320334261838431</v>
      </c>
      <c r="O1539" s="23">
        <v>0.2560386473429952</v>
      </c>
      <c r="P1539" s="23">
        <v>0.22500000000000009</v>
      </c>
      <c r="Q1539" s="23">
        <v>0.13971742543171106</v>
      </c>
      <c r="R1539" s="23">
        <v>2.7548209366391241E-2</v>
      </c>
      <c r="S1539" s="23">
        <v>-0.18096514745308312</v>
      </c>
      <c r="T1539" s="23">
        <v>-0.19476268412438624</v>
      </c>
      <c r="U1539" s="23">
        <v>-8.9430894308943132E-2</v>
      </c>
      <c r="V1539" s="23">
        <v>-9.5982142857142905E-2</v>
      </c>
      <c r="W1539" s="23">
        <v>-5.8726166328600393E-2</v>
      </c>
      <c r="X1539" s="23">
        <v>-4.611712136647883E-2</v>
      </c>
      <c r="Y1539" s="23">
        <v>-2.6793594686547739E-2</v>
      </c>
      <c r="Z1539" s="23">
        <v>-6.8182078714870142E-3</v>
      </c>
      <c r="AA1539" s="23">
        <v>4.988140653508033E-2</v>
      </c>
      <c r="AB1539" s="23">
        <v>-1.5209562485633432E-2</v>
      </c>
      <c r="AC1539" s="23">
        <v>-0.1163849056603774</v>
      </c>
      <c r="AD1539" s="23">
        <v>-0.14853769676884854</v>
      </c>
      <c r="AE1539" s="23">
        <v>-0.21905615856536109</v>
      </c>
      <c r="AF1539" s="23">
        <v>-0.23127784290738573</v>
      </c>
      <c r="AG1539" s="23">
        <v>-0.19931952662721875</v>
      </c>
      <c r="AH1539" s="23">
        <v>-0.132562724014337</v>
      </c>
      <c r="AI1539" s="23">
        <v>-3.0000000000000027E-2</v>
      </c>
      <c r="AJ1539" s="23">
        <v>-0.51500000000000012</v>
      </c>
      <c r="AK1539" s="5"/>
      <c r="AL1539" s="5"/>
      <c r="AM1539" s="5"/>
      <c r="AN1539" s="5"/>
      <c r="AO1539" s="5"/>
      <c r="AP1539" s="5"/>
      <c r="AQ1539" s="5"/>
      <c r="AR1539" s="5"/>
      <c r="AS1539" s="5"/>
      <c r="AT1539" s="6"/>
      <c r="AU1539" s="6"/>
    </row>
    <row r="1540" spans="1:47" hidden="1" outlineLevel="1">
      <c r="A1540" s="298"/>
      <c r="B1540" s="217" t="s">
        <v>308</v>
      </c>
      <c r="C1540" s="169" t="s">
        <v>732</v>
      </c>
      <c r="D1540" s="169"/>
      <c r="E1540" s="169"/>
      <c r="F1540" s="169"/>
      <c r="G1540" s="169"/>
      <c r="H1540" s="169"/>
      <c r="I1540" s="169"/>
      <c r="J1540" s="169"/>
      <c r="K1540" s="173">
        <v>2005</v>
      </c>
      <c r="L1540" s="173">
        <v>2360</v>
      </c>
      <c r="M1540" s="173">
        <v>2880</v>
      </c>
      <c r="N1540" s="173">
        <v>3083</v>
      </c>
      <c r="O1540" s="173">
        <v>3237</v>
      </c>
      <c r="P1540" s="173">
        <v>3362</v>
      </c>
      <c r="Q1540" s="173">
        <v>3317</v>
      </c>
      <c r="R1540" s="173">
        <v>3333</v>
      </c>
      <c r="S1540" s="173">
        <v>3278</v>
      </c>
      <c r="T1540" s="173">
        <v>3157</v>
      </c>
      <c r="U1540" s="173">
        <v>2978</v>
      </c>
      <c r="V1540" s="173">
        <v>2843</v>
      </c>
      <c r="W1540" s="215">
        <v>2686.1513324072362</v>
      </c>
      <c r="X1540" s="215">
        <v>1477.3028807551359</v>
      </c>
      <c r="Y1540" s="215">
        <v>413.299141200159</v>
      </c>
      <c r="Z1540" s="215">
        <v>489.61600823497361</v>
      </c>
      <c r="AA1540" s="215">
        <v>614.09550258482091</v>
      </c>
      <c r="AB1540" s="215">
        <v>742.82238809510011</v>
      </c>
      <c r="AC1540" s="215">
        <v>817.13086212207463</v>
      </c>
      <c r="AD1540" s="215">
        <v>911.7390551234414</v>
      </c>
      <c r="AE1540" s="215">
        <v>1048.0163935230139</v>
      </c>
      <c r="AF1540" s="215">
        <v>1157.6834300792007</v>
      </c>
      <c r="AG1540" s="215">
        <v>1220.1888575811809</v>
      </c>
      <c r="AH1540" s="215">
        <v>1237.7087997926412</v>
      </c>
      <c r="AI1540" s="215">
        <v>1212.3631454393644</v>
      </c>
      <c r="AJ1540" s="215">
        <v>593.77409104520802</v>
      </c>
      <c r="AK1540" s="462"/>
      <c r="AL1540" s="462"/>
      <c r="AM1540" s="462"/>
      <c r="AN1540" s="462"/>
      <c r="AO1540" s="462"/>
      <c r="AP1540" s="462"/>
      <c r="AQ1540" s="462"/>
      <c r="AR1540" s="462"/>
      <c r="AS1540" s="462"/>
      <c r="AT1540" s="6"/>
      <c r="AU1540" s="6"/>
    </row>
    <row r="1541" spans="1:47" hidden="1" outlineLevel="1">
      <c r="A1541" s="298"/>
      <c r="B1541" s="241" t="s">
        <v>1099</v>
      </c>
      <c r="C1541" s="18" t="s">
        <v>733</v>
      </c>
      <c r="D1541" s="18"/>
      <c r="E1541" s="18"/>
      <c r="F1541" s="18"/>
      <c r="G1541" s="18"/>
      <c r="H1541" s="18"/>
      <c r="I1541" s="18"/>
      <c r="J1541" s="18"/>
      <c r="K1541" s="6"/>
      <c r="L1541" s="2">
        <v>0.17705735660847877</v>
      </c>
      <c r="M1541" s="2">
        <v>0.22033898305084754</v>
      </c>
      <c r="N1541" s="2">
        <v>7.0486111111111027E-2</v>
      </c>
      <c r="O1541" s="2">
        <v>4.995134609146934E-2</v>
      </c>
      <c r="P1541" s="2">
        <v>3.861600247142416E-2</v>
      </c>
      <c r="Q1541" s="2">
        <v>-1.3384889946460476E-2</v>
      </c>
      <c r="R1541" s="2">
        <v>4.8236358154958303E-3</v>
      </c>
      <c r="S1541" s="2">
        <v>-1.6501650165016479E-2</v>
      </c>
      <c r="T1541" s="2">
        <v>-3.6912751677852351E-2</v>
      </c>
      <c r="U1541" s="2">
        <v>-5.6699398162812775E-2</v>
      </c>
      <c r="V1541" s="2">
        <v>-4.5332437877770304E-2</v>
      </c>
      <c r="W1541" s="2">
        <v>-5.5170125780078738E-2</v>
      </c>
      <c r="X1541" s="2">
        <v>-0.45002991345568455</v>
      </c>
      <c r="Y1541" s="2">
        <v>-0.72023398411780148</v>
      </c>
      <c r="Z1541" s="2">
        <v>0.18465285655615404</v>
      </c>
      <c r="AA1541" s="2">
        <v>0.25423902048992608</v>
      </c>
      <c r="AB1541" s="2">
        <v>0.20962030330534631</v>
      </c>
      <c r="AC1541" s="2">
        <v>0.10003531829126988</v>
      </c>
      <c r="AD1541" s="2">
        <v>0.11578095674378397</v>
      </c>
      <c r="AE1541" s="2">
        <v>0.14946967296593616</v>
      </c>
      <c r="AF1541" s="2">
        <v>0.10464248196302517</v>
      </c>
      <c r="AG1541" s="2">
        <v>5.3991813200352956E-2</v>
      </c>
      <c r="AH1541" s="2">
        <v>1.4358385673338026E-2</v>
      </c>
      <c r="AI1541" s="2">
        <v>-2.0477881677437471E-2</v>
      </c>
      <c r="AJ1541" s="2">
        <v>-0.51023412970045179</v>
      </c>
      <c r="AK1541" s="5"/>
      <c r="AL1541" s="5"/>
      <c r="AM1541" s="5"/>
      <c r="AN1541" s="5"/>
      <c r="AO1541" s="5"/>
      <c r="AP1541" s="5"/>
      <c r="AQ1541" s="5"/>
      <c r="AR1541" s="5"/>
      <c r="AS1541" s="5"/>
      <c r="AT1541" s="6"/>
      <c r="AU1541" s="6"/>
    </row>
    <row r="1542" spans="1:47" hidden="1" outlineLevel="1">
      <c r="A1542" s="298"/>
      <c r="B1542" s="55"/>
      <c r="C1542" s="18"/>
      <c r="D1542" s="18"/>
      <c r="E1542" s="18"/>
      <c r="F1542" s="18"/>
      <c r="G1542" s="18"/>
      <c r="H1542" s="18"/>
      <c r="I1542" s="18"/>
      <c r="J1542" s="18"/>
      <c r="K1542" s="6"/>
      <c r="L1542" s="2"/>
      <c r="M1542" s="2"/>
      <c r="N1542" s="2"/>
      <c r="O1542" s="2"/>
      <c r="P1542" s="2"/>
      <c r="Q1542" s="2"/>
      <c r="R1542" s="2"/>
      <c r="S1542" s="2"/>
      <c r="T1542" s="2"/>
      <c r="U1542" s="2"/>
      <c r="V1542" s="2"/>
      <c r="W1542" s="2"/>
      <c r="X1542" s="2"/>
      <c r="Y1542" s="2"/>
      <c r="Z1542" s="2"/>
      <c r="AA1542" s="2"/>
      <c r="AB1542" s="2"/>
      <c r="AC1542" s="2"/>
      <c r="AD1542" s="2"/>
      <c r="AE1542" s="2"/>
      <c r="AF1542" s="2"/>
      <c r="AG1542" s="2"/>
      <c r="AH1542" s="2"/>
      <c r="AI1542" s="2"/>
      <c r="AJ1542" s="2"/>
      <c r="AK1542" s="462"/>
      <c r="AL1542" s="462"/>
      <c r="AM1542" s="462"/>
      <c r="AN1542" s="462"/>
      <c r="AO1542" s="462"/>
      <c r="AP1542" s="462"/>
      <c r="AQ1542" s="462"/>
      <c r="AR1542" s="462"/>
      <c r="AS1542" s="462"/>
      <c r="AT1542" s="6"/>
      <c r="AU1542" s="6"/>
    </row>
    <row r="1543" spans="1:47" hidden="1" outlineLevel="1">
      <c r="A1543" s="298"/>
      <c r="B1543" s="2" t="s">
        <v>525</v>
      </c>
      <c r="C1543" s="18" t="s">
        <v>180</v>
      </c>
      <c r="D1543" s="18"/>
      <c r="E1543" s="18"/>
      <c r="F1543" s="18"/>
      <c r="G1543" s="18"/>
      <c r="H1543" s="18"/>
      <c r="I1543" s="18"/>
      <c r="J1543" s="18"/>
      <c r="K1543" s="2"/>
      <c r="L1543" s="2"/>
      <c r="M1543" s="530">
        <v>10269</v>
      </c>
      <c r="N1543" s="530">
        <v>9794</v>
      </c>
      <c r="O1543" s="530">
        <v>9397</v>
      </c>
      <c r="P1543" s="530">
        <v>8469</v>
      </c>
      <c r="Q1543" s="530">
        <v>7432</v>
      </c>
      <c r="R1543" s="530">
        <v>6528</v>
      </c>
      <c r="S1543" s="530">
        <v>5680</v>
      </c>
      <c r="T1543" s="530">
        <v>4844</v>
      </c>
      <c r="U1543" s="530">
        <v>4134</v>
      </c>
      <c r="V1543" s="530">
        <v>3570</v>
      </c>
      <c r="W1543" s="2"/>
      <c r="X1543" s="2"/>
      <c r="Y1543" s="2"/>
      <c r="Z1543" s="2"/>
      <c r="AA1543" s="2"/>
      <c r="AB1543" s="2"/>
      <c r="AC1543" s="2"/>
      <c r="AD1543" s="2"/>
      <c r="AE1543" s="2"/>
      <c r="AF1543" s="2"/>
      <c r="AG1543" s="2"/>
      <c r="AH1543" s="2"/>
      <c r="AI1543" s="2"/>
      <c r="AJ1543" s="2"/>
      <c r="AK1543" s="2"/>
      <c r="AL1543" s="2"/>
      <c r="AM1543" s="2"/>
      <c r="AN1543" s="2"/>
      <c r="AO1543" s="2"/>
      <c r="AP1543" s="2"/>
      <c r="AQ1543" s="2"/>
      <c r="AR1543" s="2"/>
      <c r="AS1543" s="2"/>
      <c r="AT1543" s="6"/>
      <c r="AU1543" s="6"/>
    </row>
    <row r="1544" spans="1:47" hidden="1" outlineLevel="1">
      <c r="A1544" s="298"/>
      <c r="B1544" s="241" t="s">
        <v>1099</v>
      </c>
      <c r="C1544" s="18" t="s">
        <v>733</v>
      </c>
      <c r="D1544" s="18"/>
      <c r="E1544" s="18"/>
      <c r="F1544" s="18"/>
      <c r="G1544" s="18"/>
      <c r="H1544" s="18"/>
      <c r="I1544" s="18"/>
      <c r="J1544" s="18"/>
      <c r="K1544" s="2"/>
      <c r="L1544" s="2"/>
      <c r="M1544" s="2"/>
      <c r="N1544" s="2">
        <v>-4.6255721102346881E-2</v>
      </c>
      <c r="O1544" s="2">
        <v>-4.053502144169896E-2</v>
      </c>
      <c r="P1544" s="2">
        <v>-9.8754921783547944E-2</v>
      </c>
      <c r="Q1544" s="2">
        <v>-0.12244656984295665</v>
      </c>
      <c r="R1544" s="2">
        <v>-0.12163616792249732</v>
      </c>
      <c r="S1544" s="2">
        <v>-0.12990196078431371</v>
      </c>
      <c r="T1544" s="2">
        <v>-0.14718309859154932</v>
      </c>
      <c r="U1544" s="2">
        <v>-0.14657308009909165</v>
      </c>
      <c r="V1544" s="2">
        <v>-0.13642960812772131</v>
      </c>
      <c r="W1544" s="2"/>
      <c r="X1544" s="2"/>
      <c r="Y1544" s="2"/>
      <c r="Z1544" s="2"/>
      <c r="AA1544" s="2"/>
      <c r="AB1544" s="2"/>
      <c r="AC1544" s="2"/>
      <c r="AD1544" s="2"/>
      <c r="AE1544" s="2"/>
      <c r="AF1544" s="2"/>
      <c r="AG1544" s="2"/>
      <c r="AH1544" s="2"/>
      <c r="AI1544" s="2"/>
      <c r="AJ1544" s="2"/>
      <c r="AK1544" s="2"/>
      <c r="AL1544" s="2"/>
      <c r="AM1544" s="2"/>
      <c r="AN1544" s="2"/>
      <c r="AO1544" s="2"/>
      <c r="AP1544" s="2"/>
      <c r="AQ1544" s="2"/>
      <c r="AR1544" s="2"/>
      <c r="AS1544" s="2"/>
      <c r="AT1544" s="6"/>
      <c r="AU1544" s="6"/>
    </row>
    <row r="1545" spans="1:47" hidden="1" outlineLevel="1">
      <c r="A1545" s="298"/>
      <c r="B1545" s="2" t="s">
        <v>526</v>
      </c>
      <c r="C1545" s="18" t="s">
        <v>180</v>
      </c>
      <c r="D1545" s="18"/>
      <c r="E1545" s="18"/>
      <c r="F1545" s="18"/>
      <c r="G1545" s="18"/>
      <c r="H1545" s="18"/>
      <c r="I1545" s="18"/>
      <c r="J1545" s="18"/>
      <c r="K1545" s="2"/>
      <c r="L1545" s="2"/>
      <c r="M1545" s="530">
        <v>9170</v>
      </c>
      <c r="N1545" s="530">
        <v>9161</v>
      </c>
      <c r="O1545" s="530">
        <v>8520</v>
      </c>
      <c r="P1545" s="530">
        <v>7743</v>
      </c>
      <c r="Q1545" s="530">
        <v>7215</v>
      </c>
      <c r="R1545" s="530">
        <v>7130</v>
      </c>
      <c r="S1545" s="530">
        <v>6947</v>
      </c>
      <c r="T1545" s="530">
        <v>6555</v>
      </c>
      <c r="U1545" s="530">
        <v>5915</v>
      </c>
      <c r="V1545" s="530">
        <v>5408</v>
      </c>
      <c r="W1545" s="2"/>
      <c r="X1545" s="2"/>
      <c r="Y1545" s="2"/>
      <c r="Z1545" s="2"/>
      <c r="AA1545" s="2"/>
      <c r="AB1545" s="2"/>
      <c r="AC1545" s="2"/>
      <c r="AD1545" s="2"/>
      <c r="AE1545" s="2"/>
      <c r="AF1545" s="2"/>
      <c r="AG1545" s="2"/>
      <c r="AH1545" s="2"/>
      <c r="AI1545" s="2"/>
      <c r="AJ1545" s="2"/>
      <c r="AK1545" s="2"/>
      <c r="AL1545" s="2"/>
      <c r="AM1545" s="2"/>
      <c r="AN1545" s="2"/>
      <c r="AO1545" s="2"/>
      <c r="AP1545" s="2"/>
      <c r="AQ1545" s="2"/>
      <c r="AR1545" s="2"/>
      <c r="AS1545" s="2"/>
      <c r="AT1545" s="6"/>
      <c r="AU1545" s="6"/>
    </row>
    <row r="1546" spans="1:47" hidden="1" outlineLevel="1">
      <c r="A1546" s="298"/>
      <c r="B1546" s="241" t="s">
        <v>1099</v>
      </c>
      <c r="C1546" s="18" t="s">
        <v>733</v>
      </c>
      <c r="D1546" s="18"/>
      <c r="E1546" s="18"/>
      <c r="F1546" s="18"/>
      <c r="G1546" s="18"/>
      <c r="H1546" s="18"/>
      <c r="I1546" s="18"/>
      <c r="J1546" s="18"/>
      <c r="K1546" s="2"/>
      <c r="L1546" s="2"/>
      <c r="M1546" s="2"/>
      <c r="N1546" s="2">
        <v>-9.8146128680476341E-4</v>
      </c>
      <c r="O1546" s="2">
        <v>-6.9970527235018065E-2</v>
      </c>
      <c r="P1546" s="2">
        <v>-9.1197183098591594E-2</v>
      </c>
      <c r="Q1546" s="2">
        <v>-6.8190623789229021E-2</v>
      </c>
      <c r="R1546" s="2">
        <v>-1.1781011781011763E-2</v>
      </c>
      <c r="S1546" s="2">
        <v>-2.5666199158485226E-2</v>
      </c>
      <c r="T1546" s="2">
        <v>-5.6427234777601809E-2</v>
      </c>
      <c r="U1546" s="2">
        <v>-9.7635392829900858E-2</v>
      </c>
      <c r="V1546" s="2">
        <v>-8.5714285714285743E-2</v>
      </c>
      <c r="W1546" s="2"/>
      <c r="X1546" s="2"/>
      <c r="Y1546" s="2"/>
      <c r="Z1546" s="2"/>
      <c r="AA1546" s="2"/>
      <c r="AB1546" s="2"/>
      <c r="AC1546" s="2"/>
      <c r="AD1546" s="2"/>
      <c r="AE1546" s="2"/>
      <c r="AF1546" s="2"/>
      <c r="AG1546" s="2"/>
      <c r="AH1546" s="2"/>
      <c r="AI1546" s="2"/>
      <c r="AJ1546" s="2"/>
      <c r="AK1546" s="2"/>
      <c r="AL1546" s="2"/>
      <c r="AM1546" s="2"/>
      <c r="AN1546" s="2"/>
      <c r="AO1546" s="2"/>
      <c r="AP1546" s="2"/>
      <c r="AQ1546" s="2"/>
      <c r="AR1546" s="2"/>
      <c r="AS1546" s="2"/>
      <c r="AT1546" s="6"/>
      <c r="AU1546" s="6"/>
    </row>
    <row r="1547" spans="1:47" hidden="1" outlineLevel="1">
      <c r="A1547" s="298"/>
      <c r="B1547" s="2" t="s">
        <v>527</v>
      </c>
      <c r="C1547" s="18" t="s">
        <v>180</v>
      </c>
      <c r="D1547" s="18"/>
      <c r="E1547" s="18"/>
      <c r="F1547" s="18"/>
      <c r="G1547" s="18"/>
      <c r="H1547" s="18"/>
      <c r="I1547" s="18"/>
      <c r="J1547" s="18"/>
      <c r="K1547" s="2"/>
      <c r="L1547" s="2"/>
      <c r="M1547" s="530">
        <v>3691</v>
      </c>
      <c r="N1547" s="530">
        <v>3944</v>
      </c>
      <c r="O1547" s="530">
        <v>4226</v>
      </c>
      <c r="P1547" s="530">
        <v>4375</v>
      </c>
      <c r="Q1547" s="530">
        <v>4491</v>
      </c>
      <c r="R1547" s="530">
        <v>3389</v>
      </c>
      <c r="S1547" s="530">
        <v>3410</v>
      </c>
      <c r="T1547" s="530">
        <v>3332</v>
      </c>
      <c r="U1547" s="530">
        <v>3133</v>
      </c>
      <c r="V1547" s="530">
        <v>3122</v>
      </c>
      <c r="W1547" s="2"/>
      <c r="X1547" s="2"/>
      <c r="Y1547" s="2"/>
      <c r="Z1547" s="2"/>
      <c r="AA1547" s="2"/>
      <c r="AB1547" s="2"/>
      <c r="AC1547" s="2"/>
      <c r="AD1547" s="2"/>
      <c r="AE1547" s="2"/>
      <c r="AF1547" s="2"/>
      <c r="AG1547" s="2"/>
      <c r="AH1547" s="2"/>
      <c r="AI1547" s="2"/>
      <c r="AJ1547" s="2"/>
      <c r="AK1547" s="2"/>
      <c r="AL1547" s="2"/>
      <c r="AM1547" s="2"/>
      <c r="AN1547" s="2"/>
      <c r="AO1547" s="2"/>
      <c r="AP1547" s="2"/>
      <c r="AQ1547" s="2"/>
      <c r="AR1547" s="2"/>
      <c r="AS1547" s="2"/>
      <c r="AT1547" s="6"/>
      <c r="AU1547" s="6"/>
    </row>
    <row r="1548" spans="1:47" hidden="1" outlineLevel="1">
      <c r="A1548" s="298"/>
      <c r="B1548" s="241" t="s">
        <v>1099</v>
      </c>
      <c r="C1548" s="18" t="s">
        <v>733</v>
      </c>
      <c r="D1548" s="18"/>
      <c r="E1548" s="18"/>
      <c r="F1548" s="18"/>
      <c r="G1548" s="18"/>
      <c r="H1548" s="18"/>
      <c r="I1548" s="18"/>
      <c r="J1548" s="18"/>
      <c r="K1548" s="2"/>
      <c r="L1548" s="2"/>
      <c r="M1548" s="2"/>
      <c r="N1548" s="2">
        <v>6.8545109726361408E-2</v>
      </c>
      <c r="O1548" s="2">
        <v>7.1501014198782853E-2</v>
      </c>
      <c r="P1548" s="2">
        <v>3.5257927117841925E-2</v>
      </c>
      <c r="Q1548" s="2">
        <v>2.6514285714285712E-2</v>
      </c>
      <c r="R1548" s="2">
        <v>-0.24537964818525937</v>
      </c>
      <c r="S1548" s="2">
        <v>6.1965181469461061E-3</v>
      </c>
      <c r="T1548" s="2">
        <v>-2.2873900293255089E-2</v>
      </c>
      <c r="U1548" s="2">
        <v>-5.9723889555822307E-2</v>
      </c>
      <c r="V1548" s="2">
        <v>-3.511011809766984E-3</v>
      </c>
      <c r="W1548" s="2"/>
      <c r="X1548" s="2"/>
      <c r="Y1548" s="2"/>
      <c r="Z1548" s="2"/>
      <c r="AA1548" s="2"/>
      <c r="AB1548" s="2"/>
      <c r="AC1548" s="2"/>
      <c r="AD1548" s="2"/>
      <c r="AE1548" s="2"/>
      <c r="AF1548" s="2"/>
      <c r="AG1548" s="2"/>
      <c r="AH1548" s="2"/>
      <c r="AI1548" s="2"/>
      <c r="AJ1548" s="2"/>
      <c r="AK1548" s="2"/>
      <c r="AL1548" s="2"/>
      <c r="AM1548" s="2"/>
      <c r="AN1548" s="2"/>
      <c r="AO1548" s="2"/>
      <c r="AP1548" s="2"/>
      <c r="AQ1548" s="2"/>
      <c r="AR1548" s="2"/>
      <c r="AS1548" s="2"/>
      <c r="AT1548" s="6"/>
      <c r="AU1548" s="6"/>
    </row>
    <row r="1549" spans="1:47" hidden="1" outlineLevel="1">
      <c r="A1549" s="298"/>
      <c r="B1549" s="2" t="s">
        <v>528</v>
      </c>
      <c r="C1549" s="18" t="s">
        <v>180</v>
      </c>
      <c r="D1549" s="18"/>
      <c r="E1549" s="18"/>
      <c r="F1549" s="18"/>
      <c r="G1549" s="18"/>
      <c r="H1549" s="18"/>
      <c r="I1549" s="18"/>
      <c r="J1549" s="18"/>
      <c r="K1549" s="2"/>
      <c r="L1549" s="2"/>
      <c r="M1549" s="530">
        <v>781</v>
      </c>
      <c r="N1549" s="530">
        <v>740</v>
      </c>
      <c r="O1549" s="530">
        <v>651</v>
      </c>
      <c r="P1549" s="530">
        <v>580</v>
      </c>
      <c r="Q1549" s="530">
        <v>534</v>
      </c>
      <c r="R1549" s="530">
        <v>528</v>
      </c>
      <c r="S1549" s="530">
        <v>548</v>
      </c>
      <c r="T1549" s="530">
        <v>560</v>
      </c>
      <c r="U1549" s="530">
        <v>541</v>
      </c>
      <c r="V1549" s="530">
        <v>510</v>
      </c>
      <c r="W1549" s="2"/>
      <c r="X1549" s="2"/>
      <c r="Y1549" s="2"/>
      <c r="Z1549" s="2"/>
      <c r="AA1549" s="2"/>
      <c r="AB1549" s="2"/>
      <c r="AC1549" s="2"/>
      <c r="AD1549" s="2"/>
      <c r="AE1549" s="2"/>
      <c r="AF1549" s="2"/>
      <c r="AG1549" s="2"/>
      <c r="AH1549" s="2"/>
      <c r="AI1549" s="2"/>
      <c r="AJ1549" s="2"/>
      <c r="AK1549" s="2"/>
      <c r="AL1549" s="2"/>
      <c r="AM1549" s="2"/>
      <c r="AN1549" s="2"/>
      <c r="AO1549" s="2"/>
      <c r="AP1549" s="2"/>
      <c r="AQ1549" s="2"/>
      <c r="AR1549" s="2"/>
      <c r="AS1549" s="2"/>
      <c r="AT1549" s="6"/>
      <c r="AU1549" s="6"/>
    </row>
    <row r="1550" spans="1:47" hidden="1" outlineLevel="1">
      <c r="A1550" s="298"/>
      <c r="B1550" s="241" t="s">
        <v>1099</v>
      </c>
      <c r="C1550" s="18" t="s">
        <v>733</v>
      </c>
      <c r="D1550" s="18"/>
      <c r="E1550" s="18"/>
      <c r="F1550" s="18"/>
      <c r="G1550" s="18"/>
      <c r="H1550" s="18"/>
      <c r="I1550" s="18"/>
      <c r="J1550" s="18"/>
      <c r="K1550" s="6"/>
      <c r="L1550" s="2"/>
      <c r="M1550" s="2"/>
      <c r="N1550" s="2">
        <v>-5.2496798975672165E-2</v>
      </c>
      <c r="O1550" s="2">
        <v>-0.12027027027027026</v>
      </c>
      <c r="P1550" s="2">
        <v>-0.10906298003072201</v>
      </c>
      <c r="Q1550" s="2">
        <v>-7.9310344827586254E-2</v>
      </c>
      <c r="R1550" s="2">
        <v>-1.1235955056179803E-2</v>
      </c>
      <c r="S1550" s="2">
        <v>3.7878787878787845E-2</v>
      </c>
      <c r="T1550" s="2">
        <v>2.1897810218978186E-2</v>
      </c>
      <c r="U1550" s="2">
        <v>-3.3928571428571419E-2</v>
      </c>
      <c r="V1550" s="2">
        <v>-5.7301293900184791E-2</v>
      </c>
      <c r="W1550" s="2"/>
      <c r="X1550" s="2"/>
      <c r="Y1550" s="2"/>
      <c r="Z1550" s="2"/>
      <c r="AA1550" s="2"/>
      <c r="AB1550" s="2"/>
      <c r="AC1550" s="2"/>
      <c r="AD1550" s="2"/>
      <c r="AE1550" s="2"/>
      <c r="AF1550" s="2"/>
      <c r="AG1550" s="2"/>
      <c r="AH1550" s="2"/>
      <c r="AI1550" s="2"/>
      <c r="AJ1550" s="2"/>
      <c r="AK1550" s="2"/>
      <c r="AL1550" s="2"/>
      <c r="AM1550" s="2"/>
      <c r="AN1550" s="2"/>
      <c r="AO1550" s="2"/>
      <c r="AP1550" s="2"/>
      <c r="AQ1550" s="2"/>
      <c r="AR1550" s="2"/>
      <c r="AS1550" s="2"/>
      <c r="AT1550" s="6"/>
      <c r="AU1550" s="6"/>
    </row>
    <row r="1551" spans="1:47" hidden="1" outlineLevel="1">
      <c r="A1551" s="298"/>
      <c r="B1551" s="55"/>
      <c r="C1551" s="18"/>
      <c r="D1551" s="18"/>
      <c r="E1551" s="18"/>
      <c r="F1551" s="18"/>
      <c r="G1551" s="18"/>
      <c r="H1551" s="18"/>
      <c r="I1551" s="18"/>
      <c r="J1551" s="18"/>
      <c r="K1551" s="6"/>
      <c r="L1551" s="2"/>
      <c r="M1551" s="2"/>
      <c r="N1551" s="2"/>
      <c r="O1551" s="2"/>
      <c r="P1551" s="2"/>
      <c r="Q1551" s="2"/>
      <c r="R1551" s="2"/>
      <c r="S1551" s="2"/>
      <c r="T1551" s="2"/>
      <c r="U1551" s="2"/>
      <c r="V1551" s="2"/>
      <c r="W1551" s="2"/>
      <c r="X1551" s="2"/>
      <c r="Y1551" s="2"/>
      <c r="Z1551" s="2"/>
      <c r="AA1551" s="2"/>
      <c r="AB1551" s="2"/>
      <c r="AC1551" s="2"/>
      <c r="AD1551" s="2"/>
      <c r="AE1551" s="2"/>
      <c r="AF1551" s="2"/>
      <c r="AG1551" s="2"/>
      <c r="AH1551" s="2"/>
      <c r="AI1551" s="2"/>
      <c r="AJ1551" s="2"/>
      <c r="AK1551" s="2"/>
      <c r="AL1551" s="2"/>
      <c r="AM1551" s="2"/>
      <c r="AN1551" s="2"/>
      <c r="AO1551" s="2"/>
      <c r="AP1551" s="2"/>
      <c r="AQ1551" s="2"/>
      <c r="AR1551" s="2"/>
      <c r="AS1551" s="2"/>
      <c r="AT1551" s="6"/>
      <c r="AU1551" s="6"/>
    </row>
    <row r="1552" spans="1:47" hidden="1" outlineLevel="1">
      <c r="A1552" s="298"/>
      <c r="B1552" s="55"/>
      <c r="C1552" s="18"/>
      <c r="D1552" s="18"/>
      <c r="E1552" s="18"/>
      <c r="F1552" s="18"/>
      <c r="G1552" s="18"/>
      <c r="H1552" s="18"/>
      <c r="I1552" s="18"/>
      <c r="J1552" s="18"/>
      <c r="K1552" s="6"/>
      <c r="L1552" s="2"/>
      <c r="M1552" s="2"/>
      <c r="N1552" s="2"/>
      <c r="O1552" s="2"/>
      <c r="P1552" s="2"/>
      <c r="Q1552" s="2"/>
      <c r="R1552" s="2"/>
      <c r="S1552" s="2"/>
      <c r="T1552" s="2"/>
      <c r="U1552" s="2"/>
      <c r="V1552" s="2"/>
      <c r="W1552" s="2"/>
      <c r="X1552" s="2"/>
      <c r="Y1552" s="2"/>
      <c r="Z1552" s="2"/>
      <c r="AA1552" s="2"/>
      <c r="AB1552" s="2"/>
      <c r="AC1552" s="2"/>
      <c r="AD1552" s="2"/>
      <c r="AE1552" s="2"/>
      <c r="AF1552" s="2"/>
      <c r="AG1552" s="2"/>
      <c r="AH1552" s="2"/>
      <c r="AI1552" s="2"/>
      <c r="AJ1552" s="2"/>
      <c r="AK1552" s="2"/>
      <c r="AL1552" s="2"/>
      <c r="AM1552" s="2"/>
      <c r="AN1552" s="2"/>
      <c r="AO1552" s="2"/>
      <c r="AP1552" s="2"/>
      <c r="AQ1552" s="2"/>
      <c r="AR1552" s="2"/>
      <c r="AS1552" s="2"/>
      <c r="AT1552" s="6"/>
      <c r="AU1552" s="6"/>
    </row>
    <row r="1553" spans="1:47" hidden="1" outlineLevel="1">
      <c r="A1553" s="298"/>
      <c r="B1553" s="2" t="s">
        <v>828</v>
      </c>
      <c r="C1553" s="18"/>
      <c r="D1553" s="18"/>
      <c r="E1553" s="18"/>
      <c r="F1553" s="18"/>
      <c r="G1553" s="18"/>
      <c r="H1553" s="18"/>
      <c r="I1553" s="18"/>
      <c r="J1553" s="18"/>
      <c r="K1553" s="6"/>
      <c r="L1553" s="2"/>
      <c r="M1553" s="3">
        <v>3.5656249999999998</v>
      </c>
      <c r="N1553" s="3">
        <v>3.1767758676613687</v>
      </c>
      <c r="O1553" s="3">
        <v>2.9029966017917825</v>
      </c>
      <c r="P1553" s="3">
        <v>2.5190362879238548</v>
      </c>
      <c r="Q1553" s="3">
        <v>2.2405788362978596</v>
      </c>
      <c r="R1553" s="3">
        <v>1.9585958595859585</v>
      </c>
      <c r="S1553" s="3">
        <v>1.732763880414887</v>
      </c>
      <c r="T1553" s="3">
        <v>1.5343680709534369</v>
      </c>
      <c r="U1553" s="3">
        <v>1.3881799865681665</v>
      </c>
      <c r="V1553" s="3">
        <v>1.2557157931762224</v>
      </c>
      <c r="W1553" s="2"/>
      <c r="X1553" s="2"/>
      <c r="Y1553" s="2"/>
      <c r="Z1553" s="2"/>
      <c r="AA1553" s="2"/>
      <c r="AB1553" s="2"/>
      <c r="AC1553" s="2"/>
      <c r="AD1553" s="2"/>
      <c r="AE1553" s="2"/>
      <c r="AF1553" s="2"/>
      <c r="AG1553" s="2"/>
      <c r="AH1553" s="2"/>
      <c r="AI1553" s="2"/>
      <c r="AJ1553" s="2"/>
      <c r="AK1553" s="2"/>
      <c r="AL1553" s="2"/>
      <c r="AM1553" s="2"/>
      <c r="AN1553" s="2"/>
      <c r="AO1553" s="2"/>
      <c r="AP1553" s="2"/>
      <c r="AQ1553" s="2"/>
      <c r="AR1553" s="2"/>
      <c r="AS1553" s="2"/>
      <c r="AT1553" s="6"/>
      <c r="AU1553" s="6"/>
    </row>
    <row r="1554" spans="1:47" hidden="1" outlineLevel="1">
      <c r="A1554" s="298"/>
      <c r="B1554" s="241" t="s">
        <v>1099</v>
      </c>
      <c r="C1554" s="18"/>
      <c r="D1554" s="18"/>
      <c r="E1554" s="18"/>
      <c r="F1554" s="18"/>
      <c r="G1554" s="18"/>
      <c r="H1554" s="18"/>
      <c r="I1554" s="18"/>
      <c r="J1554" s="18"/>
      <c r="K1554" s="6"/>
      <c r="L1554" s="2"/>
      <c r="M1554" s="3"/>
      <c r="N1554" s="2">
        <v>-0.10905497138331466</v>
      </c>
      <c r="O1554" s="2">
        <v>-8.6181486285065723E-2</v>
      </c>
      <c r="P1554" s="2">
        <v>-0.13226343896887116</v>
      </c>
      <c r="Q1554" s="2">
        <v>-0.11054126253000307</v>
      </c>
      <c r="R1554" s="2">
        <v>-0.12585273597327451</v>
      </c>
      <c r="S1554" s="2">
        <v>-0.1153030003947888</v>
      </c>
      <c r="T1554" s="2">
        <v>-0.11449673651666092</v>
      </c>
      <c r="U1554" s="2">
        <v>-9.5275760199070691E-2</v>
      </c>
      <c r="V1554" s="2">
        <v>-9.5422924025449829E-2</v>
      </c>
      <c r="W1554" s="2"/>
      <c r="X1554" s="2"/>
      <c r="Y1554" s="2"/>
      <c r="Z1554" s="2"/>
      <c r="AA1554" s="2"/>
      <c r="AB1554" s="2"/>
      <c r="AC1554" s="2"/>
      <c r="AD1554" s="2"/>
      <c r="AE1554" s="2"/>
      <c r="AF1554" s="2"/>
      <c r="AG1554" s="2"/>
      <c r="AH1554" s="2"/>
      <c r="AI1554" s="2"/>
      <c r="AJ1554" s="2"/>
      <c r="AK1554" s="2"/>
      <c r="AL1554" s="2"/>
      <c r="AM1554" s="2"/>
      <c r="AN1554" s="2"/>
      <c r="AO1554" s="2"/>
      <c r="AP1554" s="2"/>
      <c r="AQ1554" s="2"/>
      <c r="AR1554" s="2"/>
      <c r="AS1554" s="2"/>
      <c r="AT1554" s="6"/>
      <c r="AU1554" s="6"/>
    </row>
    <row r="1555" spans="1:47" hidden="1" outlineLevel="1">
      <c r="A1555" s="298"/>
      <c r="B1555" s="2" t="s">
        <v>829</v>
      </c>
      <c r="C1555" s="18"/>
      <c r="D1555" s="18"/>
      <c r="E1555" s="18"/>
      <c r="F1555" s="18"/>
      <c r="G1555" s="18"/>
      <c r="H1555" s="18"/>
      <c r="I1555" s="18"/>
      <c r="J1555" s="18"/>
      <c r="K1555" s="6"/>
      <c r="L1555" s="2"/>
      <c r="M1555" s="3">
        <v>3.1840277777777777</v>
      </c>
      <c r="N1555" s="3">
        <v>2.9714563736620176</v>
      </c>
      <c r="O1555" s="3">
        <v>2.6320667284522705</v>
      </c>
      <c r="P1555" s="3">
        <v>2.3030933967876264</v>
      </c>
      <c r="Q1555" s="3">
        <v>2.1751582755501961</v>
      </c>
      <c r="R1555" s="3">
        <v>2.1392139213921393</v>
      </c>
      <c r="S1555" s="3">
        <v>2.1192800488102503</v>
      </c>
      <c r="T1555" s="3">
        <v>2.076338295850491</v>
      </c>
      <c r="U1555" s="3">
        <v>1.9862323707186031</v>
      </c>
      <c r="V1555" s="3">
        <v>1.9022159690467815</v>
      </c>
      <c r="W1555" s="2"/>
      <c r="X1555" s="2"/>
      <c r="Y1555" s="2"/>
      <c r="Z1555" s="2"/>
      <c r="AA1555" s="2"/>
      <c r="AB1555" s="2"/>
      <c r="AC1555" s="2"/>
      <c r="AD1555" s="2"/>
      <c r="AE1555" s="2"/>
      <c r="AF1555" s="2"/>
      <c r="AG1555" s="2"/>
      <c r="AH1555" s="2"/>
      <c r="AI1555" s="2"/>
      <c r="AJ1555" s="2"/>
      <c r="AK1555" s="2"/>
      <c r="AL1555" s="2"/>
      <c r="AM1555" s="2"/>
      <c r="AN1555" s="2"/>
      <c r="AO1555" s="2"/>
      <c r="AP1555" s="2"/>
      <c r="AQ1555" s="2"/>
      <c r="AR1555" s="2"/>
      <c r="AS1555" s="2"/>
      <c r="AT1555" s="6"/>
      <c r="AU1555" s="6"/>
    </row>
    <row r="1556" spans="1:47" hidden="1" outlineLevel="1">
      <c r="A1556" s="298"/>
      <c r="B1556" s="241" t="s">
        <v>1099</v>
      </c>
      <c r="C1556" s="18"/>
      <c r="D1556" s="18"/>
      <c r="E1556" s="18"/>
      <c r="F1556" s="18"/>
      <c r="G1556" s="18"/>
      <c r="H1556" s="18"/>
      <c r="I1556" s="18"/>
      <c r="J1556" s="18"/>
      <c r="K1556" s="6"/>
      <c r="L1556" s="2"/>
      <c r="M1556" s="3"/>
      <c r="N1556" s="2">
        <v>-6.6761793222834154E-2</v>
      </c>
      <c r="O1556" s="2">
        <v>-0.11421660039096715</v>
      </c>
      <c r="P1556" s="2">
        <v>-0.12498669889653202</v>
      </c>
      <c r="Q1556" s="2">
        <v>-5.554925450087056E-2</v>
      </c>
      <c r="R1556" s="2">
        <v>-1.6524937317016541E-2</v>
      </c>
      <c r="S1556" s="2">
        <v>-9.3183165940302626E-3</v>
      </c>
      <c r="T1556" s="2">
        <v>-2.0262424960715619E-2</v>
      </c>
      <c r="U1556" s="2">
        <v>-4.3396553110811587E-2</v>
      </c>
      <c r="V1556" s="2">
        <v>-4.2299381940606118E-2</v>
      </c>
      <c r="W1556" s="2"/>
      <c r="X1556" s="2"/>
      <c r="Y1556" s="2"/>
      <c r="Z1556" s="2"/>
      <c r="AA1556" s="2"/>
      <c r="AB1556" s="2"/>
      <c r="AC1556" s="2"/>
      <c r="AD1556" s="2"/>
      <c r="AE1556" s="2"/>
      <c r="AF1556" s="2"/>
      <c r="AG1556" s="2"/>
      <c r="AH1556" s="2"/>
      <c r="AI1556" s="2"/>
      <c r="AJ1556" s="2"/>
      <c r="AK1556" s="2"/>
      <c r="AL1556" s="2"/>
      <c r="AM1556" s="2"/>
      <c r="AN1556" s="2"/>
      <c r="AO1556" s="2"/>
      <c r="AP1556" s="2"/>
      <c r="AQ1556" s="2"/>
      <c r="AR1556" s="2"/>
      <c r="AS1556" s="2"/>
      <c r="AT1556" s="6"/>
      <c r="AU1556" s="6"/>
    </row>
    <row r="1557" spans="1:47" hidden="1" outlineLevel="1">
      <c r="A1557" s="298"/>
      <c r="B1557" s="2" t="s">
        <v>830</v>
      </c>
      <c r="C1557" s="18"/>
      <c r="D1557" s="18"/>
      <c r="E1557" s="18"/>
      <c r="F1557" s="18"/>
      <c r="G1557" s="18"/>
      <c r="H1557" s="18"/>
      <c r="I1557" s="18"/>
      <c r="J1557" s="18"/>
      <c r="K1557" s="6"/>
      <c r="L1557" s="2"/>
      <c r="M1557" s="3">
        <v>1.2815972222222223</v>
      </c>
      <c r="N1557" s="3">
        <v>1.2792734349659423</v>
      </c>
      <c r="O1557" s="3">
        <v>1.305529811553908</v>
      </c>
      <c r="P1557" s="3">
        <v>1.3013087447947651</v>
      </c>
      <c r="Q1557" s="3">
        <v>1.3539342779620138</v>
      </c>
      <c r="R1557" s="3">
        <v>1.0168016801680169</v>
      </c>
      <c r="S1557" s="3">
        <v>1.0402684563758389</v>
      </c>
      <c r="T1557" s="3">
        <v>1.0554323725055432</v>
      </c>
      <c r="U1557" s="3">
        <v>1.0520483546004029</v>
      </c>
      <c r="V1557" s="3">
        <v>1.0981357720717553</v>
      </c>
      <c r="W1557" s="2"/>
      <c r="X1557" s="2"/>
      <c r="Y1557" s="2"/>
      <c r="Z1557" s="2"/>
      <c r="AA1557" s="2"/>
      <c r="AB1557" s="2"/>
      <c r="AC1557" s="2"/>
      <c r="AD1557" s="2"/>
      <c r="AE1557" s="2"/>
      <c r="AF1557" s="2"/>
      <c r="AG1557" s="2"/>
      <c r="AH1557" s="2"/>
      <c r="AI1557" s="2"/>
      <c r="AJ1557" s="2"/>
      <c r="AK1557" s="2"/>
      <c r="AL1557" s="2"/>
      <c r="AM1557" s="2"/>
      <c r="AN1557" s="2"/>
      <c r="AO1557" s="2"/>
      <c r="AP1557" s="2"/>
      <c r="AQ1557" s="2"/>
      <c r="AR1557" s="2"/>
      <c r="AS1557" s="2"/>
      <c r="AT1557" s="6"/>
      <c r="AU1557" s="6"/>
    </row>
    <row r="1558" spans="1:47" hidden="1" outlineLevel="1">
      <c r="A1558" s="298"/>
      <c r="B1558" s="241" t="s">
        <v>1099</v>
      </c>
      <c r="C1558" s="18"/>
      <c r="D1558" s="18"/>
      <c r="E1558" s="18"/>
      <c r="F1558" s="18"/>
      <c r="G1558" s="18"/>
      <c r="H1558" s="18"/>
      <c r="I1558" s="18"/>
      <c r="J1558" s="18"/>
      <c r="K1558" s="6"/>
      <c r="L1558" s="2"/>
      <c r="M1558" s="3"/>
      <c r="N1558" s="2">
        <v>-1.8131962335644625E-3</v>
      </c>
      <c r="O1558" s="2">
        <v>2.0524444477864723E-2</v>
      </c>
      <c r="P1558" s="2">
        <v>-3.2332212729165866E-3</v>
      </c>
      <c r="Q1558" s="2">
        <v>4.0440466859037683E-2</v>
      </c>
      <c r="R1558" s="2">
        <v>-0.24900218812796437</v>
      </c>
      <c r="S1558" s="2">
        <v>2.3079010062163174E-2</v>
      </c>
      <c r="T1558" s="2">
        <v>1.4576925827909371E-2</v>
      </c>
      <c r="U1558" s="2">
        <v>-3.2062858723073129E-3</v>
      </c>
      <c r="V1558" s="2">
        <v>4.3807318617838265E-2</v>
      </c>
      <c r="W1558" s="2"/>
      <c r="X1558" s="2"/>
      <c r="Y1558" s="2"/>
      <c r="Z1558" s="2"/>
      <c r="AA1558" s="2"/>
      <c r="AB1558" s="2"/>
      <c r="AC1558" s="2"/>
      <c r="AD1558" s="2"/>
      <c r="AE1558" s="2"/>
      <c r="AF1558" s="2"/>
      <c r="AG1558" s="2"/>
      <c r="AH1558" s="2"/>
      <c r="AI1558" s="2"/>
      <c r="AJ1558" s="2"/>
      <c r="AK1558" s="2"/>
      <c r="AL1558" s="2"/>
      <c r="AM1558" s="2"/>
      <c r="AN1558" s="2"/>
      <c r="AO1558" s="2"/>
      <c r="AP1558" s="2"/>
      <c r="AQ1558" s="2"/>
      <c r="AR1558" s="2"/>
      <c r="AS1558" s="2"/>
      <c r="AT1558" s="6"/>
      <c r="AU1558" s="6"/>
    </row>
    <row r="1559" spans="1:47" hidden="1" outlineLevel="1">
      <c r="A1559" s="298"/>
      <c r="B1559" s="2" t="s">
        <v>831</v>
      </c>
      <c r="C1559" s="18"/>
      <c r="D1559" s="18"/>
      <c r="E1559" s="18"/>
      <c r="F1559" s="18"/>
      <c r="G1559" s="18"/>
      <c r="H1559" s="18"/>
      <c r="I1559" s="18"/>
      <c r="J1559" s="18"/>
      <c r="K1559" s="6"/>
      <c r="L1559" s="2"/>
      <c r="M1559" s="3">
        <v>0.27118055555555554</v>
      </c>
      <c r="N1559" s="3">
        <v>0.24002594875121636</v>
      </c>
      <c r="O1559" s="3">
        <v>0.20111214087117701</v>
      </c>
      <c r="P1559" s="3">
        <v>0.17251635930993456</v>
      </c>
      <c r="Q1559" s="3">
        <v>0.16098884534217667</v>
      </c>
      <c r="R1559" s="3">
        <v>0.15841584158415842</v>
      </c>
      <c r="S1559" s="3">
        <v>0.1671751067724222</v>
      </c>
      <c r="T1559" s="3">
        <v>0.17738359201773837</v>
      </c>
      <c r="U1559" s="3">
        <v>0.18166554734721291</v>
      </c>
      <c r="V1559" s="3">
        <v>0.17938797045374605</v>
      </c>
      <c r="W1559" s="2"/>
      <c r="X1559" s="2"/>
      <c r="Y1559" s="2"/>
      <c r="Z1559" s="2"/>
      <c r="AA1559" s="2"/>
      <c r="AB1559" s="2"/>
      <c r="AC1559" s="2"/>
      <c r="AD1559" s="2"/>
      <c r="AE1559" s="2"/>
      <c r="AF1559" s="2"/>
      <c r="AG1559" s="2"/>
      <c r="AH1559" s="2"/>
      <c r="AI1559" s="2"/>
      <c r="AJ1559" s="2"/>
      <c r="AK1559" s="2"/>
      <c r="AL1559" s="2"/>
      <c r="AM1559" s="2"/>
      <c r="AN1559" s="2"/>
      <c r="AO1559" s="2"/>
      <c r="AP1559" s="2"/>
      <c r="AQ1559" s="2"/>
      <c r="AR1559" s="2"/>
      <c r="AS1559" s="2"/>
      <c r="AT1559" s="6"/>
      <c r="AU1559" s="6"/>
    </row>
    <row r="1560" spans="1:47" hidden="1" outlineLevel="1">
      <c r="A1560" s="298"/>
      <c r="B1560" s="241" t="s">
        <v>1099</v>
      </c>
      <c r="C1560" s="18"/>
      <c r="D1560" s="18"/>
      <c r="E1560" s="18"/>
      <c r="F1560" s="18"/>
      <c r="G1560" s="18"/>
      <c r="H1560" s="18"/>
      <c r="I1560" s="18"/>
      <c r="J1560" s="18"/>
      <c r="K1560" s="6"/>
      <c r="L1560" s="2"/>
      <c r="M1560" s="2"/>
      <c r="N1560" s="2">
        <v>-0.11488510575735833</v>
      </c>
      <c r="O1560" s="2">
        <v>-0.16212333742454232</v>
      </c>
      <c r="P1560" s="2">
        <v>-0.14218824103493366</v>
      </c>
      <c r="Q1560" s="2">
        <v>-6.6819830964831128E-2</v>
      </c>
      <c r="R1560" s="2">
        <v>-1.5982497126117101E-2</v>
      </c>
      <c r="S1560" s="2">
        <v>5.5292861500915169E-2</v>
      </c>
      <c r="T1560" s="2">
        <v>6.1064625244792836E-2</v>
      </c>
      <c r="U1560" s="2">
        <v>2.4139523169912636E-2</v>
      </c>
      <c r="V1560" s="2">
        <v>-1.2537197761080088E-2</v>
      </c>
      <c r="W1560" s="2"/>
      <c r="X1560" s="2"/>
      <c r="Y1560" s="2"/>
      <c r="Z1560" s="2"/>
      <c r="AA1560" s="2"/>
      <c r="AB1560" s="2"/>
      <c r="AC1560" s="2"/>
      <c r="AD1560" s="2"/>
      <c r="AE1560" s="2"/>
      <c r="AF1560" s="2"/>
      <c r="AG1560" s="2"/>
      <c r="AH1560" s="2"/>
      <c r="AI1560" s="2"/>
      <c r="AJ1560" s="2"/>
      <c r="AK1560" s="2"/>
      <c r="AL1560" s="2"/>
      <c r="AM1560" s="2"/>
      <c r="AN1560" s="2"/>
      <c r="AO1560" s="2"/>
      <c r="AP1560" s="2"/>
      <c r="AQ1560" s="2"/>
      <c r="AR1560" s="2"/>
      <c r="AS1560" s="2"/>
      <c r="AT1560" s="6"/>
      <c r="AU1560" s="6"/>
    </row>
    <row r="1561" spans="1:47" hidden="1" outlineLevel="1">
      <c r="A1561" s="298"/>
      <c r="B1561" s="55"/>
      <c r="C1561" s="18"/>
      <c r="D1561" s="18"/>
      <c r="E1561" s="18"/>
      <c r="F1561" s="18"/>
      <c r="G1561" s="18"/>
      <c r="H1561" s="18"/>
      <c r="I1561" s="18"/>
      <c r="J1561" s="18"/>
      <c r="K1561" s="6"/>
      <c r="L1561" s="2"/>
      <c r="M1561" s="2"/>
      <c r="N1561" s="2"/>
      <c r="O1561" s="2"/>
      <c r="P1561" s="2"/>
      <c r="Q1561" s="2"/>
      <c r="R1561" s="2"/>
      <c r="S1561" s="2"/>
      <c r="T1561" s="2"/>
      <c r="U1561" s="2"/>
      <c r="V1561" s="2"/>
      <c r="W1561" s="2"/>
      <c r="X1561" s="2"/>
      <c r="Y1561" s="2"/>
      <c r="Z1561" s="2"/>
      <c r="AA1561" s="2"/>
      <c r="AB1561" s="2"/>
      <c r="AC1561" s="2"/>
      <c r="AD1561" s="2"/>
      <c r="AE1561" s="2"/>
      <c r="AF1561" s="2"/>
      <c r="AG1561" s="2"/>
      <c r="AH1561" s="2"/>
      <c r="AI1561" s="2"/>
      <c r="AJ1561" s="2"/>
      <c r="AK1561" s="2"/>
      <c r="AL1561" s="2"/>
      <c r="AM1561" s="2"/>
      <c r="AN1561" s="2"/>
      <c r="AO1561" s="2"/>
      <c r="AP1561" s="2"/>
      <c r="AQ1561" s="2"/>
      <c r="AR1561" s="2"/>
      <c r="AS1561" s="2"/>
      <c r="AT1561" s="6"/>
      <c r="AU1561" s="6"/>
    </row>
    <row r="1562" spans="1:47" hidden="1" outlineLevel="1">
      <c r="A1562" s="298"/>
      <c r="B1562" s="55"/>
      <c r="C1562" s="18"/>
      <c r="D1562" s="18"/>
      <c r="E1562" s="18"/>
      <c r="F1562" s="18"/>
      <c r="G1562" s="18"/>
      <c r="H1562" s="18"/>
      <c r="I1562" s="18"/>
      <c r="J1562" s="18"/>
      <c r="K1562" s="6"/>
      <c r="L1562" s="2"/>
      <c r="M1562" s="2"/>
      <c r="N1562" s="2"/>
      <c r="O1562" s="2"/>
      <c r="P1562" s="2"/>
      <c r="Q1562" s="2"/>
      <c r="R1562" s="2"/>
      <c r="S1562" s="2"/>
      <c r="T1562" s="2"/>
      <c r="U1562" s="2"/>
      <c r="V1562" s="2"/>
      <c r="W1562" s="2"/>
      <c r="X1562" s="2"/>
      <c r="Y1562" s="2"/>
      <c r="Z1562" s="2"/>
      <c r="AA1562" s="2"/>
      <c r="AB1562" s="2"/>
      <c r="AC1562" s="2"/>
      <c r="AD1562" s="2"/>
      <c r="AE1562" s="2"/>
      <c r="AF1562" s="2"/>
      <c r="AG1562" s="2"/>
      <c r="AH1562" s="2"/>
      <c r="AI1562" s="2"/>
      <c r="AJ1562" s="2"/>
      <c r="AK1562" s="2"/>
      <c r="AL1562" s="2"/>
      <c r="AM1562" s="2"/>
      <c r="AN1562" s="2"/>
      <c r="AO1562" s="2"/>
      <c r="AP1562" s="2"/>
      <c r="AQ1562" s="2"/>
      <c r="AR1562" s="2"/>
      <c r="AS1562" s="2"/>
      <c r="AT1562" s="6"/>
      <c r="AU1562" s="6"/>
    </row>
    <row r="1563" spans="1:47" hidden="1" outlineLevel="1">
      <c r="A1563" s="298"/>
      <c r="B1563" s="6" t="s">
        <v>679</v>
      </c>
      <c r="C1563" s="21"/>
      <c r="D1563" s="21"/>
      <c r="E1563" s="21"/>
      <c r="F1563" s="21"/>
      <c r="G1563" s="21"/>
      <c r="H1563" s="21"/>
      <c r="I1563" s="21"/>
      <c r="J1563" s="21"/>
      <c r="K1563" s="6"/>
      <c r="L1563" s="6"/>
      <c r="M1563" s="6"/>
      <c r="N1563" s="6"/>
      <c r="O1563" s="6"/>
      <c r="P1563" s="6"/>
      <c r="Q1563" s="6"/>
      <c r="R1563" s="6"/>
      <c r="S1563" s="6"/>
      <c r="T1563" s="6"/>
      <c r="U1563" s="6"/>
      <c r="V1563" s="6"/>
      <c r="W1563" s="6"/>
      <c r="X1563" s="6"/>
      <c r="Y1563" s="6"/>
      <c r="Z1563" s="6"/>
      <c r="AA1563" s="6"/>
      <c r="AB1563" s="6"/>
      <c r="AC1563" s="6"/>
      <c r="AD1563" s="6"/>
      <c r="AE1563" s="6"/>
      <c r="AF1563" s="6"/>
      <c r="AG1563" s="6"/>
      <c r="AH1563" s="6"/>
      <c r="AI1563" s="6"/>
      <c r="AJ1563" s="6"/>
      <c r="AK1563" s="6"/>
      <c r="AL1563" s="6"/>
      <c r="AM1563" s="6"/>
      <c r="AN1563" s="6"/>
      <c r="AO1563" s="6"/>
      <c r="AP1563" s="6"/>
      <c r="AQ1563" s="6"/>
      <c r="AR1563" s="6"/>
      <c r="AS1563" s="6"/>
      <c r="AT1563" s="6"/>
      <c r="AU1563" s="6"/>
    </row>
    <row r="1564" spans="1:47" hidden="1" outlineLevel="1">
      <c r="A1564" s="298"/>
      <c r="B1564" s="55" t="s">
        <v>145</v>
      </c>
      <c r="C1564" s="18"/>
      <c r="D1564" s="18"/>
      <c r="E1564" s="18"/>
      <c r="F1564" s="18"/>
      <c r="G1564" s="18"/>
      <c r="H1564" s="18"/>
      <c r="I1564" s="18"/>
      <c r="J1564" s="18"/>
      <c r="K1564" s="530">
        <v>2494</v>
      </c>
      <c r="L1564" s="530">
        <v>1978</v>
      </c>
      <c r="M1564" s="530">
        <v>1643</v>
      </c>
      <c r="N1564" s="530">
        <v>1567</v>
      </c>
      <c r="O1564" s="530">
        <v>1504</v>
      </c>
      <c r="P1564" s="530">
        <v>1284</v>
      </c>
      <c r="Q1564" s="530">
        <v>1023</v>
      </c>
      <c r="R1564" s="530">
        <v>845</v>
      </c>
      <c r="S1564" s="530">
        <v>736</v>
      </c>
      <c r="T1564" s="530">
        <v>633</v>
      </c>
      <c r="U1564" s="530">
        <v>538</v>
      </c>
      <c r="V1564" s="530">
        <v>427</v>
      </c>
      <c r="W1564" s="2"/>
      <c r="X1564" s="2"/>
      <c r="Y1564" s="2"/>
      <c r="Z1564" s="2"/>
      <c r="AA1564" s="2"/>
      <c r="AB1564" s="2"/>
      <c r="AC1564" s="2"/>
      <c r="AD1564" s="2"/>
      <c r="AE1564" s="2"/>
      <c r="AF1564" s="2"/>
      <c r="AG1564" s="2"/>
      <c r="AH1564" s="2"/>
      <c r="AI1564" s="2"/>
      <c r="AJ1564" s="2"/>
      <c r="AK1564" s="2"/>
      <c r="AL1564" s="2"/>
      <c r="AM1564" s="2"/>
      <c r="AN1564" s="2"/>
      <c r="AO1564" s="2"/>
      <c r="AP1564" s="2"/>
      <c r="AQ1564" s="2"/>
      <c r="AR1564" s="2"/>
      <c r="AS1564" s="2"/>
      <c r="AT1564" s="2"/>
      <c r="AU1564" s="2"/>
    </row>
    <row r="1565" spans="1:47" hidden="1" outlineLevel="1">
      <c r="A1565" s="298"/>
      <c r="B1565" s="55" t="s">
        <v>146</v>
      </c>
      <c r="C1565" s="18"/>
      <c r="D1565" s="18"/>
      <c r="E1565" s="18"/>
      <c r="F1565" s="18"/>
      <c r="G1565" s="18"/>
      <c r="H1565" s="18"/>
      <c r="I1565" s="18"/>
      <c r="J1565" s="18"/>
      <c r="K1565" s="530">
        <v>152</v>
      </c>
      <c r="L1565" s="530">
        <v>165</v>
      </c>
      <c r="M1565" s="530">
        <v>262</v>
      </c>
      <c r="N1565" s="530">
        <v>280</v>
      </c>
      <c r="O1565" s="530">
        <v>259</v>
      </c>
      <c r="P1565" s="530">
        <v>250</v>
      </c>
      <c r="Q1565" s="530">
        <v>246</v>
      </c>
      <c r="R1565" s="530">
        <v>257</v>
      </c>
      <c r="S1565" s="530">
        <v>269</v>
      </c>
      <c r="T1565" s="530">
        <v>267</v>
      </c>
      <c r="U1565" s="530">
        <v>256</v>
      </c>
      <c r="V1565" s="530">
        <v>263</v>
      </c>
      <c r="W1565" s="2"/>
      <c r="X1565" s="2"/>
      <c r="Y1565" s="2"/>
      <c r="Z1565" s="2"/>
      <c r="AA1565" s="2"/>
      <c r="AB1565" s="2"/>
      <c r="AC1565" s="2"/>
      <c r="AD1565" s="2"/>
      <c r="AE1565" s="2"/>
      <c r="AF1565" s="2"/>
      <c r="AG1565" s="2"/>
      <c r="AH1565" s="2"/>
      <c r="AI1565" s="2"/>
      <c r="AJ1565" s="2"/>
      <c r="AK1565" s="2"/>
      <c r="AL1565" s="2"/>
      <c r="AM1565" s="2"/>
      <c r="AN1565" s="2"/>
      <c r="AO1565" s="2"/>
      <c r="AP1565" s="2"/>
      <c r="AQ1565" s="2"/>
      <c r="AR1565" s="2"/>
      <c r="AS1565" s="2"/>
      <c r="AT1565" s="2"/>
      <c r="AU1565" s="2"/>
    </row>
    <row r="1566" spans="1:47" hidden="1" outlineLevel="1">
      <c r="A1566" s="298"/>
      <c r="B1566" s="55" t="s">
        <v>147</v>
      </c>
      <c r="C1566" s="18"/>
      <c r="D1566" s="18"/>
      <c r="E1566" s="18"/>
      <c r="F1566" s="18"/>
      <c r="G1566" s="18"/>
      <c r="H1566" s="18"/>
      <c r="I1566" s="18"/>
      <c r="J1566" s="18"/>
      <c r="K1566" s="530">
        <v>1406</v>
      </c>
      <c r="L1566" s="530">
        <v>1267</v>
      </c>
      <c r="M1566" s="530">
        <v>1216</v>
      </c>
      <c r="N1566" s="530">
        <v>1162</v>
      </c>
      <c r="O1566" s="530">
        <v>1121</v>
      </c>
      <c r="P1566" s="530">
        <v>1013</v>
      </c>
      <c r="Q1566" s="530">
        <v>913</v>
      </c>
      <c r="R1566" s="530">
        <v>808</v>
      </c>
      <c r="S1566" s="530">
        <v>749</v>
      </c>
      <c r="T1566" s="530">
        <v>680</v>
      </c>
      <c r="U1566" s="530">
        <v>603</v>
      </c>
      <c r="V1566" s="530">
        <v>534</v>
      </c>
      <c r="W1566" s="2"/>
      <c r="X1566" s="2"/>
      <c r="Y1566" s="2"/>
      <c r="Z1566" s="2"/>
      <c r="AA1566" s="2"/>
      <c r="AB1566" s="2"/>
      <c r="AC1566" s="2"/>
      <c r="AD1566" s="2"/>
      <c r="AE1566" s="2"/>
      <c r="AF1566" s="2"/>
      <c r="AG1566" s="2"/>
      <c r="AH1566" s="2"/>
      <c r="AI1566" s="2"/>
      <c r="AJ1566" s="2"/>
      <c r="AK1566" s="2"/>
      <c r="AL1566" s="2"/>
      <c r="AM1566" s="2"/>
      <c r="AN1566" s="2"/>
      <c r="AO1566" s="2"/>
      <c r="AP1566" s="2"/>
      <c r="AQ1566" s="2"/>
      <c r="AR1566" s="2"/>
      <c r="AS1566" s="2"/>
      <c r="AT1566" s="2"/>
      <c r="AU1566" s="2"/>
    </row>
    <row r="1567" spans="1:47" hidden="1" outlineLevel="1">
      <c r="A1567" s="298"/>
      <c r="B1567" s="55" t="s">
        <v>148</v>
      </c>
      <c r="C1567" s="18"/>
      <c r="D1567" s="18"/>
      <c r="E1567" s="18"/>
      <c r="F1567" s="18"/>
      <c r="G1567" s="18"/>
      <c r="H1567" s="18"/>
      <c r="I1567" s="18"/>
      <c r="J1567" s="18"/>
      <c r="K1567" s="530">
        <v>1220</v>
      </c>
      <c r="L1567" s="530">
        <v>1287</v>
      </c>
      <c r="M1567" s="530">
        <v>1419</v>
      </c>
      <c r="N1567" s="530">
        <v>1517</v>
      </c>
      <c r="O1567" s="530">
        <v>1597</v>
      </c>
      <c r="P1567" s="530">
        <v>1288</v>
      </c>
      <c r="Q1567" s="530">
        <v>1215</v>
      </c>
      <c r="R1567" s="530">
        <v>1208</v>
      </c>
      <c r="S1567" s="530">
        <v>1222</v>
      </c>
      <c r="T1567" s="530">
        <v>1214</v>
      </c>
      <c r="U1567" s="530">
        <v>1119</v>
      </c>
      <c r="V1567" s="530">
        <v>1002</v>
      </c>
      <c r="W1567" s="2"/>
      <c r="X1567" s="2"/>
      <c r="Y1567" s="2"/>
      <c r="Z1567" s="2"/>
      <c r="AA1567" s="2"/>
      <c r="AB1567" s="2"/>
      <c r="AC1567" s="2"/>
      <c r="AD1567" s="2"/>
      <c r="AE1567" s="2"/>
      <c r="AF1567" s="2"/>
      <c r="AG1567" s="2"/>
      <c r="AH1567" s="2"/>
      <c r="AI1567" s="2"/>
      <c r="AJ1567" s="2"/>
      <c r="AK1567" s="2"/>
      <c r="AL1567" s="2"/>
      <c r="AM1567" s="2"/>
      <c r="AN1567" s="2"/>
      <c r="AO1567" s="2"/>
      <c r="AP1567" s="2"/>
      <c r="AQ1567" s="2"/>
      <c r="AR1567" s="2"/>
      <c r="AS1567" s="2"/>
      <c r="AT1567" s="2"/>
      <c r="AU1567" s="2"/>
    </row>
    <row r="1568" spans="1:47" hidden="1" outlineLevel="1">
      <c r="A1568" s="298"/>
      <c r="B1568" s="55" t="s">
        <v>149</v>
      </c>
      <c r="C1568" s="18"/>
      <c r="D1568" s="18"/>
      <c r="E1568" s="18"/>
      <c r="F1568" s="18"/>
      <c r="G1568" s="18"/>
      <c r="H1568" s="18"/>
      <c r="I1568" s="18"/>
      <c r="J1568" s="18"/>
      <c r="K1568" s="530">
        <v>972</v>
      </c>
      <c r="L1568" s="530">
        <v>786</v>
      </c>
      <c r="M1568" s="530">
        <v>336</v>
      </c>
      <c r="N1568" s="530">
        <v>307</v>
      </c>
      <c r="O1568" s="530">
        <v>266</v>
      </c>
      <c r="P1568" s="530">
        <v>234</v>
      </c>
      <c r="Q1568" s="530">
        <v>201</v>
      </c>
      <c r="R1568" s="530">
        <v>184</v>
      </c>
      <c r="S1568" s="530">
        <v>181</v>
      </c>
      <c r="T1568" s="530">
        <v>175</v>
      </c>
      <c r="U1568" s="530">
        <v>152</v>
      </c>
      <c r="V1568" s="530">
        <v>123</v>
      </c>
      <c r="W1568" s="2"/>
      <c r="X1568" s="2"/>
      <c r="Y1568" s="2"/>
      <c r="Z1568" s="2"/>
      <c r="AA1568" s="2"/>
      <c r="AB1568" s="2"/>
      <c r="AC1568" s="2"/>
      <c r="AD1568" s="2"/>
      <c r="AE1568" s="2"/>
      <c r="AF1568" s="2"/>
      <c r="AG1568" s="2"/>
      <c r="AH1568" s="2"/>
      <c r="AI1568" s="2"/>
      <c r="AJ1568" s="2"/>
      <c r="AK1568" s="2"/>
      <c r="AL1568" s="2"/>
      <c r="AM1568" s="2"/>
      <c r="AN1568" s="2"/>
      <c r="AO1568" s="2"/>
      <c r="AP1568" s="2"/>
      <c r="AQ1568" s="2"/>
      <c r="AR1568" s="2"/>
      <c r="AS1568" s="2"/>
      <c r="AT1568" s="2"/>
      <c r="AU1568" s="2"/>
    </row>
    <row r="1569" spans="1:47" hidden="1" outlineLevel="1">
      <c r="A1569" s="298"/>
      <c r="B1569" s="57" t="s">
        <v>150</v>
      </c>
      <c r="C1569" s="22"/>
      <c r="D1569" s="22"/>
      <c r="E1569" s="22"/>
      <c r="F1569" s="22"/>
      <c r="G1569" s="22"/>
      <c r="H1569" s="22"/>
      <c r="I1569" s="22"/>
      <c r="J1569" s="22"/>
      <c r="K1569" s="589">
        <v>0</v>
      </c>
      <c r="L1569" s="589">
        <v>0</v>
      </c>
      <c r="M1569" s="589">
        <v>0</v>
      </c>
      <c r="N1569" s="589">
        <v>350</v>
      </c>
      <c r="O1569" s="589">
        <v>346</v>
      </c>
      <c r="P1569" s="589">
        <v>309</v>
      </c>
      <c r="Q1569" s="589">
        <v>286</v>
      </c>
      <c r="R1569" s="589">
        <v>252</v>
      </c>
      <c r="S1569" s="589">
        <v>231</v>
      </c>
      <c r="T1569" s="589">
        <v>211</v>
      </c>
      <c r="U1569" s="589">
        <v>186</v>
      </c>
      <c r="V1569" s="589">
        <v>164</v>
      </c>
      <c r="W1569" s="23"/>
      <c r="X1569" s="23"/>
      <c r="Y1569" s="23"/>
      <c r="Z1569" s="23"/>
      <c r="AA1569" s="23"/>
      <c r="AB1569" s="23"/>
      <c r="AC1569" s="23"/>
      <c r="AD1569" s="23"/>
      <c r="AE1569" s="23"/>
      <c r="AF1569" s="23"/>
      <c r="AG1569" s="23"/>
      <c r="AH1569" s="23"/>
      <c r="AI1569" s="23"/>
      <c r="AJ1569" s="23"/>
      <c r="AK1569" s="23"/>
      <c r="AL1569" s="23"/>
      <c r="AM1569" s="23"/>
      <c r="AN1569" s="23"/>
      <c r="AO1569" s="23"/>
      <c r="AP1569" s="23"/>
      <c r="AQ1569" s="23"/>
      <c r="AR1569" s="23"/>
      <c r="AS1569" s="23"/>
      <c r="AT1569" s="2"/>
      <c r="AU1569" s="2"/>
    </row>
    <row r="1570" spans="1:47" hidden="1" outlineLevel="1">
      <c r="A1570" s="298"/>
      <c r="B1570" s="2" t="s">
        <v>230</v>
      </c>
      <c r="C1570" s="18"/>
      <c r="D1570" s="18"/>
      <c r="E1570" s="18"/>
      <c r="F1570" s="18"/>
      <c r="G1570" s="18"/>
      <c r="H1570" s="18"/>
      <c r="I1570" s="18"/>
      <c r="J1570" s="18"/>
      <c r="K1570" s="2">
        <v>6244</v>
      </c>
      <c r="L1570" s="2">
        <v>5483</v>
      </c>
      <c r="M1570" s="2">
        <v>4876</v>
      </c>
      <c r="N1570" s="2">
        <v>5183</v>
      </c>
      <c r="O1570" s="2">
        <v>5093</v>
      </c>
      <c r="P1570" s="2">
        <v>4378</v>
      </c>
      <c r="Q1570" s="2">
        <v>3884</v>
      </c>
      <c r="R1570" s="2">
        <v>3554</v>
      </c>
      <c r="S1570" s="2">
        <v>3388</v>
      </c>
      <c r="T1570" s="2">
        <v>3180</v>
      </c>
      <c r="U1570" s="2">
        <v>2854</v>
      </c>
      <c r="V1570" s="2">
        <v>2513</v>
      </c>
      <c r="W1570" s="2"/>
      <c r="X1570" s="2"/>
      <c r="Y1570" s="2"/>
      <c r="Z1570" s="2"/>
      <c r="AA1570" s="2"/>
      <c r="AB1570" s="2"/>
      <c r="AC1570" s="2"/>
      <c r="AD1570" s="2"/>
      <c r="AE1570" s="2"/>
      <c r="AF1570" s="2"/>
      <c r="AG1570" s="2"/>
      <c r="AH1570" s="2"/>
      <c r="AI1570" s="2"/>
      <c r="AJ1570" s="2"/>
      <c r="AK1570" s="2"/>
      <c r="AL1570" s="2"/>
      <c r="AM1570" s="2"/>
      <c r="AN1570" s="2"/>
      <c r="AO1570" s="2"/>
      <c r="AP1570" s="2"/>
      <c r="AQ1570" s="2"/>
      <c r="AR1570" s="2"/>
      <c r="AS1570" s="2"/>
      <c r="AT1570" s="2"/>
      <c r="AU1570" s="2"/>
    </row>
    <row r="1571" spans="1:47" hidden="1" outlineLevel="1">
      <c r="A1571" s="298"/>
      <c r="B1571" s="2"/>
      <c r="C1571" s="18"/>
      <c r="D1571" s="18"/>
      <c r="E1571" s="18"/>
      <c r="F1571" s="18"/>
      <c r="G1571" s="18"/>
      <c r="H1571" s="18"/>
      <c r="I1571" s="18"/>
      <c r="J1571" s="18"/>
      <c r="K1571" s="2"/>
      <c r="L1571" s="2"/>
      <c r="M1571" s="2"/>
      <c r="N1571" s="2"/>
      <c r="O1571" s="2"/>
      <c r="P1571" s="2"/>
      <c r="Q1571" s="2"/>
      <c r="R1571" s="2"/>
      <c r="S1571" s="2"/>
      <c r="T1571" s="2"/>
      <c r="U1571" s="2"/>
      <c r="V1571" s="2"/>
      <c r="W1571" s="2"/>
      <c r="X1571" s="2"/>
      <c r="Y1571" s="2"/>
      <c r="Z1571" s="2"/>
      <c r="AA1571" s="2"/>
      <c r="AB1571" s="2"/>
      <c r="AC1571" s="2"/>
      <c r="AD1571" s="2"/>
      <c r="AE1571" s="2"/>
      <c r="AF1571" s="2"/>
      <c r="AG1571" s="2"/>
      <c r="AH1571" s="2"/>
      <c r="AI1571" s="2"/>
      <c r="AJ1571" s="2"/>
      <c r="AK1571" s="2"/>
      <c r="AL1571" s="2"/>
      <c r="AM1571" s="2"/>
      <c r="AN1571" s="2"/>
      <c r="AO1571" s="2"/>
      <c r="AP1571" s="2"/>
      <c r="AQ1571" s="2"/>
      <c r="AR1571" s="2"/>
      <c r="AS1571" s="2"/>
      <c r="AT1571" s="2"/>
      <c r="AU1571" s="2"/>
    </row>
    <row r="1572" spans="1:47" hidden="1" outlineLevel="1">
      <c r="A1572" s="298"/>
      <c r="B1572" s="2" t="s">
        <v>682</v>
      </c>
      <c r="C1572" s="18"/>
      <c r="D1572" s="18"/>
      <c r="E1572" s="18"/>
      <c r="F1572" s="18"/>
      <c r="G1572" s="18"/>
      <c r="H1572" s="18"/>
      <c r="I1572" s="18"/>
      <c r="J1572" s="18"/>
      <c r="K1572" s="530">
        <v>5947</v>
      </c>
      <c r="L1572" s="530">
        <v>5123</v>
      </c>
      <c r="M1572" s="530">
        <v>4590</v>
      </c>
      <c r="N1572" s="530">
        <v>4907</v>
      </c>
      <c r="O1572" s="530">
        <v>4785</v>
      </c>
      <c r="P1572" s="530">
        <v>4065</v>
      </c>
      <c r="Q1572" s="530">
        <v>3565</v>
      </c>
      <c r="R1572" s="530">
        <v>3144</v>
      </c>
      <c r="S1572" s="530">
        <v>3056</v>
      </c>
      <c r="T1572" s="530">
        <v>2917</v>
      </c>
      <c r="U1572" s="530">
        <v>2637</v>
      </c>
      <c r="V1572" s="530">
        <v>2318</v>
      </c>
      <c r="W1572" s="2"/>
      <c r="X1572" s="2"/>
      <c r="Y1572" s="2"/>
      <c r="Z1572" s="2"/>
      <c r="AA1572" s="2"/>
      <c r="AB1572" s="2"/>
      <c r="AC1572" s="2"/>
      <c r="AD1572" s="2"/>
      <c r="AE1572" s="2"/>
      <c r="AF1572" s="2"/>
      <c r="AG1572" s="2"/>
      <c r="AH1572" s="2"/>
      <c r="AI1572" s="2"/>
      <c r="AJ1572" s="2"/>
      <c r="AK1572" s="2"/>
      <c r="AL1572" s="2"/>
      <c r="AM1572" s="2"/>
      <c r="AN1572" s="2"/>
      <c r="AO1572" s="2"/>
      <c r="AP1572" s="2"/>
      <c r="AQ1572" s="2"/>
      <c r="AR1572" s="2"/>
      <c r="AS1572" s="2"/>
      <c r="AT1572" s="2"/>
      <c r="AU1572" s="2"/>
    </row>
    <row r="1573" spans="1:47" hidden="1" outlineLevel="1">
      <c r="A1573" s="298"/>
      <c r="B1573" s="23" t="s">
        <v>683</v>
      </c>
      <c r="C1573" s="22"/>
      <c r="D1573" s="22"/>
      <c r="E1573" s="22"/>
      <c r="F1573" s="22"/>
      <c r="G1573" s="22"/>
      <c r="H1573" s="22"/>
      <c r="I1573" s="22"/>
      <c r="J1573" s="22"/>
      <c r="K1573" s="589">
        <v>297</v>
      </c>
      <c r="L1573" s="589">
        <v>360</v>
      </c>
      <c r="M1573" s="589">
        <v>286</v>
      </c>
      <c r="N1573" s="589">
        <v>276</v>
      </c>
      <c r="O1573" s="589">
        <v>308</v>
      </c>
      <c r="P1573" s="589">
        <v>313</v>
      </c>
      <c r="Q1573" s="589">
        <v>319</v>
      </c>
      <c r="R1573" s="589">
        <v>410</v>
      </c>
      <c r="S1573" s="589">
        <v>332</v>
      </c>
      <c r="T1573" s="589">
        <v>263</v>
      </c>
      <c r="U1573" s="589">
        <v>217</v>
      </c>
      <c r="V1573" s="589">
        <v>195</v>
      </c>
      <c r="W1573" s="23"/>
      <c r="X1573" s="23"/>
      <c r="Y1573" s="23"/>
      <c r="Z1573" s="23"/>
      <c r="AA1573" s="23"/>
      <c r="AB1573" s="23"/>
      <c r="AC1573" s="23"/>
      <c r="AD1573" s="23"/>
      <c r="AE1573" s="23"/>
      <c r="AF1573" s="23"/>
      <c r="AG1573" s="23"/>
      <c r="AH1573" s="23"/>
      <c r="AI1573" s="23"/>
      <c r="AJ1573" s="23"/>
      <c r="AK1573" s="23"/>
      <c r="AL1573" s="23"/>
      <c r="AM1573" s="23"/>
      <c r="AN1573" s="23"/>
      <c r="AO1573" s="23"/>
      <c r="AP1573" s="23"/>
      <c r="AQ1573" s="23"/>
      <c r="AR1573" s="23"/>
      <c r="AS1573" s="23"/>
      <c r="AT1573" s="2"/>
      <c r="AU1573" s="2"/>
    </row>
    <row r="1574" spans="1:47" hidden="1" outlineLevel="1">
      <c r="A1574" s="298"/>
      <c r="B1574" s="2" t="s">
        <v>230</v>
      </c>
      <c r="C1574" s="18"/>
      <c r="D1574" s="18"/>
      <c r="E1574" s="18"/>
      <c r="F1574" s="18"/>
      <c r="G1574" s="18"/>
      <c r="H1574" s="18"/>
      <c r="I1574" s="18"/>
      <c r="J1574" s="18"/>
      <c r="K1574" s="2">
        <v>6244</v>
      </c>
      <c r="L1574" s="2">
        <v>5483</v>
      </c>
      <c r="M1574" s="2">
        <v>4876</v>
      </c>
      <c r="N1574" s="2">
        <v>5183</v>
      </c>
      <c r="O1574" s="2">
        <v>5093</v>
      </c>
      <c r="P1574" s="2">
        <v>4378</v>
      </c>
      <c r="Q1574" s="2">
        <v>3884</v>
      </c>
      <c r="R1574" s="2">
        <v>3554</v>
      </c>
      <c r="S1574" s="2">
        <v>3388</v>
      </c>
      <c r="T1574" s="2">
        <v>3180</v>
      </c>
      <c r="U1574" s="2">
        <v>2854</v>
      </c>
      <c r="V1574" s="2">
        <v>2513</v>
      </c>
      <c r="W1574" s="2"/>
      <c r="X1574" s="2"/>
      <c r="Y1574" s="2"/>
      <c r="Z1574" s="2"/>
      <c r="AA1574" s="2"/>
      <c r="AB1574" s="2"/>
      <c r="AC1574" s="2"/>
      <c r="AD1574" s="2"/>
      <c r="AE1574" s="2"/>
      <c r="AF1574" s="2"/>
      <c r="AG1574" s="2"/>
      <c r="AH1574" s="2"/>
      <c r="AI1574" s="2"/>
      <c r="AJ1574" s="2"/>
      <c r="AK1574" s="2"/>
      <c r="AL1574" s="2"/>
      <c r="AM1574" s="2"/>
      <c r="AN1574" s="2"/>
      <c r="AO1574" s="2"/>
      <c r="AP1574" s="2"/>
      <c r="AQ1574" s="2"/>
      <c r="AR1574" s="2"/>
      <c r="AS1574" s="2"/>
      <c r="AT1574" s="2"/>
      <c r="AU1574" s="2"/>
    </row>
    <row r="1575" spans="1:47" ht="14.4" hidden="1" outlineLevel="1" thickBot="1">
      <c r="A1575" s="298"/>
      <c r="B1575" s="218"/>
      <c r="C1575" s="104"/>
      <c r="D1575" s="104"/>
      <c r="E1575" s="104"/>
      <c r="F1575" s="104"/>
      <c r="G1575" s="104"/>
      <c r="H1575" s="104"/>
      <c r="I1575" s="104"/>
      <c r="J1575" s="104"/>
      <c r="K1575" s="218"/>
      <c r="L1575" s="218"/>
      <c r="M1575" s="218"/>
      <c r="N1575" s="218"/>
      <c r="O1575" s="218"/>
      <c r="P1575" s="218"/>
      <c r="Q1575" s="218"/>
      <c r="R1575" s="218"/>
      <c r="S1575" s="218"/>
      <c r="T1575" s="218"/>
      <c r="U1575" s="218"/>
      <c r="V1575" s="218"/>
      <c r="W1575" s="218"/>
      <c r="X1575" s="218"/>
      <c r="Y1575" s="218"/>
      <c r="Z1575" s="218"/>
      <c r="AA1575" s="218"/>
      <c r="AB1575" s="218"/>
      <c r="AC1575" s="218"/>
      <c r="AD1575" s="218"/>
      <c r="AE1575" s="218"/>
      <c r="AF1575" s="218"/>
      <c r="AG1575" s="218"/>
      <c r="AH1575" s="218"/>
      <c r="AI1575" s="218"/>
      <c r="AJ1575" s="218"/>
      <c r="AK1575" s="218"/>
      <c r="AL1575" s="218"/>
      <c r="AM1575" s="218"/>
      <c r="AN1575" s="218"/>
      <c r="AO1575" s="218"/>
      <c r="AP1575" s="218"/>
      <c r="AQ1575" s="218"/>
      <c r="AR1575" s="218"/>
      <c r="AS1575" s="218"/>
      <c r="AT1575" s="6"/>
      <c r="AU1575" s="6"/>
    </row>
    <row r="1576" spans="1:47" hidden="1" outlineLevel="1">
      <c r="A1576" s="298"/>
      <c r="B1576" s="6"/>
      <c r="C1576" s="21"/>
      <c r="D1576" s="21"/>
      <c r="E1576" s="21"/>
      <c r="F1576" s="21"/>
      <c r="G1576" s="21"/>
      <c r="H1576" s="21"/>
      <c r="I1576" s="21"/>
      <c r="J1576" s="21"/>
      <c r="K1576" s="6"/>
      <c r="L1576" s="6"/>
      <c r="M1576" s="6"/>
      <c r="N1576" s="6"/>
      <c r="O1576" s="6"/>
      <c r="P1576" s="6"/>
      <c r="Q1576" s="6"/>
      <c r="R1576" s="6"/>
      <c r="S1576" s="6"/>
      <c r="T1576" s="6"/>
      <c r="U1576" s="6"/>
      <c r="V1576" s="6"/>
      <c r="W1576" s="6"/>
      <c r="X1576" s="6"/>
      <c r="Y1576" s="6"/>
      <c r="Z1576" s="6"/>
      <c r="AA1576" s="6"/>
      <c r="AB1576" s="6"/>
      <c r="AC1576" s="6"/>
      <c r="AD1576" s="6"/>
      <c r="AE1576" s="6"/>
      <c r="AF1576" s="6"/>
      <c r="AG1576" s="6"/>
      <c r="AH1576" s="6"/>
      <c r="AI1576" s="6"/>
      <c r="AJ1576" s="6"/>
      <c r="AK1576" s="6"/>
      <c r="AL1576" s="6"/>
      <c r="AM1576" s="6"/>
      <c r="AN1576" s="6"/>
      <c r="AO1576" s="6"/>
      <c r="AP1576" s="6"/>
      <c r="AQ1576" s="6"/>
      <c r="AR1576" s="6"/>
      <c r="AS1576" s="6"/>
      <c r="AT1576" s="6"/>
      <c r="AU1576" s="6"/>
    </row>
    <row r="1577" spans="1:47" ht="15.6" hidden="1" outlineLevel="1">
      <c r="A1577" s="298"/>
      <c r="B1577" s="237" t="s">
        <v>143</v>
      </c>
      <c r="C1577" s="238"/>
      <c r="D1577" s="239"/>
      <c r="E1577" s="239"/>
      <c r="F1577" s="239"/>
      <c r="G1577" s="239"/>
      <c r="H1577" s="239"/>
      <c r="I1577" s="239"/>
      <c r="J1577" s="239"/>
      <c r="K1577" s="239"/>
      <c r="L1577" s="239"/>
      <c r="M1577" s="239"/>
      <c r="N1577" s="239"/>
      <c r="O1577" s="239"/>
      <c r="P1577" s="239"/>
      <c r="Q1577" s="239"/>
      <c r="R1577" s="239"/>
      <c r="S1577" s="239"/>
      <c r="T1577" s="239"/>
      <c r="U1577" s="239"/>
      <c r="V1577" s="239"/>
      <c r="W1577" s="239"/>
      <c r="X1577" s="239"/>
      <c r="Y1577" s="239"/>
      <c r="Z1577" s="239"/>
      <c r="AA1577" s="239"/>
      <c r="AB1577" s="239"/>
      <c r="AC1577" s="239"/>
      <c r="AD1577" s="239"/>
      <c r="AE1577" s="239"/>
      <c r="AF1577" s="239"/>
      <c r="AG1577" s="239"/>
      <c r="AH1577" s="239"/>
      <c r="AI1577" s="239"/>
      <c r="AJ1577" s="239"/>
      <c r="AK1577" s="239"/>
      <c r="AL1577" s="239"/>
      <c r="AM1577" s="239"/>
      <c r="AN1577" s="239"/>
      <c r="AO1577" s="270"/>
      <c r="AP1577" s="240"/>
      <c r="AQ1577" s="240"/>
      <c r="AR1577" s="240"/>
      <c r="AS1577" s="240"/>
      <c r="AT1577" s="53"/>
      <c r="AU1577" s="53"/>
    </row>
    <row r="1578" spans="1:47" hidden="1" outlineLevel="1">
      <c r="A1578" s="298"/>
      <c r="B1578" s="6"/>
      <c r="C1578" s="21"/>
      <c r="D1578" s="21"/>
      <c r="E1578" s="21"/>
      <c r="F1578" s="21"/>
      <c r="G1578" s="21"/>
      <c r="H1578" s="21"/>
      <c r="I1578" s="21"/>
      <c r="J1578" s="21"/>
      <c r="K1578" s="6"/>
      <c r="L1578" s="6"/>
      <c r="M1578" s="6"/>
      <c r="N1578" s="6"/>
      <c r="O1578" s="6"/>
      <c r="P1578" s="6"/>
      <c r="Q1578" s="6"/>
      <c r="R1578" s="6"/>
      <c r="S1578" s="6"/>
      <c r="T1578" s="6"/>
      <c r="U1578" s="6"/>
      <c r="V1578" s="6"/>
      <c r="W1578" s="6"/>
      <c r="X1578" s="6"/>
      <c r="Y1578" s="6"/>
      <c r="Z1578" s="6"/>
      <c r="AA1578" s="6"/>
      <c r="AB1578" s="6"/>
      <c r="AC1578" s="6"/>
      <c r="AD1578" s="6"/>
      <c r="AE1578" s="6"/>
      <c r="AF1578" s="6"/>
      <c r="AG1578" s="6"/>
      <c r="AH1578" s="6"/>
      <c r="AI1578" s="6"/>
      <c r="AJ1578" s="6"/>
      <c r="AK1578" s="6"/>
      <c r="AL1578" s="6"/>
      <c r="AM1578" s="6"/>
      <c r="AN1578" s="6"/>
      <c r="AO1578" s="6"/>
      <c r="AP1578" s="6"/>
      <c r="AQ1578" s="6"/>
      <c r="AR1578" s="6"/>
      <c r="AS1578" s="6"/>
      <c r="AT1578" s="6"/>
      <c r="AU1578" s="6"/>
    </row>
    <row r="1579" spans="1:47" hidden="1" outlineLevel="1">
      <c r="A1579" s="298"/>
      <c r="B1579" s="6" t="s">
        <v>293</v>
      </c>
      <c r="C1579" s="18"/>
      <c r="D1579" s="18"/>
      <c r="E1579" s="18"/>
      <c r="F1579" s="18"/>
      <c r="G1579" s="18"/>
      <c r="H1579" s="18"/>
      <c r="I1579" s="18"/>
      <c r="J1579" s="18"/>
      <c r="K1579" s="2"/>
      <c r="L1579" s="2"/>
      <c r="M1579" s="2"/>
      <c r="N1579" s="2"/>
      <c r="O1579" s="2"/>
      <c r="P1579" s="2"/>
      <c r="Q1579" s="2"/>
      <c r="R1579" s="2"/>
      <c r="S1579" s="2"/>
      <c r="T1579" s="2"/>
      <c r="U1579" s="2"/>
      <c r="V1579" s="2"/>
      <c r="W1579" s="2"/>
      <c r="X1579" s="2"/>
      <c r="Y1579" s="2"/>
      <c r="Z1579" s="2"/>
      <c r="AA1579" s="2"/>
      <c r="AB1579" s="2"/>
      <c r="AC1579" s="2"/>
      <c r="AD1579" s="2"/>
      <c r="AE1579" s="2"/>
      <c r="AF1579" s="2"/>
      <c r="AG1579" s="2"/>
      <c r="AH1579" s="2"/>
      <c r="AI1579" s="2"/>
      <c r="AJ1579" s="2"/>
      <c r="AK1579" s="2"/>
      <c r="AL1579" s="2"/>
      <c r="AM1579" s="2"/>
      <c r="AN1579" s="2"/>
      <c r="AO1579" s="2"/>
      <c r="AP1579" s="2"/>
      <c r="AQ1579" s="2"/>
      <c r="AR1579" s="2"/>
      <c r="AS1579" s="2"/>
      <c r="AT1579" s="2"/>
      <c r="AU1579" s="2"/>
    </row>
    <row r="1580" spans="1:47" hidden="1" outlineLevel="1">
      <c r="A1580" s="298"/>
      <c r="B1580" s="55" t="s">
        <v>680</v>
      </c>
      <c r="C1580" s="18" t="s">
        <v>846</v>
      </c>
      <c r="D1580" s="18"/>
      <c r="E1580" s="18"/>
      <c r="F1580" s="18"/>
      <c r="G1580" s="18"/>
      <c r="H1580" s="18"/>
      <c r="I1580" s="18"/>
      <c r="J1580" s="18"/>
      <c r="K1580" s="3">
        <v>8.8699999999999992</v>
      </c>
      <c r="L1580" s="3">
        <v>8.76</v>
      </c>
      <c r="M1580" s="3">
        <v>9.2200000000000006</v>
      </c>
      <c r="N1580" s="3">
        <v>8.91</v>
      </c>
      <c r="O1580" s="3">
        <v>8.44</v>
      </c>
      <c r="P1580" s="3">
        <v>8.0500000000000007</v>
      </c>
      <c r="Q1580" s="3">
        <v>7.7799999999999994</v>
      </c>
      <c r="R1580" s="3">
        <v>7.7799999999999994</v>
      </c>
      <c r="S1580" s="3">
        <v>7.8699999999999992</v>
      </c>
      <c r="T1580" s="3">
        <v>7.7329999999999997</v>
      </c>
      <c r="U1580" s="3">
        <v>7.407</v>
      </c>
      <c r="V1580" s="3">
        <v>7.1579999999999995</v>
      </c>
      <c r="W1580" s="3">
        <v>6.8807436000000006</v>
      </c>
      <c r="X1580" s="3">
        <v>3.5054999999999996E-2</v>
      </c>
      <c r="Y1580" s="3">
        <v>0.32799999999999996</v>
      </c>
      <c r="Z1580" s="3">
        <v>0.53299999999999992</v>
      </c>
      <c r="AA1580" s="3">
        <v>1.0249999999999999</v>
      </c>
      <c r="AB1580" s="3">
        <v>1.4349999999999998</v>
      </c>
      <c r="AC1580" s="3">
        <v>1.845</v>
      </c>
      <c r="AD1580" s="3">
        <v>2.4599999999999995</v>
      </c>
      <c r="AE1580" s="3">
        <v>3.2800000000000002</v>
      </c>
      <c r="AF1580" s="3">
        <v>3.69</v>
      </c>
      <c r="AG1580" s="3">
        <v>4.0999999999999996</v>
      </c>
      <c r="AH1580" s="3">
        <v>4.0999999999999996</v>
      </c>
      <c r="AI1580" s="3">
        <v>4.0999999999999996</v>
      </c>
      <c r="AJ1580" s="3">
        <v>0</v>
      </c>
      <c r="AK1580" s="2"/>
      <c r="AL1580" s="2"/>
      <c r="AM1580" s="2"/>
      <c r="AN1580" s="2"/>
      <c r="AO1580" s="2"/>
      <c r="AP1580" s="2"/>
      <c r="AQ1580" s="2"/>
      <c r="AR1580" s="2"/>
      <c r="AS1580" s="2"/>
      <c r="AT1580" s="2"/>
      <c r="AU1580" s="2"/>
    </row>
    <row r="1581" spans="1:47" hidden="1" outlineLevel="1">
      <c r="A1581" s="298"/>
      <c r="B1581" s="241" t="s">
        <v>1099</v>
      </c>
      <c r="C1581" s="18" t="s">
        <v>733</v>
      </c>
      <c r="D1581" s="18"/>
      <c r="E1581" s="18"/>
      <c r="F1581" s="18"/>
      <c r="G1581" s="18"/>
      <c r="H1581" s="18"/>
      <c r="I1581" s="18"/>
      <c r="J1581" s="18"/>
      <c r="K1581" s="2"/>
      <c r="L1581" s="2">
        <v>-1.2401352874858995E-2</v>
      </c>
      <c r="M1581" s="2">
        <v>5.2511415525114291E-2</v>
      </c>
      <c r="N1581" s="2">
        <v>-3.3622559652928485E-2</v>
      </c>
      <c r="O1581" s="2">
        <v>-5.2749719416386176E-2</v>
      </c>
      <c r="P1581" s="2">
        <v>-4.6208530805687098E-2</v>
      </c>
      <c r="Q1581" s="2">
        <v>-3.3540372670807672E-2</v>
      </c>
      <c r="R1581" s="2">
        <v>0</v>
      </c>
      <c r="S1581" s="2">
        <v>1.1568123393316254E-2</v>
      </c>
      <c r="T1581" s="2">
        <v>-1.740787801778898E-2</v>
      </c>
      <c r="U1581" s="2">
        <v>-4.2156989525410582E-2</v>
      </c>
      <c r="V1581" s="2">
        <v>-3.3616848926691034E-2</v>
      </c>
      <c r="W1581" s="2">
        <v>-3.8733780385582395E-2</v>
      </c>
      <c r="X1581" s="2">
        <v>-0.99490534714881684</v>
      </c>
      <c r="Y1581" s="2">
        <v>8.3567251461988299</v>
      </c>
      <c r="Z1581" s="2">
        <v>0.625</v>
      </c>
      <c r="AA1581" s="2">
        <v>0.92307692307692313</v>
      </c>
      <c r="AB1581" s="2">
        <v>0.39999999999999991</v>
      </c>
      <c r="AC1581" s="2">
        <v>0.28571428571428581</v>
      </c>
      <c r="AD1581" s="2">
        <v>0.33333333333333304</v>
      </c>
      <c r="AE1581" s="2">
        <v>0.3333333333333337</v>
      </c>
      <c r="AF1581" s="2">
        <v>0.125</v>
      </c>
      <c r="AG1581" s="2">
        <v>0.11111111111111094</v>
      </c>
      <c r="AH1581" s="2">
        <v>0</v>
      </c>
      <c r="AI1581" s="2">
        <v>0</v>
      </c>
      <c r="AJ1581" s="2">
        <v>-1</v>
      </c>
      <c r="AK1581" s="2"/>
      <c r="AL1581" s="2"/>
      <c r="AM1581" s="2"/>
      <c r="AN1581" s="2"/>
      <c r="AO1581" s="2"/>
      <c r="AP1581" s="2"/>
      <c r="AQ1581" s="2"/>
      <c r="AR1581" s="2"/>
      <c r="AS1581" s="2"/>
      <c r="AT1581" s="2"/>
      <c r="AU1581" s="2"/>
    </row>
    <row r="1582" spans="1:47" hidden="1" outlineLevel="1">
      <c r="A1582" s="298"/>
      <c r="B1582" s="55" t="s">
        <v>681</v>
      </c>
      <c r="C1582" s="18" t="s">
        <v>846</v>
      </c>
      <c r="D1582" s="18"/>
      <c r="E1582" s="18"/>
      <c r="F1582" s="18"/>
      <c r="G1582" s="18"/>
      <c r="H1582" s="18"/>
      <c r="I1582" s="18"/>
      <c r="J1582" s="18"/>
      <c r="K1582" s="3">
        <v>8.8699999999999992</v>
      </c>
      <c r="L1582" s="3">
        <v>8.8150000000000013</v>
      </c>
      <c r="M1582" s="3">
        <v>8.99</v>
      </c>
      <c r="N1582" s="3">
        <v>9.0649999999999995</v>
      </c>
      <c r="O1582" s="3">
        <v>8.6750000000000007</v>
      </c>
      <c r="P1582" s="3">
        <v>8.2449999999999992</v>
      </c>
      <c r="Q1582" s="3">
        <v>7.915</v>
      </c>
      <c r="R1582" s="3">
        <v>7.7799999999999994</v>
      </c>
      <c r="S1582" s="3">
        <v>7.8249999999999993</v>
      </c>
      <c r="T1582" s="3">
        <v>7.801499999999999</v>
      </c>
      <c r="U1582" s="3">
        <v>7.5699999999999994</v>
      </c>
      <c r="V1582" s="3">
        <v>7.2824999999999998</v>
      </c>
      <c r="W1582" s="3">
        <v>7.0193718000000001</v>
      </c>
      <c r="X1582" s="3">
        <v>3.4578993000000002</v>
      </c>
      <c r="Y1582" s="3">
        <v>0.18152749999999998</v>
      </c>
      <c r="Z1582" s="3">
        <v>0.43049999999999988</v>
      </c>
      <c r="AA1582" s="3">
        <v>0.77899999999999991</v>
      </c>
      <c r="AB1582" s="3">
        <v>1.23</v>
      </c>
      <c r="AC1582" s="3">
        <v>1.64</v>
      </c>
      <c r="AD1582" s="3">
        <v>2.1524999999999999</v>
      </c>
      <c r="AE1582" s="3">
        <v>2.87</v>
      </c>
      <c r="AF1582" s="3">
        <v>3.4850000000000003</v>
      </c>
      <c r="AG1582" s="3">
        <v>3.8949999999999996</v>
      </c>
      <c r="AH1582" s="3">
        <v>4.0999999999999996</v>
      </c>
      <c r="AI1582" s="3">
        <v>4.0999999999999996</v>
      </c>
      <c r="AJ1582" s="3">
        <v>2.0499999999999998</v>
      </c>
      <c r="AK1582" s="2"/>
      <c r="AL1582" s="2"/>
      <c r="AM1582" s="2"/>
      <c r="AN1582" s="2"/>
      <c r="AO1582" s="2"/>
      <c r="AP1582" s="2"/>
      <c r="AQ1582" s="2"/>
      <c r="AR1582" s="2"/>
      <c r="AS1582" s="2"/>
      <c r="AT1582" s="2"/>
      <c r="AU1582" s="2"/>
    </row>
    <row r="1583" spans="1:47" hidden="1" outlineLevel="1">
      <c r="A1583" s="298"/>
      <c r="B1583" s="241" t="s">
        <v>1099</v>
      </c>
      <c r="C1583" s="18" t="s">
        <v>733</v>
      </c>
      <c r="D1583" s="18"/>
      <c r="E1583" s="18"/>
      <c r="F1583" s="18"/>
      <c r="G1583" s="18"/>
      <c r="H1583" s="18"/>
      <c r="I1583" s="18"/>
      <c r="J1583" s="18"/>
      <c r="K1583" s="2"/>
      <c r="L1583" s="2"/>
      <c r="M1583" s="2"/>
      <c r="N1583" s="2"/>
      <c r="O1583" s="2"/>
      <c r="P1583" s="2"/>
      <c r="Q1583" s="2"/>
      <c r="R1583" s="2"/>
      <c r="S1583" s="2"/>
      <c r="T1583" s="2"/>
      <c r="U1583" s="2"/>
      <c r="V1583" s="2"/>
      <c r="W1583" s="2"/>
      <c r="X1583" s="2"/>
      <c r="Y1583" s="2"/>
      <c r="Z1583" s="2"/>
      <c r="AA1583" s="2"/>
      <c r="AB1583" s="2"/>
      <c r="AC1583" s="2"/>
      <c r="AD1583" s="2"/>
      <c r="AE1583" s="2"/>
      <c r="AF1583" s="2"/>
      <c r="AG1583" s="2"/>
      <c r="AH1583" s="2"/>
      <c r="AI1583" s="2"/>
      <c r="AJ1583" s="2"/>
      <c r="AK1583" s="2"/>
      <c r="AL1583" s="2"/>
      <c r="AM1583" s="2"/>
      <c r="AN1583" s="2"/>
      <c r="AO1583" s="2"/>
      <c r="AP1583" s="2"/>
      <c r="AQ1583" s="2"/>
      <c r="AR1583" s="2"/>
      <c r="AS1583" s="2"/>
      <c r="AT1583" s="2"/>
      <c r="AU1583" s="2"/>
    </row>
    <row r="1584" spans="1:47" hidden="1" outlineLevel="1">
      <c r="A1584" s="298"/>
      <c r="B1584" s="55" t="s">
        <v>685</v>
      </c>
      <c r="C1584" s="18" t="s">
        <v>306</v>
      </c>
      <c r="D1584" s="18"/>
      <c r="E1584" s="18"/>
      <c r="F1584" s="18"/>
      <c r="G1584" s="18"/>
      <c r="H1584" s="18"/>
      <c r="I1584" s="18"/>
      <c r="J1584" s="18"/>
      <c r="K1584" s="3">
        <v>55.871852686959791</v>
      </c>
      <c r="L1584" s="3">
        <v>48.430705237284918</v>
      </c>
      <c r="M1584" s="3">
        <v>42.547274749721915</v>
      </c>
      <c r="N1584" s="3">
        <v>45.109395109395109</v>
      </c>
      <c r="O1584" s="3">
        <v>45.965417867435157</v>
      </c>
      <c r="P1584" s="3">
        <v>41.085506367495455</v>
      </c>
      <c r="Q1584" s="3">
        <v>37.534217730048432</v>
      </c>
      <c r="R1584" s="3">
        <v>33.676092544987149</v>
      </c>
      <c r="S1584" s="3">
        <v>32.545260915867949</v>
      </c>
      <c r="T1584" s="3">
        <v>31.15853788801299</v>
      </c>
      <c r="U1584" s="3">
        <v>29.029062087186265</v>
      </c>
      <c r="V1584" s="3">
        <v>26.524774001602015</v>
      </c>
      <c r="W1584" s="3">
        <v>25.198535301521915</v>
      </c>
      <c r="X1584" s="3">
        <v>24.026803410001147</v>
      </c>
      <c r="Y1584" s="3">
        <v>22.945597256551093</v>
      </c>
      <c r="Z1584" s="3">
        <v>22.257229338854557</v>
      </c>
      <c r="AA1584" s="3">
        <v>21.589512458688919</v>
      </c>
      <c r="AB1584" s="3">
        <v>20.941827084928249</v>
      </c>
      <c r="AC1584" s="3">
        <v>20.313572272380402</v>
      </c>
      <c r="AD1584" s="3">
        <v>19.70416510420899</v>
      </c>
      <c r="AE1584" s="3">
        <v>19.113040151082718</v>
      </c>
      <c r="AF1584" s="3">
        <v>18.539648946550237</v>
      </c>
      <c r="AG1584" s="3">
        <v>17.98345947815373</v>
      </c>
      <c r="AH1584" s="3">
        <v>17.443955693809116</v>
      </c>
      <c r="AI1584" s="3">
        <v>16.920637022994843</v>
      </c>
      <c r="AJ1584" s="3">
        <v>16.413017912304998</v>
      </c>
      <c r="AK1584" s="2"/>
      <c r="AL1584" s="2"/>
      <c r="AM1584" s="2"/>
      <c r="AN1584" s="2"/>
      <c r="AO1584" s="2"/>
      <c r="AP1584" s="2"/>
      <c r="AQ1584" s="2"/>
      <c r="AR1584" s="2"/>
      <c r="AS1584" s="2"/>
      <c r="AT1584" s="2"/>
      <c r="AU1584" s="2"/>
    </row>
    <row r="1585" spans="1:47" hidden="1" outlineLevel="1">
      <c r="A1585" s="298"/>
      <c r="B1585" s="431" t="s">
        <v>1099</v>
      </c>
      <c r="C1585" s="22" t="s">
        <v>733</v>
      </c>
      <c r="D1585" s="22"/>
      <c r="E1585" s="22"/>
      <c r="F1585" s="22"/>
      <c r="G1585" s="22"/>
      <c r="H1585" s="22"/>
      <c r="I1585" s="22"/>
      <c r="J1585" s="22"/>
      <c r="K1585" s="84"/>
      <c r="L1585" s="23">
        <v>-0.13318240029315509</v>
      </c>
      <c r="M1585" s="23">
        <v>-0.12148141264384438</v>
      </c>
      <c r="N1585" s="23">
        <v>6.0218201394671933E-2</v>
      </c>
      <c r="O1585" s="23">
        <v>1.8976595805909158E-2</v>
      </c>
      <c r="P1585" s="23">
        <v>-0.10616484579806118</v>
      </c>
      <c r="Q1585" s="23">
        <v>-8.6436530821404234E-2</v>
      </c>
      <c r="R1585" s="23">
        <v>-0.10278954560368037</v>
      </c>
      <c r="S1585" s="23">
        <v>-3.3579656773081612E-2</v>
      </c>
      <c r="T1585" s="23">
        <v>-4.2609061621590505E-2</v>
      </c>
      <c r="U1585" s="23">
        <v>-6.8343251807266525E-2</v>
      </c>
      <c r="V1585" s="23">
        <v>-8.6268308568249186E-2</v>
      </c>
      <c r="W1585" s="590">
        <v>-0.05</v>
      </c>
      <c r="X1585" s="573">
        <v>-4.65E-2</v>
      </c>
      <c r="Y1585" s="573">
        <v>-4.4999999999999998E-2</v>
      </c>
      <c r="Z1585" s="573">
        <v>-0.03</v>
      </c>
      <c r="AA1585" s="82">
        <v>-0.03</v>
      </c>
      <c r="AB1585" s="82">
        <v>-0.03</v>
      </c>
      <c r="AC1585" s="82">
        <v>-0.03</v>
      </c>
      <c r="AD1585" s="82">
        <v>-0.03</v>
      </c>
      <c r="AE1585" s="82">
        <v>-0.03</v>
      </c>
      <c r="AF1585" s="82">
        <v>-0.03</v>
      </c>
      <c r="AG1585" s="82">
        <v>-0.03</v>
      </c>
      <c r="AH1585" s="82">
        <v>-0.03</v>
      </c>
      <c r="AI1585" s="82">
        <v>-0.03</v>
      </c>
      <c r="AJ1585" s="82">
        <v>-0.03</v>
      </c>
      <c r="AK1585" s="2"/>
      <c r="AL1585" s="2"/>
      <c r="AM1585" s="2"/>
      <c r="AN1585" s="2"/>
      <c r="AO1585" s="2"/>
      <c r="AP1585" s="2"/>
      <c r="AQ1585" s="2"/>
      <c r="AR1585" s="2"/>
      <c r="AS1585" s="2"/>
      <c r="AT1585" s="2"/>
      <c r="AU1585" s="2"/>
    </row>
    <row r="1586" spans="1:47" hidden="1" outlineLevel="1">
      <c r="A1586" s="298"/>
      <c r="B1586" s="55" t="s">
        <v>686</v>
      </c>
      <c r="C1586" s="18" t="s">
        <v>142</v>
      </c>
      <c r="D1586" s="18"/>
      <c r="E1586" s="18"/>
      <c r="F1586" s="18"/>
      <c r="G1586" s="18"/>
      <c r="H1586" s="18"/>
      <c r="I1586" s="18"/>
      <c r="J1586" s="18"/>
      <c r="K1586" s="2">
        <v>5947</v>
      </c>
      <c r="L1586" s="2">
        <v>5123</v>
      </c>
      <c r="M1586" s="2">
        <v>4590</v>
      </c>
      <c r="N1586" s="2">
        <v>4907</v>
      </c>
      <c r="O1586" s="2">
        <v>4785</v>
      </c>
      <c r="P1586" s="2">
        <v>4065</v>
      </c>
      <c r="Q1586" s="2">
        <v>3565</v>
      </c>
      <c r="R1586" s="2">
        <v>3144</v>
      </c>
      <c r="S1586" s="2">
        <v>3056</v>
      </c>
      <c r="T1586" s="2">
        <v>2917</v>
      </c>
      <c r="U1586" s="2">
        <v>2637</v>
      </c>
      <c r="V1586" s="2">
        <v>2318</v>
      </c>
      <c r="W1586" s="19">
        <v>2122.5346571616892</v>
      </c>
      <c r="X1586" s="19">
        <v>996.98720031216703</v>
      </c>
      <c r="Y1586" s="19">
        <v>49.983082871862933</v>
      </c>
      <c r="Z1586" s="19">
        <v>114.98084676452261</v>
      </c>
      <c r="AA1586" s="19">
        <v>201.81876246382399</v>
      </c>
      <c r="AB1586" s="19">
        <v>309.10136777354097</v>
      </c>
      <c r="AC1586" s="19">
        <v>399.77110232044629</v>
      </c>
      <c r="AD1586" s="19">
        <v>508.95858464171818</v>
      </c>
      <c r="AE1586" s="19">
        <v>658.25310280328881</v>
      </c>
      <c r="AF1586" s="19">
        <v>775.32811894473093</v>
      </c>
      <c r="AG1586" s="19">
        <v>840.54689600890526</v>
      </c>
      <c r="AH1586" s="19">
        <v>858.24262013540829</v>
      </c>
      <c r="AI1586" s="19">
        <v>832.49534153134618</v>
      </c>
      <c r="AJ1586" s="19">
        <v>403.76024064270291</v>
      </c>
      <c r="AK1586" s="2"/>
      <c r="AL1586" s="2"/>
      <c r="AM1586" s="2"/>
      <c r="AN1586" s="2"/>
      <c r="AO1586" s="2"/>
      <c r="AP1586" s="2"/>
      <c r="AQ1586" s="2"/>
      <c r="AR1586" s="2"/>
      <c r="AS1586" s="2"/>
      <c r="AT1586" s="2"/>
      <c r="AU1586" s="2"/>
    </row>
    <row r="1587" spans="1:47" hidden="1" outlineLevel="1">
      <c r="A1587" s="298"/>
      <c r="B1587" s="241" t="s">
        <v>1099</v>
      </c>
      <c r="C1587" s="18" t="s">
        <v>733</v>
      </c>
      <c r="D1587" s="18"/>
      <c r="E1587" s="18"/>
      <c r="F1587" s="18"/>
      <c r="G1587" s="18"/>
      <c r="H1587" s="18"/>
      <c r="I1587" s="18"/>
      <c r="J1587" s="18"/>
      <c r="K1587" s="2"/>
      <c r="L1587" s="2">
        <v>-0.1385572557592063</v>
      </c>
      <c r="M1587" s="2">
        <v>-0.1040406012102284</v>
      </c>
      <c r="N1587" s="2">
        <v>6.9063180827886761E-2</v>
      </c>
      <c r="O1587" s="2">
        <v>-2.4862441410230307E-2</v>
      </c>
      <c r="P1587" s="2">
        <v>-0.15047021943573669</v>
      </c>
      <c r="Q1587" s="2">
        <v>-0.12300123001230012</v>
      </c>
      <c r="R1587" s="2">
        <v>-0.11809256661991585</v>
      </c>
      <c r="S1587" s="2">
        <v>-2.7989821882951627E-2</v>
      </c>
      <c r="T1587" s="2">
        <v>-4.5484293193717273E-2</v>
      </c>
      <c r="U1587" s="2">
        <v>-9.5989029825162886E-2</v>
      </c>
      <c r="V1587" s="2">
        <v>-0.12097080015168749</v>
      </c>
      <c r="W1587" s="2">
        <v>-8.4324996910401517E-2</v>
      </c>
      <c r="X1587" s="2">
        <v>-0.53028460715672587</v>
      </c>
      <c r="Y1587" s="2">
        <v>-0.9498658730461006</v>
      </c>
      <c r="Z1587" s="2">
        <v>1.3003952569169956</v>
      </c>
      <c r="AA1587" s="2">
        <v>0.75523809523809526</v>
      </c>
      <c r="AB1587" s="2">
        <v>0.53157894736842115</v>
      </c>
      <c r="AC1587" s="2">
        <v>0.29333333333333322</v>
      </c>
      <c r="AD1587" s="2">
        <v>0.27312500000000006</v>
      </c>
      <c r="AE1587" s="2">
        <v>0.29333333333333322</v>
      </c>
      <c r="AF1587" s="2">
        <v>0.17785714285714294</v>
      </c>
      <c r="AG1587" s="2">
        <v>8.4117647058823408E-2</v>
      </c>
      <c r="AH1587" s="2">
        <v>2.105263157894699E-2</v>
      </c>
      <c r="AI1587" s="2">
        <v>-2.9999999999999805E-2</v>
      </c>
      <c r="AJ1587" s="2">
        <v>-0.51500000000000001</v>
      </c>
      <c r="AK1587" s="2"/>
      <c r="AL1587" s="2"/>
      <c r="AM1587" s="2"/>
      <c r="AN1587" s="2"/>
      <c r="AO1587" s="2"/>
      <c r="AP1587" s="2"/>
      <c r="AQ1587" s="2"/>
      <c r="AR1587" s="2"/>
      <c r="AS1587" s="2"/>
      <c r="AT1587" s="2"/>
      <c r="AU1587" s="2"/>
    </row>
    <row r="1588" spans="1:47" hidden="1" outlineLevel="1">
      <c r="A1588" s="298"/>
      <c r="B1588" s="2"/>
      <c r="C1588" s="18"/>
      <c r="D1588" s="18"/>
      <c r="E1588" s="18"/>
      <c r="F1588" s="18"/>
      <c r="G1588" s="18"/>
      <c r="H1588" s="18"/>
      <c r="I1588" s="18"/>
      <c r="J1588" s="18"/>
      <c r="K1588" s="2"/>
      <c r="L1588" s="2"/>
      <c r="M1588" s="2"/>
      <c r="N1588" s="2"/>
      <c r="O1588" s="2"/>
      <c r="P1588" s="2"/>
      <c r="Q1588" s="2"/>
      <c r="R1588" s="2"/>
      <c r="S1588" s="2"/>
      <c r="T1588" s="2"/>
      <c r="U1588" s="2"/>
      <c r="V1588" s="2"/>
      <c r="W1588" s="2"/>
      <c r="X1588" s="2"/>
      <c r="Y1588" s="2"/>
      <c r="Z1588" s="2"/>
      <c r="AA1588" s="2"/>
      <c r="AB1588" s="2"/>
      <c r="AC1588" s="2"/>
      <c r="AD1588" s="2"/>
      <c r="AE1588" s="2"/>
      <c r="AF1588" s="2"/>
      <c r="AG1588" s="2"/>
      <c r="AH1588" s="2"/>
      <c r="AI1588" s="2"/>
      <c r="AJ1588" s="2"/>
      <c r="AK1588" s="2"/>
      <c r="AL1588" s="2"/>
      <c r="AM1588" s="2"/>
      <c r="AN1588" s="2"/>
      <c r="AO1588" s="2"/>
      <c r="AP1588" s="2"/>
      <c r="AQ1588" s="2"/>
      <c r="AR1588" s="2"/>
      <c r="AS1588" s="2"/>
      <c r="AT1588" s="2"/>
      <c r="AU1588" s="2"/>
    </row>
    <row r="1589" spans="1:47" hidden="1" outlineLevel="1">
      <c r="A1589" s="298"/>
      <c r="B1589" s="55" t="s">
        <v>363</v>
      </c>
      <c r="C1589" s="18" t="s">
        <v>846</v>
      </c>
      <c r="D1589" s="18"/>
      <c r="E1589" s="18"/>
      <c r="F1589" s="18"/>
      <c r="G1589" s="18"/>
      <c r="H1589" s="18"/>
      <c r="I1589" s="18"/>
      <c r="J1589" s="18"/>
      <c r="K1589" s="3">
        <v>1.17</v>
      </c>
      <c r="L1589" s="3">
        <v>1.3</v>
      </c>
      <c r="M1589" s="3">
        <v>1.32</v>
      </c>
      <c r="N1589" s="3">
        <v>1.55</v>
      </c>
      <c r="O1589" s="3">
        <v>1.84</v>
      </c>
      <c r="P1589" s="3">
        <v>2.0699999999999998</v>
      </c>
      <c r="Q1589" s="3">
        <v>2.16</v>
      </c>
      <c r="R1589" s="3">
        <v>1.98</v>
      </c>
      <c r="S1589" s="3">
        <v>1.5</v>
      </c>
      <c r="T1589" s="3">
        <v>1.2849999999999999</v>
      </c>
      <c r="U1589" s="3">
        <v>1.2529999999999999</v>
      </c>
      <c r="V1589" s="3">
        <v>1.212</v>
      </c>
      <c r="W1589" s="3">
        <v>1.18</v>
      </c>
      <c r="X1589" s="3">
        <v>1.1722555110220441</v>
      </c>
      <c r="Y1589" s="3">
        <v>1.1877755511022046</v>
      </c>
      <c r="Z1589" s="3">
        <v>1.2286573146292585</v>
      </c>
      <c r="AA1589" s="3">
        <v>1.3867735470941884</v>
      </c>
      <c r="AB1589" s="3">
        <v>1.2685370741482966</v>
      </c>
      <c r="AC1589" s="3">
        <v>1.1503006012024048</v>
      </c>
      <c r="AD1589" s="3">
        <v>0.97294589178356716</v>
      </c>
      <c r="AE1589" s="3">
        <v>0.73647294589178358</v>
      </c>
      <c r="AF1589" s="3">
        <v>0.61823647294589168</v>
      </c>
      <c r="AG1589" s="3">
        <v>0.5</v>
      </c>
      <c r="AH1589" s="3">
        <v>0.5</v>
      </c>
      <c r="AI1589" s="3">
        <v>0.5</v>
      </c>
      <c r="AJ1589" s="3">
        <v>0</v>
      </c>
      <c r="AK1589" s="2"/>
      <c r="AL1589" s="2"/>
      <c r="AM1589" s="2"/>
      <c r="AN1589" s="2"/>
      <c r="AO1589" s="2"/>
      <c r="AP1589" s="2"/>
      <c r="AQ1589" s="2"/>
      <c r="AR1589" s="2"/>
      <c r="AS1589" s="2"/>
      <c r="AT1589" s="2"/>
      <c r="AU1589" s="2"/>
    </row>
    <row r="1590" spans="1:47" hidden="1" outlineLevel="1">
      <c r="A1590" s="298"/>
      <c r="B1590" s="241" t="s">
        <v>1099</v>
      </c>
      <c r="C1590" s="18" t="s">
        <v>733</v>
      </c>
      <c r="D1590" s="18"/>
      <c r="E1590" s="18"/>
      <c r="F1590" s="18"/>
      <c r="G1590" s="18"/>
      <c r="H1590" s="18"/>
      <c r="I1590" s="18"/>
      <c r="J1590" s="18"/>
      <c r="K1590" s="2"/>
      <c r="L1590" s="2">
        <v>0.11111111111111116</v>
      </c>
      <c r="M1590" s="2">
        <v>1.538461538461533E-2</v>
      </c>
      <c r="N1590" s="2">
        <v>0.17424242424242431</v>
      </c>
      <c r="O1590" s="2">
        <v>0.18709677419354831</v>
      </c>
      <c r="P1590" s="2">
        <v>0.12499999999999978</v>
      </c>
      <c r="Q1590" s="2">
        <v>4.347826086956541E-2</v>
      </c>
      <c r="R1590" s="2">
        <v>-8.333333333333337E-2</v>
      </c>
      <c r="S1590" s="2">
        <v>-0.24242424242424243</v>
      </c>
      <c r="T1590" s="2">
        <v>-0.14333333333333342</v>
      </c>
      <c r="U1590" s="2">
        <v>-2.4902723735408583E-2</v>
      </c>
      <c r="V1590" s="2">
        <v>-3.2721468475658377E-2</v>
      </c>
      <c r="W1590" s="2">
        <v>-2.6402640264026389E-2</v>
      </c>
      <c r="X1590" s="2">
        <v>-6.5631262525049916E-3</v>
      </c>
      <c r="Y1590" s="2">
        <v>1.3239468643341468E-2</v>
      </c>
      <c r="Z1590" s="2">
        <v>3.4418761599460002E-2</v>
      </c>
      <c r="AA1590" s="2">
        <v>0.12869026259990224</v>
      </c>
      <c r="AB1590" s="2">
        <v>-8.5260115606936471E-2</v>
      </c>
      <c r="AC1590" s="2">
        <v>-9.3206951026856277E-2</v>
      </c>
      <c r="AD1590" s="2">
        <v>-0.15418118466898956</v>
      </c>
      <c r="AE1590" s="2">
        <v>-0.24304840370751801</v>
      </c>
      <c r="AF1590" s="2">
        <v>-0.16054421768707494</v>
      </c>
      <c r="AG1590" s="2">
        <v>-0.19124797406807115</v>
      </c>
      <c r="AH1590" s="2">
        <v>0</v>
      </c>
      <c r="AI1590" s="2">
        <v>0</v>
      </c>
      <c r="AJ1590" s="2">
        <v>-1</v>
      </c>
      <c r="AK1590" s="2"/>
      <c r="AL1590" s="2"/>
      <c r="AM1590" s="2"/>
      <c r="AN1590" s="2"/>
      <c r="AO1590" s="2"/>
      <c r="AP1590" s="2"/>
      <c r="AQ1590" s="2"/>
      <c r="AR1590" s="2"/>
      <c r="AS1590" s="2"/>
      <c r="AT1590" s="2"/>
      <c r="AU1590" s="2"/>
    </row>
    <row r="1591" spans="1:47" hidden="1" outlineLevel="1">
      <c r="A1591" s="298"/>
      <c r="B1591" s="55" t="s">
        <v>364</v>
      </c>
      <c r="C1591" s="18" t="s">
        <v>846</v>
      </c>
      <c r="D1591" s="18"/>
      <c r="E1591" s="18"/>
      <c r="F1591" s="18"/>
      <c r="G1591" s="18"/>
      <c r="H1591" s="18"/>
      <c r="I1591" s="18"/>
      <c r="J1591" s="18"/>
      <c r="K1591" s="3">
        <v>1.17</v>
      </c>
      <c r="L1591" s="3">
        <v>1.2349999999999999</v>
      </c>
      <c r="M1591" s="3">
        <v>1.31</v>
      </c>
      <c r="N1591" s="3">
        <v>1.4350000000000001</v>
      </c>
      <c r="O1591" s="3">
        <v>1.6950000000000001</v>
      </c>
      <c r="P1591" s="3">
        <v>1.9550000000000001</v>
      </c>
      <c r="Q1591" s="3">
        <v>2.1150000000000002</v>
      </c>
      <c r="R1591" s="3">
        <v>2.0700000000000003</v>
      </c>
      <c r="S1591" s="3">
        <v>1.74</v>
      </c>
      <c r="T1591" s="3">
        <v>1.3925000000000001</v>
      </c>
      <c r="U1591" s="3">
        <v>1.2689999999999999</v>
      </c>
      <c r="V1591" s="3">
        <v>1.2324999999999999</v>
      </c>
      <c r="W1591" s="3">
        <v>1.196</v>
      </c>
      <c r="X1591" s="3">
        <v>1.1761277555110219</v>
      </c>
      <c r="Y1591" s="3">
        <v>1.1800155310621243</v>
      </c>
      <c r="Z1591" s="3">
        <v>1.2082164328657314</v>
      </c>
      <c r="AA1591" s="3">
        <v>1.3077154308617236</v>
      </c>
      <c r="AB1591" s="3">
        <v>1.3276553106212425</v>
      </c>
      <c r="AC1591" s="3">
        <v>1.2094188376753507</v>
      </c>
      <c r="AD1591" s="3">
        <v>1.061623246492986</v>
      </c>
      <c r="AE1591" s="3">
        <v>0.85470941883767537</v>
      </c>
      <c r="AF1591" s="3">
        <v>0.67735470941883769</v>
      </c>
      <c r="AG1591" s="3">
        <v>0.5591182364729459</v>
      </c>
      <c r="AH1591" s="3">
        <v>0.5</v>
      </c>
      <c r="AI1591" s="3">
        <v>0.5</v>
      </c>
      <c r="AJ1591" s="3">
        <v>0.25</v>
      </c>
      <c r="AK1591" s="2"/>
      <c r="AL1591" s="2"/>
      <c r="AM1591" s="2"/>
      <c r="AN1591" s="2"/>
      <c r="AO1591" s="2"/>
      <c r="AP1591" s="2"/>
      <c r="AQ1591" s="2"/>
      <c r="AR1591" s="2"/>
      <c r="AS1591" s="2"/>
      <c r="AT1591" s="2"/>
      <c r="AU1591" s="2"/>
    </row>
    <row r="1592" spans="1:47" hidden="1" outlineLevel="1">
      <c r="A1592" s="298"/>
      <c r="B1592" s="241" t="s">
        <v>1099</v>
      </c>
      <c r="C1592" s="18" t="s">
        <v>733</v>
      </c>
      <c r="D1592" s="18"/>
      <c r="E1592" s="18"/>
      <c r="F1592" s="18"/>
      <c r="G1592" s="18"/>
      <c r="H1592" s="18"/>
      <c r="I1592" s="18"/>
      <c r="J1592" s="18"/>
      <c r="K1592" s="2"/>
      <c r="L1592" s="2">
        <v>5.555555555555558E-2</v>
      </c>
      <c r="M1592" s="2">
        <v>6.0728744939271495E-2</v>
      </c>
      <c r="N1592" s="2">
        <v>9.5419847328244378E-2</v>
      </c>
      <c r="O1592" s="2">
        <v>0.1811846689895471</v>
      </c>
      <c r="P1592" s="2">
        <v>0.15339233038348077</v>
      </c>
      <c r="Q1592" s="2">
        <v>8.1841432225064015E-2</v>
      </c>
      <c r="R1592" s="2">
        <v>-2.1276595744680771E-2</v>
      </c>
      <c r="S1592" s="2">
        <v>-0.15942028985507262</v>
      </c>
      <c r="T1592" s="2">
        <v>-0.19971264367816088</v>
      </c>
      <c r="U1592" s="2">
        <v>-8.8689407540395115E-2</v>
      </c>
      <c r="V1592" s="2">
        <v>-2.8762805358550025E-2</v>
      </c>
      <c r="W1592" s="2">
        <v>-2.9614604462474658E-2</v>
      </c>
      <c r="X1592" s="2">
        <v>-1.661558903760707E-2</v>
      </c>
      <c r="Y1592" s="2">
        <v>3.3055724880952653E-3</v>
      </c>
      <c r="Z1592" s="2">
        <v>2.38987547716627E-2</v>
      </c>
      <c r="AA1592" s="2">
        <v>8.2351965500083057E-2</v>
      </c>
      <c r="AB1592" s="2">
        <v>1.5247873726151218E-2</v>
      </c>
      <c r="AC1592" s="2">
        <v>-8.905660377358493E-2</v>
      </c>
      <c r="AD1592" s="2">
        <v>-0.12220381110190559</v>
      </c>
      <c r="AE1592" s="2">
        <v>-0.19490325625294946</v>
      </c>
      <c r="AF1592" s="2">
        <v>-0.20750293083235638</v>
      </c>
      <c r="AG1592" s="2">
        <v>-0.17455621301775148</v>
      </c>
      <c r="AH1592" s="2">
        <v>-0.10573476702508966</v>
      </c>
      <c r="AI1592" s="2">
        <v>0</v>
      </c>
      <c r="AJ1592" s="2">
        <v>-0.5</v>
      </c>
      <c r="AK1592" s="2"/>
      <c r="AL1592" s="2"/>
      <c r="AM1592" s="2"/>
      <c r="AN1592" s="2"/>
      <c r="AO1592" s="2"/>
      <c r="AP1592" s="2"/>
      <c r="AQ1592" s="2"/>
      <c r="AR1592" s="2"/>
      <c r="AS1592" s="2"/>
      <c r="AT1592" s="2"/>
      <c r="AU1592" s="2"/>
    </row>
    <row r="1593" spans="1:47" hidden="1" outlineLevel="1">
      <c r="A1593" s="298"/>
      <c r="B1593" s="55" t="s">
        <v>685</v>
      </c>
      <c r="C1593" s="18" t="s">
        <v>306</v>
      </c>
      <c r="D1593" s="18"/>
      <c r="E1593" s="18"/>
      <c r="F1593" s="18"/>
      <c r="G1593" s="18"/>
      <c r="H1593" s="18"/>
      <c r="I1593" s="18"/>
      <c r="J1593" s="18"/>
      <c r="K1593" s="3">
        <v>21.153846153846157</v>
      </c>
      <c r="L1593" s="3">
        <v>24.291497975708506</v>
      </c>
      <c r="M1593" s="3">
        <v>18.193384223918574</v>
      </c>
      <c r="N1593" s="3">
        <v>16.027874564459932</v>
      </c>
      <c r="O1593" s="3">
        <v>15.142576204523108</v>
      </c>
      <c r="P1593" s="3">
        <v>13.341858482523444</v>
      </c>
      <c r="Q1593" s="3">
        <v>12.568951930654057</v>
      </c>
      <c r="R1593" s="3">
        <v>16.505636070853459</v>
      </c>
      <c r="S1593" s="3">
        <v>15.900383141762452</v>
      </c>
      <c r="T1593" s="3">
        <v>15.739078396169958</v>
      </c>
      <c r="U1593" s="3">
        <v>14.250065668505385</v>
      </c>
      <c r="V1593" s="3">
        <v>13.184584178498987</v>
      </c>
      <c r="W1593" s="3">
        <v>12.195740365111563</v>
      </c>
      <c r="X1593" s="3">
        <v>11.281059837728197</v>
      </c>
      <c r="Y1593" s="3">
        <v>10.434980349898582</v>
      </c>
      <c r="Z1593" s="3">
        <v>9.9132313324036527</v>
      </c>
      <c r="AA1593" s="3">
        <v>9.4175697657834689</v>
      </c>
      <c r="AB1593" s="3">
        <v>8.9466912774942955</v>
      </c>
      <c r="AC1593" s="3">
        <v>8.49935671361958</v>
      </c>
      <c r="AD1593" s="3">
        <v>8.0743888779386008</v>
      </c>
      <c r="AE1593" s="3">
        <v>7.6706694340416703</v>
      </c>
      <c r="AF1593" s="3">
        <v>7.2871359623395868</v>
      </c>
      <c r="AG1593" s="3">
        <v>6.9227791642226073</v>
      </c>
      <c r="AH1593" s="3">
        <v>6.5766402060114766</v>
      </c>
      <c r="AI1593" s="3">
        <v>6.2478081957109026</v>
      </c>
      <c r="AJ1593" s="3">
        <v>5.935417785925357</v>
      </c>
      <c r="AK1593" s="2"/>
      <c r="AL1593" s="2"/>
      <c r="AM1593" s="2"/>
      <c r="AN1593" s="2"/>
      <c r="AO1593" s="2"/>
      <c r="AP1593" s="2"/>
      <c r="AQ1593" s="2"/>
      <c r="AR1593" s="2"/>
      <c r="AS1593" s="2"/>
      <c r="AT1593" s="2"/>
      <c r="AU1593" s="2"/>
    </row>
    <row r="1594" spans="1:47" hidden="1" outlineLevel="1">
      <c r="A1594" s="298"/>
      <c r="B1594" s="431" t="s">
        <v>1099</v>
      </c>
      <c r="C1594" s="22" t="s">
        <v>733</v>
      </c>
      <c r="D1594" s="22"/>
      <c r="E1594" s="22"/>
      <c r="F1594" s="22"/>
      <c r="G1594" s="22"/>
      <c r="H1594" s="22"/>
      <c r="I1594" s="22"/>
      <c r="J1594" s="22"/>
      <c r="K1594" s="23"/>
      <c r="L1594" s="23"/>
      <c r="M1594" s="23"/>
      <c r="N1594" s="23"/>
      <c r="O1594" s="23"/>
      <c r="P1594" s="23">
        <v>-0.11891752748530249</v>
      </c>
      <c r="Q1594" s="23">
        <v>-5.7930951140114373E-2</v>
      </c>
      <c r="R1594" s="23">
        <v>0.31320703284721274</v>
      </c>
      <c r="S1594" s="23">
        <v>-3.6669470142977056E-2</v>
      </c>
      <c r="T1594" s="23">
        <v>-1.0144708096298971E-2</v>
      </c>
      <c r="U1594" s="23">
        <v>-9.4606093837547589E-2</v>
      </c>
      <c r="V1594" s="23">
        <v>-7.4770286312522694E-2</v>
      </c>
      <c r="W1594" s="590">
        <v>-7.4999999999999997E-2</v>
      </c>
      <c r="X1594" s="82">
        <v>-7.4999999999999997E-2</v>
      </c>
      <c r="Y1594" s="82">
        <v>-7.4999999999999997E-2</v>
      </c>
      <c r="Z1594" s="573">
        <v>-0.05</v>
      </c>
      <c r="AA1594" s="82">
        <v>-0.05</v>
      </c>
      <c r="AB1594" s="82">
        <v>-0.05</v>
      </c>
      <c r="AC1594" s="82">
        <v>-0.05</v>
      </c>
      <c r="AD1594" s="82">
        <v>-0.05</v>
      </c>
      <c r="AE1594" s="82">
        <v>-0.05</v>
      </c>
      <c r="AF1594" s="82">
        <v>-0.05</v>
      </c>
      <c r="AG1594" s="82">
        <v>-0.05</v>
      </c>
      <c r="AH1594" s="82">
        <v>-0.05</v>
      </c>
      <c r="AI1594" s="82">
        <v>-0.05</v>
      </c>
      <c r="AJ1594" s="82">
        <v>-0.05</v>
      </c>
      <c r="AK1594" s="2"/>
      <c r="AL1594" s="2"/>
      <c r="AM1594" s="2"/>
      <c r="AN1594" s="2"/>
      <c r="AO1594" s="2"/>
      <c r="AP1594" s="2"/>
      <c r="AQ1594" s="2"/>
      <c r="AR1594" s="2"/>
      <c r="AS1594" s="2"/>
      <c r="AT1594" s="2"/>
      <c r="AU1594" s="2"/>
    </row>
    <row r="1595" spans="1:47" hidden="1" outlineLevel="1">
      <c r="A1595" s="298"/>
      <c r="B1595" s="55" t="s">
        <v>686</v>
      </c>
      <c r="C1595" s="18" t="s">
        <v>142</v>
      </c>
      <c r="D1595" s="18"/>
      <c r="E1595" s="18"/>
      <c r="F1595" s="18"/>
      <c r="G1595" s="18"/>
      <c r="H1595" s="18"/>
      <c r="I1595" s="18"/>
      <c r="J1595" s="18"/>
      <c r="K1595" s="2">
        <v>297</v>
      </c>
      <c r="L1595" s="2">
        <v>360</v>
      </c>
      <c r="M1595" s="2">
        <v>286</v>
      </c>
      <c r="N1595" s="2">
        <v>276</v>
      </c>
      <c r="O1595" s="2">
        <v>308</v>
      </c>
      <c r="P1595" s="2">
        <v>313</v>
      </c>
      <c r="Q1595" s="2">
        <v>319</v>
      </c>
      <c r="R1595" s="2">
        <v>410</v>
      </c>
      <c r="S1595" s="2">
        <v>332</v>
      </c>
      <c r="T1595" s="2">
        <v>263</v>
      </c>
      <c r="U1595" s="2">
        <v>217</v>
      </c>
      <c r="V1595" s="2">
        <v>195</v>
      </c>
      <c r="W1595" s="3">
        <v>175.03326572008115</v>
      </c>
      <c r="X1595" s="3">
        <v>159.21561104079359</v>
      </c>
      <c r="Y1595" s="3">
        <v>147.76126655050089</v>
      </c>
      <c r="Z1595" s="3">
        <v>143.72794798331452</v>
      </c>
      <c r="AA1595" s="3">
        <v>147.78601564718247</v>
      </c>
      <c r="AB1595" s="3">
        <v>142.53746624464861</v>
      </c>
      <c r="AC1595" s="3">
        <v>123.35138541088777</v>
      </c>
      <c r="AD1595" s="3">
        <v>102.86350720852843</v>
      </c>
      <c r="AE1595" s="3">
        <v>78.674320968788123</v>
      </c>
      <c r="AF1595" s="3">
        <v>59.231710347193115</v>
      </c>
      <c r="AG1595" s="3">
        <v>46.447824933501579</v>
      </c>
      <c r="AH1595" s="3">
        <v>39.459841236068861</v>
      </c>
      <c r="AI1595" s="3">
        <v>37.486849174265416</v>
      </c>
      <c r="AJ1595" s="3">
        <v>17.806253357776072</v>
      </c>
      <c r="AK1595" s="2"/>
      <c r="AL1595" s="2"/>
      <c r="AM1595" s="2"/>
      <c r="AN1595" s="2"/>
      <c r="AO1595" s="2"/>
      <c r="AP1595" s="2"/>
      <c r="AQ1595" s="2"/>
      <c r="AR1595" s="2"/>
      <c r="AS1595" s="2"/>
      <c r="AT1595" s="2"/>
      <c r="AU1595" s="2"/>
    </row>
    <row r="1596" spans="1:47" hidden="1" outlineLevel="1">
      <c r="A1596" s="298"/>
      <c r="B1596" s="241" t="s">
        <v>1099</v>
      </c>
      <c r="C1596" s="18" t="s">
        <v>733</v>
      </c>
      <c r="D1596" s="18"/>
      <c r="E1596" s="18"/>
      <c r="F1596" s="18"/>
      <c r="G1596" s="18"/>
      <c r="H1596" s="18"/>
      <c r="I1596" s="18"/>
      <c r="J1596" s="18"/>
      <c r="K1596" s="2"/>
      <c r="L1596" s="2">
        <v>0.21212121212121215</v>
      </c>
      <c r="M1596" s="2">
        <v>-0.2055555555555556</v>
      </c>
      <c r="N1596" s="2">
        <v>-3.4965034965035002E-2</v>
      </c>
      <c r="O1596" s="2">
        <v>0.11594202898550732</v>
      </c>
      <c r="P1596" s="2">
        <v>1.6233766233766156E-2</v>
      </c>
      <c r="Q1596" s="2">
        <v>1.9169329073482455E-2</v>
      </c>
      <c r="R1596" s="2">
        <v>0.28526645768025083</v>
      </c>
      <c r="S1596" s="2">
        <v>-0.19024390243902434</v>
      </c>
      <c r="T1596" s="2">
        <v>-0.20783132530120485</v>
      </c>
      <c r="U1596" s="2">
        <v>-0.17490494296577952</v>
      </c>
      <c r="V1596" s="2">
        <v>-0.10138248847926268</v>
      </c>
      <c r="W1596" s="2">
        <v>-0.102393509127789</v>
      </c>
      <c r="X1596" s="2">
        <v>-9.0369419859786304E-2</v>
      </c>
      <c r="Y1596" s="2">
        <v>-7.1942345448512079E-2</v>
      </c>
      <c r="Z1596" s="2">
        <v>-2.7296182966920379E-2</v>
      </c>
      <c r="AA1596" s="2">
        <v>2.8234367225078882E-2</v>
      </c>
      <c r="AB1596" s="2">
        <v>-3.5514519960156421E-2</v>
      </c>
      <c r="AC1596" s="2">
        <v>-0.13460377358490583</v>
      </c>
      <c r="AD1596" s="2">
        <v>-0.16609362054681021</v>
      </c>
      <c r="AE1596" s="2">
        <v>-0.23515809344030203</v>
      </c>
      <c r="AF1596" s="2">
        <v>-0.24712778429073867</v>
      </c>
      <c r="AG1596" s="2">
        <v>-0.21582840236686396</v>
      </c>
      <c r="AH1596" s="2">
        <v>-0.15044802867383511</v>
      </c>
      <c r="AI1596" s="2">
        <v>-5.0000000000000044E-2</v>
      </c>
      <c r="AJ1596" s="2">
        <v>-0.52500000000000002</v>
      </c>
      <c r="AK1596" s="2"/>
      <c r="AL1596" s="2"/>
      <c r="AM1596" s="2"/>
      <c r="AN1596" s="2"/>
      <c r="AO1596" s="2"/>
      <c r="AP1596" s="2"/>
      <c r="AQ1596" s="2"/>
      <c r="AR1596" s="2"/>
      <c r="AS1596" s="2"/>
      <c r="AT1596" s="2"/>
      <c r="AU1596" s="2"/>
    </row>
    <row r="1597" spans="1:47" hidden="1" outlineLevel="1">
      <c r="A1597" s="298"/>
      <c r="B1597" s="55"/>
      <c r="C1597" s="18"/>
      <c r="D1597" s="18"/>
      <c r="E1597" s="18"/>
      <c r="F1597" s="18"/>
      <c r="G1597" s="18"/>
      <c r="H1597" s="18"/>
      <c r="I1597" s="18"/>
      <c r="J1597" s="18"/>
      <c r="K1597" s="2"/>
      <c r="L1597" s="2"/>
      <c r="M1597" s="2"/>
      <c r="N1597" s="2"/>
      <c r="O1597" s="2"/>
      <c r="P1597" s="2"/>
      <c r="Q1597" s="2"/>
      <c r="R1597" s="2"/>
      <c r="S1597" s="2"/>
      <c r="T1597" s="2"/>
      <c r="U1597" s="2"/>
      <c r="V1597" s="2"/>
      <c r="W1597" s="2"/>
      <c r="X1597" s="2"/>
      <c r="Y1597" s="2"/>
      <c r="Z1597" s="2"/>
      <c r="AA1597" s="2"/>
      <c r="AB1597" s="2"/>
      <c r="AC1597" s="2"/>
      <c r="AD1597" s="2"/>
      <c r="AE1597" s="2"/>
      <c r="AF1597" s="2"/>
      <c r="AG1597" s="2"/>
      <c r="AH1597" s="2"/>
      <c r="AI1597" s="2"/>
      <c r="AJ1597" s="2"/>
      <c r="AK1597" s="2"/>
      <c r="AL1597" s="2"/>
      <c r="AM1597" s="2"/>
      <c r="AN1597" s="2"/>
      <c r="AO1597" s="2"/>
      <c r="AP1597" s="2"/>
      <c r="AQ1597" s="2"/>
      <c r="AR1597" s="2"/>
      <c r="AS1597" s="2"/>
      <c r="AT1597" s="2"/>
      <c r="AU1597" s="2"/>
    </row>
    <row r="1598" spans="1:47" hidden="1" outlineLevel="1">
      <c r="A1598" s="298"/>
      <c r="B1598" s="6" t="s">
        <v>731</v>
      </c>
      <c r="C1598" s="18"/>
      <c r="D1598" s="18"/>
      <c r="E1598" s="18"/>
      <c r="F1598" s="18"/>
      <c r="G1598" s="18"/>
      <c r="H1598" s="18"/>
      <c r="I1598" s="18"/>
      <c r="J1598" s="18"/>
      <c r="K1598" s="2"/>
      <c r="L1598" s="2"/>
      <c r="M1598" s="2"/>
      <c r="N1598" s="2"/>
      <c r="O1598" s="2"/>
      <c r="P1598" s="2"/>
      <c r="Q1598" s="2"/>
      <c r="R1598" s="2"/>
      <c r="S1598" s="2"/>
      <c r="T1598" s="2"/>
      <c r="U1598" s="2"/>
      <c r="V1598" s="2"/>
      <c r="W1598" s="2"/>
      <c r="X1598" s="2"/>
      <c r="Y1598" s="2"/>
      <c r="Z1598" s="2"/>
      <c r="AA1598" s="2"/>
      <c r="AB1598" s="2"/>
      <c r="AC1598" s="2"/>
      <c r="AD1598" s="2"/>
      <c r="AE1598" s="2"/>
      <c r="AF1598" s="2"/>
      <c r="AG1598" s="2"/>
      <c r="AH1598" s="2"/>
      <c r="AI1598" s="2"/>
      <c r="AJ1598" s="2"/>
      <c r="AK1598" s="2"/>
      <c r="AL1598" s="2"/>
      <c r="AM1598" s="2"/>
      <c r="AN1598" s="2"/>
      <c r="AO1598" s="2"/>
      <c r="AP1598" s="2"/>
      <c r="AQ1598" s="2"/>
      <c r="AR1598" s="2"/>
      <c r="AS1598" s="2"/>
      <c r="AT1598" s="2"/>
      <c r="AU1598" s="2"/>
    </row>
    <row r="1599" spans="1:47" hidden="1" outlineLevel="1">
      <c r="A1599" s="298"/>
      <c r="B1599" s="55" t="s">
        <v>375</v>
      </c>
      <c r="C1599" s="18" t="s">
        <v>732</v>
      </c>
      <c r="D1599" s="18"/>
      <c r="E1599" s="18"/>
      <c r="F1599" s="18"/>
      <c r="G1599" s="18"/>
      <c r="H1599" s="18"/>
      <c r="I1599" s="18"/>
      <c r="J1599" s="18"/>
      <c r="K1599" s="19">
        <v>5947</v>
      </c>
      <c r="L1599" s="19">
        <v>5123</v>
      </c>
      <c r="M1599" s="19">
        <v>4590</v>
      </c>
      <c r="N1599" s="19">
        <v>4907</v>
      </c>
      <c r="O1599" s="19">
        <v>4785</v>
      </c>
      <c r="P1599" s="19">
        <v>4065</v>
      </c>
      <c r="Q1599" s="19">
        <v>3565</v>
      </c>
      <c r="R1599" s="19">
        <v>3144</v>
      </c>
      <c r="S1599" s="19">
        <v>3056</v>
      </c>
      <c r="T1599" s="19">
        <v>2917</v>
      </c>
      <c r="U1599" s="19">
        <v>2637</v>
      </c>
      <c r="V1599" s="19">
        <v>2318</v>
      </c>
      <c r="W1599" s="19">
        <v>2122.5346571616892</v>
      </c>
      <c r="X1599" s="19">
        <v>996.98720031216703</v>
      </c>
      <c r="Y1599" s="19">
        <v>49.983082871862933</v>
      </c>
      <c r="Z1599" s="19">
        <v>114.98084676452261</v>
      </c>
      <c r="AA1599" s="19">
        <v>201.81876246382399</v>
      </c>
      <c r="AB1599" s="19">
        <v>309.10136777354097</v>
      </c>
      <c r="AC1599" s="19">
        <v>399.77110232044629</v>
      </c>
      <c r="AD1599" s="19">
        <v>508.95858464171818</v>
      </c>
      <c r="AE1599" s="19">
        <v>658.25310280328881</v>
      </c>
      <c r="AF1599" s="19">
        <v>775.32811894473093</v>
      </c>
      <c r="AG1599" s="19">
        <v>840.54689600890526</v>
      </c>
      <c r="AH1599" s="19">
        <v>858.24262013540829</v>
      </c>
      <c r="AI1599" s="19">
        <v>832.49534153134618</v>
      </c>
      <c r="AJ1599" s="19">
        <v>403.76024064270291</v>
      </c>
      <c r="AK1599" s="2"/>
      <c r="AL1599" s="2"/>
      <c r="AM1599" s="2"/>
      <c r="AN1599" s="2"/>
      <c r="AO1599" s="2"/>
      <c r="AP1599" s="2"/>
      <c r="AQ1599" s="2"/>
      <c r="AR1599" s="2"/>
      <c r="AS1599" s="2"/>
      <c r="AT1599" s="2"/>
      <c r="AU1599" s="2"/>
    </row>
    <row r="1600" spans="1:47" hidden="1" outlineLevel="1">
      <c r="A1600" s="298"/>
      <c r="B1600" s="241" t="s">
        <v>1099</v>
      </c>
      <c r="C1600" s="18" t="s">
        <v>733</v>
      </c>
      <c r="D1600" s="18"/>
      <c r="E1600" s="18"/>
      <c r="F1600" s="18"/>
      <c r="G1600" s="18"/>
      <c r="H1600" s="18"/>
      <c r="I1600" s="18"/>
      <c r="J1600" s="18"/>
      <c r="K1600" s="19"/>
      <c r="L1600" s="2">
        <v>-0.1385572557592063</v>
      </c>
      <c r="M1600" s="2">
        <v>-0.1040406012102284</v>
      </c>
      <c r="N1600" s="2">
        <v>6.9063180827886761E-2</v>
      </c>
      <c r="O1600" s="2">
        <v>-2.4862441410230307E-2</v>
      </c>
      <c r="P1600" s="2">
        <v>-0.15047021943573669</v>
      </c>
      <c r="Q1600" s="2">
        <v>-0.12300123001230012</v>
      </c>
      <c r="R1600" s="2">
        <v>-0.11809256661991585</v>
      </c>
      <c r="S1600" s="2">
        <v>-2.7989821882951627E-2</v>
      </c>
      <c r="T1600" s="2">
        <v>-4.5484293193717273E-2</v>
      </c>
      <c r="U1600" s="2">
        <v>-9.5989029825162886E-2</v>
      </c>
      <c r="V1600" s="2">
        <v>-0.12097080015168749</v>
      </c>
      <c r="W1600" s="2">
        <v>-8.4324996910401517E-2</v>
      </c>
      <c r="X1600" s="2">
        <v>-0.53028460715672587</v>
      </c>
      <c r="Y1600" s="2">
        <v>-0.9498658730461006</v>
      </c>
      <c r="Z1600" s="2">
        <v>1.3003952569169956</v>
      </c>
      <c r="AA1600" s="2">
        <v>0.75523809523809526</v>
      </c>
      <c r="AB1600" s="2">
        <v>0.53157894736842115</v>
      </c>
      <c r="AC1600" s="2">
        <v>0.29333333333333322</v>
      </c>
      <c r="AD1600" s="2">
        <v>0.27312500000000006</v>
      </c>
      <c r="AE1600" s="2">
        <v>0.29333333333333322</v>
      </c>
      <c r="AF1600" s="2">
        <v>0.17785714285714294</v>
      </c>
      <c r="AG1600" s="2">
        <v>8.4117647058823408E-2</v>
      </c>
      <c r="AH1600" s="2">
        <v>2.105263157894699E-2</v>
      </c>
      <c r="AI1600" s="2">
        <v>-2.9999999999999805E-2</v>
      </c>
      <c r="AJ1600" s="2">
        <v>-0.51500000000000001</v>
      </c>
      <c r="AK1600" s="2"/>
      <c r="AL1600" s="2"/>
      <c r="AM1600" s="2"/>
      <c r="AN1600" s="2"/>
      <c r="AO1600" s="2"/>
      <c r="AP1600" s="2"/>
      <c r="AQ1600" s="2"/>
      <c r="AR1600" s="2"/>
      <c r="AS1600" s="2"/>
      <c r="AT1600" s="2"/>
      <c r="AU1600" s="2"/>
    </row>
    <row r="1601" spans="1:47" hidden="1" outlineLevel="1">
      <c r="A1601" s="298"/>
      <c r="B1601" s="55" t="s">
        <v>376</v>
      </c>
      <c r="C1601" s="18" t="s">
        <v>732</v>
      </c>
      <c r="D1601" s="18"/>
      <c r="E1601" s="18"/>
      <c r="F1601" s="18"/>
      <c r="G1601" s="18"/>
      <c r="H1601" s="18"/>
      <c r="I1601" s="18"/>
      <c r="J1601" s="18"/>
      <c r="K1601" s="19">
        <v>297</v>
      </c>
      <c r="L1601" s="19">
        <v>360</v>
      </c>
      <c r="M1601" s="19">
        <v>286</v>
      </c>
      <c r="N1601" s="19">
        <v>276</v>
      </c>
      <c r="O1601" s="19">
        <v>308</v>
      </c>
      <c r="P1601" s="19">
        <v>313</v>
      </c>
      <c r="Q1601" s="19">
        <v>319</v>
      </c>
      <c r="R1601" s="19">
        <v>410</v>
      </c>
      <c r="S1601" s="19">
        <v>332</v>
      </c>
      <c r="T1601" s="19">
        <v>263</v>
      </c>
      <c r="U1601" s="19">
        <v>217</v>
      </c>
      <c r="V1601" s="19">
        <v>195</v>
      </c>
      <c r="W1601" s="19">
        <v>175.03326572008115</v>
      </c>
      <c r="X1601" s="19">
        <v>159.21561104079359</v>
      </c>
      <c r="Y1601" s="19">
        <v>147.76126655050089</v>
      </c>
      <c r="Z1601" s="19">
        <v>143.72794798331452</v>
      </c>
      <c r="AA1601" s="19">
        <v>147.78601564718247</v>
      </c>
      <c r="AB1601" s="19">
        <v>142.53746624464861</v>
      </c>
      <c r="AC1601" s="19">
        <v>123.35138541088777</v>
      </c>
      <c r="AD1601" s="19">
        <v>102.86350720852843</v>
      </c>
      <c r="AE1601" s="19">
        <v>78.674320968788123</v>
      </c>
      <c r="AF1601" s="19">
        <v>59.231710347193115</v>
      </c>
      <c r="AG1601" s="19">
        <v>46.447824933501579</v>
      </c>
      <c r="AH1601" s="19">
        <v>39.459841236068861</v>
      </c>
      <c r="AI1601" s="19">
        <v>37.486849174265416</v>
      </c>
      <c r="AJ1601" s="19">
        <v>17.806253357776072</v>
      </c>
      <c r="AK1601" s="2"/>
      <c r="AL1601" s="2"/>
      <c r="AM1601" s="2"/>
      <c r="AN1601" s="2"/>
      <c r="AO1601" s="2"/>
      <c r="AP1601" s="2"/>
      <c r="AQ1601" s="2"/>
      <c r="AR1601" s="2"/>
      <c r="AS1601" s="2"/>
      <c r="AT1601" s="2"/>
      <c r="AU1601" s="2"/>
    </row>
    <row r="1602" spans="1:47" hidden="1" outlineLevel="1">
      <c r="A1602" s="298"/>
      <c r="B1602" s="241" t="s">
        <v>1099</v>
      </c>
      <c r="C1602" s="18" t="s">
        <v>733</v>
      </c>
      <c r="D1602" s="18"/>
      <c r="E1602" s="18"/>
      <c r="F1602" s="18"/>
      <c r="G1602" s="18"/>
      <c r="H1602" s="18"/>
      <c r="I1602" s="18"/>
      <c r="J1602" s="18"/>
      <c r="K1602" s="6"/>
      <c r="L1602" s="2">
        <v>0.21212121212121215</v>
      </c>
      <c r="M1602" s="2">
        <v>-0.2055555555555556</v>
      </c>
      <c r="N1602" s="2">
        <v>-3.4965034965035002E-2</v>
      </c>
      <c r="O1602" s="2">
        <v>0.11594202898550732</v>
      </c>
      <c r="P1602" s="2">
        <v>1.6233766233766156E-2</v>
      </c>
      <c r="Q1602" s="2">
        <v>1.9169329073482455E-2</v>
      </c>
      <c r="R1602" s="2">
        <v>0.28526645768025083</v>
      </c>
      <c r="S1602" s="2">
        <v>-0.19024390243902434</v>
      </c>
      <c r="T1602" s="2">
        <v>-0.20783132530120485</v>
      </c>
      <c r="U1602" s="2">
        <v>-0.17490494296577952</v>
      </c>
      <c r="V1602" s="2">
        <v>-0.10138248847926268</v>
      </c>
      <c r="W1602" s="2">
        <v>-0.102393509127789</v>
      </c>
      <c r="X1602" s="2">
        <v>-9.0369419859786304E-2</v>
      </c>
      <c r="Y1602" s="2">
        <v>-7.1942345448512079E-2</v>
      </c>
      <c r="Z1602" s="2">
        <v>-2.7296182966920379E-2</v>
      </c>
      <c r="AA1602" s="2">
        <v>2.8234367225078882E-2</v>
      </c>
      <c r="AB1602" s="2">
        <v>-3.5514519960156421E-2</v>
      </c>
      <c r="AC1602" s="2">
        <v>-0.13460377358490583</v>
      </c>
      <c r="AD1602" s="2">
        <v>-0.16609362054681021</v>
      </c>
      <c r="AE1602" s="2">
        <v>-0.23515809344030203</v>
      </c>
      <c r="AF1602" s="2">
        <v>-0.24712778429073867</v>
      </c>
      <c r="AG1602" s="2">
        <v>-0.21582840236686396</v>
      </c>
      <c r="AH1602" s="2">
        <v>-0.15044802867383511</v>
      </c>
      <c r="AI1602" s="2">
        <v>-5.0000000000000044E-2</v>
      </c>
      <c r="AJ1602" s="2">
        <v>-0.52500000000000002</v>
      </c>
      <c r="AK1602" s="2"/>
      <c r="AL1602" s="2"/>
      <c r="AM1602" s="2"/>
      <c r="AN1602" s="2"/>
      <c r="AO1602" s="2"/>
      <c r="AP1602" s="2"/>
      <c r="AQ1602" s="2"/>
      <c r="AR1602" s="2"/>
      <c r="AS1602" s="2"/>
      <c r="AT1602" s="6"/>
      <c r="AU1602" s="6"/>
    </row>
    <row r="1603" spans="1:47" hidden="1" outlineLevel="1">
      <c r="A1603" s="298"/>
      <c r="B1603" s="215" t="s">
        <v>144</v>
      </c>
      <c r="C1603" s="169" t="s">
        <v>732</v>
      </c>
      <c r="D1603" s="169"/>
      <c r="E1603" s="169"/>
      <c r="F1603" s="169"/>
      <c r="G1603" s="169"/>
      <c r="H1603" s="169"/>
      <c r="I1603" s="169"/>
      <c r="J1603" s="169"/>
      <c r="K1603" s="215">
        <v>6244</v>
      </c>
      <c r="L1603" s="215">
        <v>5483</v>
      </c>
      <c r="M1603" s="215">
        <v>4876</v>
      </c>
      <c r="N1603" s="215">
        <v>5183</v>
      </c>
      <c r="O1603" s="215">
        <v>5093</v>
      </c>
      <c r="P1603" s="215">
        <v>4378</v>
      </c>
      <c r="Q1603" s="215">
        <v>3884</v>
      </c>
      <c r="R1603" s="215">
        <v>3554</v>
      </c>
      <c r="S1603" s="215">
        <v>3388</v>
      </c>
      <c r="T1603" s="215">
        <v>3180</v>
      </c>
      <c r="U1603" s="215">
        <v>2854</v>
      </c>
      <c r="V1603" s="215">
        <v>2513</v>
      </c>
      <c r="W1603" s="215">
        <v>2297.5679228817703</v>
      </c>
      <c r="X1603" s="215">
        <v>1156.2028113529607</v>
      </c>
      <c r="Y1603" s="215">
        <v>197.74434942236383</v>
      </c>
      <c r="Z1603" s="215">
        <v>258.70879474783715</v>
      </c>
      <c r="AA1603" s="215">
        <v>349.60477811100645</v>
      </c>
      <c r="AB1603" s="215">
        <v>451.63883401818958</v>
      </c>
      <c r="AC1603" s="215">
        <v>523.1224877313341</v>
      </c>
      <c r="AD1603" s="215">
        <v>611.82209185024658</v>
      </c>
      <c r="AE1603" s="215">
        <v>736.92742377207696</v>
      </c>
      <c r="AF1603" s="215">
        <v>834.55982929192407</v>
      </c>
      <c r="AG1603" s="215">
        <v>886.99472094240684</v>
      </c>
      <c r="AH1603" s="215">
        <v>897.70246137147717</v>
      </c>
      <c r="AI1603" s="215">
        <v>869.98219070561163</v>
      </c>
      <c r="AJ1603" s="215">
        <v>421.566494000479</v>
      </c>
      <c r="AK1603" s="2"/>
      <c r="AL1603" s="2"/>
      <c r="AM1603" s="2"/>
      <c r="AN1603" s="2"/>
      <c r="AO1603" s="2"/>
      <c r="AP1603" s="2"/>
      <c r="AQ1603" s="2"/>
      <c r="AR1603" s="2"/>
      <c r="AS1603" s="2"/>
      <c r="AT1603" s="6"/>
      <c r="AU1603" s="6"/>
    </row>
    <row r="1604" spans="1:47" hidden="1" outlineLevel="1">
      <c r="A1604" s="298"/>
      <c r="B1604" s="241" t="s">
        <v>1099</v>
      </c>
      <c r="C1604" s="18" t="s">
        <v>733</v>
      </c>
      <c r="D1604" s="18"/>
      <c r="E1604" s="18"/>
      <c r="F1604" s="18"/>
      <c r="G1604" s="18"/>
      <c r="H1604" s="18"/>
      <c r="I1604" s="18"/>
      <c r="J1604" s="18"/>
      <c r="K1604" s="2"/>
      <c r="L1604" s="2">
        <v>-0.12187700192184492</v>
      </c>
      <c r="M1604" s="2">
        <v>-0.11070581798285606</v>
      </c>
      <c r="N1604" s="2">
        <v>6.2961443806398787E-2</v>
      </c>
      <c r="O1604" s="2">
        <v>-1.7364460737024912E-2</v>
      </c>
      <c r="P1604" s="2">
        <v>-0.14038876889848817</v>
      </c>
      <c r="Q1604" s="2">
        <v>-0.11283691183188671</v>
      </c>
      <c r="R1604" s="2">
        <v>-8.4963954685890797E-2</v>
      </c>
      <c r="S1604" s="2">
        <v>-4.6707934721440636E-2</v>
      </c>
      <c r="T1604" s="2">
        <v>-6.1393152302243181E-2</v>
      </c>
      <c r="U1604" s="2">
        <v>-0.10251572327044023</v>
      </c>
      <c r="V1604" s="2">
        <v>-0.11948142957252983</v>
      </c>
      <c r="W1604" s="2">
        <v>-8.5727050186322984E-2</v>
      </c>
      <c r="X1604" s="2">
        <v>-0.49677099865549557</v>
      </c>
      <c r="Y1604" s="2">
        <v>-0.82897087995230856</v>
      </c>
      <c r="Z1604" s="2">
        <v>0.30829930414476148</v>
      </c>
      <c r="AA1604" s="2">
        <v>0.35134477531683994</v>
      </c>
      <c r="AB1604" s="2">
        <v>0.29185543875714792</v>
      </c>
      <c r="AC1604" s="2">
        <v>0.15827614529326661</v>
      </c>
      <c r="AD1604" s="2">
        <v>0.16955800256949938</v>
      </c>
      <c r="AE1604" s="2">
        <v>0.20447991922536191</v>
      </c>
      <c r="AF1604" s="2">
        <v>0.13248578132714961</v>
      </c>
      <c r="AG1604" s="2">
        <v>6.2829397977339552E-2</v>
      </c>
      <c r="AH1604" s="2">
        <v>1.2071932533818996E-2</v>
      </c>
      <c r="AI1604" s="2">
        <v>-3.0879129621094625E-2</v>
      </c>
      <c r="AJ1604" s="2">
        <v>-0.51543089214439963</v>
      </c>
      <c r="AK1604" s="2"/>
      <c r="AL1604" s="2"/>
      <c r="AM1604" s="2"/>
      <c r="AN1604" s="2"/>
      <c r="AO1604" s="2"/>
      <c r="AP1604" s="2"/>
      <c r="AQ1604" s="2"/>
      <c r="AR1604" s="2"/>
      <c r="AS1604" s="2"/>
      <c r="AT1604" s="2"/>
      <c r="AU1604" s="2"/>
    </row>
    <row r="1605" spans="1:47" ht="14.4" hidden="1" outlineLevel="1" thickBot="1">
      <c r="A1605" s="298"/>
      <c r="B1605" s="76"/>
      <c r="C1605" s="78"/>
      <c r="D1605" s="78"/>
      <c r="E1605" s="78"/>
      <c r="F1605" s="78"/>
      <c r="G1605" s="78"/>
      <c r="H1605" s="78"/>
      <c r="I1605" s="78"/>
      <c r="J1605" s="78"/>
      <c r="K1605" s="76"/>
      <c r="L1605" s="76"/>
      <c r="M1605" s="76"/>
      <c r="N1605" s="76"/>
      <c r="O1605" s="76"/>
      <c r="P1605" s="76"/>
      <c r="Q1605" s="76"/>
      <c r="R1605" s="76"/>
      <c r="S1605" s="76"/>
      <c r="T1605" s="76"/>
      <c r="U1605" s="76"/>
      <c r="V1605" s="76"/>
      <c r="W1605" s="76"/>
      <c r="X1605" s="76"/>
      <c r="Y1605" s="76"/>
      <c r="Z1605" s="76"/>
      <c r="AA1605" s="76"/>
      <c r="AB1605" s="76"/>
      <c r="AC1605" s="76"/>
      <c r="AD1605" s="76"/>
      <c r="AE1605" s="76"/>
      <c r="AF1605" s="76"/>
      <c r="AG1605" s="76"/>
      <c r="AH1605" s="76"/>
      <c r="AI1605" s="76"/>
      <c r="AJ1605" s="76"/>
      <c r="AK1605" s="2"/>
      <c r="AL1605" s="2"/>
      <c r="AM1605" s="2"/>
      <c r="AN1605" s="2"/>
      <c r="AO1605" s="2"/>
      <c r="AP1605" s="2"/>
      <c r="AQ1605" s="2"/>
      <c r="AR1605" s="2"/>
      <c r="AS1605" s="2"/>
      <c r="AT1605" s="2"/>
      <c r="AU1605" s="2"/>
    </row>
    <row r="1606" spans="1:47" hidden="1" outlineLevel="1">
      <c r="A1606" s="298"/>
      <c r="B1606" s="2"/>
      <c r="C1606" s="18"/>
      <c r="D1606" s="18"/>
      <c r="E1606" s="18"/>
      <c r="F1606" s="18"/>
      <c r="G1606" s="18"/>
      <c r="H1606" s="18"/>
      <c r="I1606" s="18"/>
      <c r="J1606" s="18"/>
      <c r="K1606" s="2"/>
      <c r="L1606" s="2"/>
      <c r="M1606" s="2"/>
      <c r="N1606" s="2"/>
      <c r="O1606" s="2"/>
      <c r="P1606" s="2"/>
      <c r="Q1606" s="2"/>
      <c r="R1606" s="2"/>
      <c r="S1606" s="2"/>
      <c r="T1606" s="2"/>
      <c r="U1606" s="2"/>
      <c r="V1606" s="2"/>
      <c r="W1606" s="2"/>
      <c r="X1606" s="19"/>
      <c r="Y1606" s="2"/>
      <c r="Z1606" s="2"/>
      <c r="AA1606" s="2"/>
      <c r="AB1606" s="2"/>
      <c r="AC1606" s="2"/>
      <c r="AD1606" s="2"/>
      <c r="AE1606" s="2"/>
      <c r="AF1606" s="2"/>
      <c r="AG1606" s="2"/>
      <c r="AH1606" s="2"/>
      <c r="AI1606" s="2"/>
      <c r="AJ1606" s="2"/>
      <c r="AK1606" s="2"/>
      <c r="AL1606" s="2"/>
      <c r="AM1606" s="2"/>
      <c r="AN1606" s="2"/>
      <c r="AO1606" s="2"/>
      <c r="AP1606" s="2"/>
      <c r="AQ1606" s="2"/>
      <c r="AR1606" s="2"/>
      <c r="AS1606" s="2"/>
      <c r="AT1606" s="2"/>
      <c r="AU1606" s="2"/>
    </row>
    <row r="1607" spans="1:47" ht="15.6" hidden="1" outlineLevel="1">
      <c r="A1607" s="298"/>
      <c r="B1607" s="237" t="s">
        <v>822</v>
      </c>
      <c r="C1607" s="238"/>
      <c r="D1607" s="239"/>
      <c r="E1607" s="239"/>
      <c r="F1607" s="239"/>
      <c r="G1607" s="239"/>
      <c r="H1607" s="239"/>
      <c r="I1607" s="239"/>
      <c r="J1607" s="239"/>
      <c r="K1607" s="239"/>
      <c r="L1607" s="239"/>
      <c r="M1607" s="239"/>
      <c r="N1607" s="239"/>
      <c r="O1607" s="239"/>
      <c r="P1607" s="239"/>
      <c r="Q1607" s="239"/>
      <c r="R1607" s="239"/>
      <c r="S1607" s="239"/>
      <c r="T1607" s="239"/>
      <c r="U1607" s="239"/>
      <c r="V1607" s="239"/>
      <c r="W1607" s="239"/>
      <c r="X1607" s="239"/>
      <c r="Y1607" s="239"/>
      <c r="Z1607" s="239"/>
      <c r="AA1607" s="239"/>
      <c r="AB1607" s="239"/>
      <c r="AC1607" s="239"/>
      <c r="AD1607" s="239"/>
      <c r="AE1607" s="239"/>
      <c r="AF1607" s="239"/>
      <c r="AG1607" s="239"/>
      <c r="AH1607" s="239"/>
      <c r="AI1607" s="239"/>
      <c r="AJ1607" s="239"/>
      <c r="AK1607" s="239"/>
      <c r="AL1607" s="239"/>
      <c r="AM1607" s="239"/>
      <c r="AN1607" s="239"/>
      <c r="AO1607" s="270"/>
      <c r="AP1607" s="240"/>
      <c r="AQ1607" s="240"/>
      <c r="AR1607" s="240"/>
      <c r="AS1607" s="240"/>
      <c r="AT1607" s="2"/>
      <c r="AU1607" s="2"/>
    </row>
    <row r="1608" spans="1:47" hidden="1" outlineLevel="1">
      <c r="A1608" s="298"/>
      <c r="B1608" s="2"/>
      <c r="C1608" s="18"/>
      <c r="D1608" s="18"/>
      <c r="E1608" s="18"/>
      <c r="F1608" s="18"/>
      <c r="G1608" s="18"/>
      <c r="H1608" s="18"/>
      <c r="I1608" s="18"/>
      <c r="J1608" s="18"/>
      <c r="K1608" s="2"/>
      <c r="L1608" s="2"/>
      <c r="M1608" s="2"/>
      <c r="N1608" s="2"/>
      <c r="O1608" s="2"/>
      <c r="P1608" s="2"/>
      <c r="Q1608" s="2"/>
      <c r="R1608" s="2"/>
      <c r="S1608" s="2"/>
      <c r="T1608" s="2"/>
      <c r="U1608" s="2"/>
      <c r="V1608" s="2"/>
      <c r="W1608" s="2"/>
      <c r="X1608" s="2"/>
      <c r="Y1608" s="2"/>
      <c r="Z1608" s="2"/>
      <c r="AA1608" s="2"/>
      <c r="AB1608" s="2"/>
      <c r="AC1608" s="2"/>
      <c r="AD1608" s="2"/>
      <c r="AE1608" s="2"/>
      <c r="AF1608" s="2"/>
      <c r="AG1608" s="2"/>
      <c r="AH1608" s="2"/>
      <c r="AI1608" s="2"/>
      <c r="AJ1608" s="2"/>
      <c r="AK1608" s="2"/>
      <c r="AL1608" s="2"/>
      <c r="AM1608" s="2"/>
      <c r="AN1608" s="2"/>
      <c r="AO1608" s="2"/>
      <c r="AP1608" s="2"/>
      <c r="AQ1608" s="2"/>
      <c r="AR1608" s="2"/>
      <c r="AS1608" s="2"/>
      <c r="AT1608" s="2"/>
      <c r="AU1608" s="2"/>
    </row>
    <row r="1609" spans="1:47" hidden="1" outlineLevel="1">
      <c r="A1609" s="298"/>
      <c r="B1609" s="2" t="s">
        <v>372</v>
      </c>
      <c r="C1609" s="18" t="s">
        <v>733</v>
      </c>
      <c r="D1609" s="18"/>
      <c r="E1609" s="18"/>
      <c r="F1609" s="18"/>
      <c r="G1609" s="18"/>
      <c r="H1609" s="18"/>
      <c r="I1609" s="18"/>
      <c r="J1609" s="18"/>
      <c r="K1609" s="530">
        <v>5.5999999999999999E-3</v>
      </c>
      <c r="L1609" s="530">
        <v>1.677E-2</v>
      </c>
      <c r="M1609" s="530">
        <v>3.449E-2</v>
      </c>
      <c r="N1609" s="530">
        <v>7.5800000000000006E-2</v>
      </c>
      <c r="O1609" s="530">
        <v>0.12970999999999999</v>
      </c>
      <c r="P1609" s="530">
        <v>0.23485</v>
      </c>
      <c r="Q1609" s="530">
        <v>0.35803000000000001</v>
      </c>
      <c r="R1609" s="530">
        <v>0.47630099999999997</v>
      </c>
      <c r="S1609" s="530">
        <v>0.58172000000000001</v>
      </c>
      <c r="T1609" s="530">
        <v>0.615394</v>
      </c>
      <c r="U1609" s="530">
        <v>0.61453999999999998</v>
      </c>
      <c r="V1609" s="530">
        <v>0.62239999999999995</v>
      </c>
      <c r="W1609" s="530">
        <v>0.63034999999999997</v>
      </c>
      <c r="X1609" s="530">
        <v>0.63841000000000003</v>
      </c>
      <c r="Y1609" s="530">
        <v>0.64656999999999998</v>
      </c>
      <c r="Z1609" s="530">
        <v>0.65483000000000002</v>
      </c>
      <c r="AA1609" s="5">
        <v>0.67483000000000004</v>
      </c>
      <c r="AB1609" s="530">
        <v>0.65483000000000002</v>
      </c>
      <c r="AC1609" s="530">
        <v>0.65483000000000002</v>
      </c>
      <c r="AD1609" s="5">
        <v>0.67483000000000004</v>
      </c>
      <c r="AE1609" s="5">
        <v>0.69483000000000006</v>
      </c>
      <c r="AF1609" s="2">
        <v>0.69483000000000006</v>
      </c>
      <c r="AG1609" s="2">
        <v>0.69483000000000006</v>
      </c>
      <c r="AH1609" s="2">
        <v>0.69483000000000006</v>
      </c>
      <c r="AI1609" s="2">
        <v>0.69483000000000006</v>
      </c>
      <c r="AJ1609" s="2">
        <v>0.69483000000000006</v>
      </c>
      <c r="AK1609" s="2">
        <v>0.69483000000000006</v>
      </c>
      <c r="AL1609" s="2">
        <v>0.69483000000000006</v>
      </c>
      <c r="AM1609" s="2">
        <v>0.69483000000000006</v>
      </c>
      <c r="AN1609" s="2">
        <v>0.69483000000000006</v>
      </c>
      <c r="AO1609" s="2">
        <v>0.69483000000000006</v>
      </c>
      <c r="AP1609" s="2">
        <v>0.69483000000000006</v>
      </c>
      <c r="AQ1609" s="2">
        <v>0.69483000000000006</v>
      </c>
      <c r="AR1609" s="2">
        <v>0.69483000000000006</v>
      </c>
      <c r="AS1609" s="2">
        <v>0.69483000000000006</v>
      </c>
      <c r="AT1609" s="2"/>
      <c r="AU1609" s="2"/>
    </row>
    <row r="1610" spans="1:47" hidden="1" outlineLevel="1">
      <c r="A1610" s="298"/>
      <c r="B1610" s="2" t="s">
        <v>373</v>
      </c>
      <c r="C1610" s="18" t="s">
        <v>846</v>
      </c>
      <c r="D1610" s="18"/>
      <c r="E1610" s="18"/>
      <c r="F1610" s="18"/>
      <c r="G1610" s="18"/>
      <c r="H1610" s="18"/>
      <c r="I1610" s="18"/>
      <c r="J1610" s="18"/>
      <c r="K1610" s="19">
        <v>40.599440000000001</v>
      </c>
      <c r="L1610" s="19">
        <v>123.98060999999998</v>
      </c>
      <c r="M1610" s="19">
        <v>259.023349</v>
      </c>
      <c r="N1610" s="19">
        <v>579.49099999999999</v>
      </c>
      <c r="O1610" s="19">
        <v>1009.53293</v>
      </c>
      <c r="P1610" s="19">
        <v>1860.0119999999999</v>
      </c>
      <c r="Q1610" s="19">
        <v>2885.0057400000001</v>
      </c>
      <c r="R1610" s="19">
        <v>3898.9999859999998</v>
      </c>
      <c r="S1610" s="19">
        <v>4837.0017999999991</v>
      </c>
      <c r="T1610" s="19">
        <v>5197.0023300000003</v>
      </c>
      <c r="U1610" s="19">
        <v>5269.6804999999995</v>
      </c>
      <c r="V1610" s="19">
        <v>5418.6143999999995</v>
      </c>
      <c r="W1610" s="19">
        <v>5559.1688522999993</v>
      </c>
      <c r="X1610" s="19">
        <v>5703.4446955307394</v>
      </c>
      <c r="Y1610" s="19">
        <v>5851.4372078563474</v>
      </c>
      <c r="Z1610" s="19">
        <v>6003.2304050129742</v>
      </c>
      <c r="AA1610" s="19">
        <v>6267.0083134243987</v>
      </c>
      <c r="AB1610" s="19">
        <v>6160.3289414817582</v>
      </c>
      <c r="AC1610" s="19">
        <v>6240.4132177210213</v>
      </c>
      <c r="AD1610" s="19">
        <v>6514.6127794801205</v>
      </c>
      <c r="AE1610" s="19">
        <v>6794.8869000111617</v>
      </c>
      <c r="AF1610" s="19">
        <v>6883.2204297113058</v>
      </c>
      <c r="AG1610" s="19">
        <v>6972.7022952975522</v>
      </c>
      <c r="AH1610" s="19">
        <v>7063.3474251364196</v>
      </c>
      <c r="AI1610" s="19">
        <v>7155.1709416631929</v>
      </c>
      <c r="AJ1610" s="19">
        <v>7248.1881639048142</v>
      </c>
      <c r="AK1610" s="19">
        <v>7342.4146100355765</v>
      </c>
      <c r="AL1610" s="19">
        <v>7437.8659999660385</v>
      </c>
      <c r="AM1610" s="19">
        <v>7534.5582579655957</v>
      </c>
      <c r="AN1610" s="19">
        <v>7632.5075153191474</v>
      </c>
      <c r="AO1610" s="19">
        <v>7731.7301130182968</v>
      </c>
      <c r="AP1610" s="19">
        <v>7832.2426044875338</v>
      </c>
      <c r="AQ1610" s="19">
        <v>7832.2426044875338</v>
      </c>
      <c r="AR1610" s="19">
        <v>7832.2426044875338</v>
      </c>
      <c r="AS1610" s="19">
        <v>7832.2426044875338</v>
      </c>
      <c r="AT1610" s="2"/>
      <c r="AU1610" s="2"/>
    </row>
    <row r="1611" spans="1:47" hidden="1" outlineLevel="1">
      <c r="A1611" s="298"/>
      <c r="B1611" s="2" t="s">
        <v>374</v>
      </c>
      <c r="C1611" s="18" t="s">
        <v>733</v>
      </c>
      <c r="D1611" s="18"/>
      <c r="E1611" s="18"/>
      <c r="F1611" s="18"/>
      <c r="G1611" s="18"/>
      <c r="H1611" s="18"/>
      <c r="I1611" s="18"/>
      <c r="J1611" s="18"/>
      <c r="K1611" s="2">
        <v>0</v>
      </c>
      <c r="L1611" s="2">
        <v>0.54847286200640577</v>
      </c>
      <c r="M1611" s="2">
        <v>0.46327869847748748</v>
      </c>
      <c r="N1611" s="2">
        <v>0.41415656153417396</v>
      </c>
      <c r="O1611" s="2">
        <v>0.42296787683785614</v>
      </c>
      <c r="P1611" s="2">
        <v>0.46773891781343346</v>
      </c>
      <c r="Q1611" s="2">
        <v>0.49947907555982884</v>
      </c>
      <c r="R1611" s="2">
        <v>0.48986919898901482</v>
      </c>
      <c r="S1611" s="2">
        <v>0.46599114352200582</v>
      </c>
      <c r="T1611" s="2">
        <v>0.43755993467103177</v>
      </c>
      <c r="U1611" s="2">
        <v>0.42393461994517506</v>
      </c>
      <c r="V1611" s="2">
        <v>0.44217946196725127</v>
      </c>
      <c r="W1611" s="2">
        <v>0.46751593071772118</v>
      </c>
      <c r="X1611" s="2">
        <v>0.48602207051681579</v>
      </c>
      <c r="Y1611" s="2">
        <v>0.48602207051681579</v>
      </c>
      <c r="Z1611" s="530">
        <v>0.52</v>
      </c>
      <c r="AA1611" s="530">
        <v>0.52</v>
      </c>
      <c r="AB1611" s="530">
        <v>0.52</v>
      </c>
      <c r="AC1611" s="530">
        <v>0.52</v>
      </c>
      <c r="AD1611" s="587">
        <v>0.53</v>
      </c>
      <c r="AE1611" s="235">
        <v>0.53</v>
      </c>
      <c r="AF1611" s="235">
        <v>0.53</v>
      </c>
      <c r="AG1611" s="235">
        <v>0.53</v>
      </c>
      <c r="AH1611" s="235">
        <v>0.53</v>
      </c>
      <c r="AI1611" s="235">
        <v>0.53</v>
      </c>
      <c r="AJ1611" s="235">
        <v>0.53</v>
      </c>
      <c r="AK1611" s="235">
        <v>0.53</v>
      </c>
      <c r="AL1611" s="235">
        <v>0.53</v>
      </c>
      <c r="AM1611" s="235">
        <v>0.53</v>
      </c>
      <c r="AN1611" s="235">
        <v>0.53</v>
      </c>
      <c r="AO1611" s="236">
        <v>0.53</v>
      </c>
      <c r="AP1611" s="236">
        <v>0.53</v>
      </c>
      <c r="AQ1611" s="236">
        <v>0.53</v>
      </c>
      <c r="AR1611" s="236">
        <v>0.53</v>
      </c>
      <c r="AS1611" s="236">
        <v>0.53</v>
      </c>
      <c r="AT1611" s="2"/>
      <c r="AU1611" s="2"/>
    </row>
    <row r="1612" spans="1:47" hidden="1" outlineLevel="1">
      <c r="A1612" s="298"/>
      <c r="B1612" s="2"/>
      <c r="C1612" s="18"/>
      <c r="D1612" s="18"/>
      <c r="E1612" s="18"/>
      <c r="F1612" s="18"/>
      <c r="G1612" s="18"/>
      <c r="H1612" s="18"/>
      <c r="I1612" s="18"/>
      <c r="J1612" s="18"/>
      <c r="K1612" s="2"/>
      <c r="L1612" s="2"/>
      <c r="M1612" s="2"/>
      <c r="N1612" s="2"/>
      <c r="O1612" s="2"/>
      <c r="P1612" s="2"/>
      <c r="Q1612" s="2"/>
      <c r="R1612" s="2"/>
      <c r="S1612" s="2"/>
      <c r="T1612" s="2"/>
      <c r="U1612" s="2"/>
      <c r="V1612" s="2"/>
      <c r="W1612" s="2"/>
      <c r="X1612" s="2"/>
      <c r="Y1612" s="2"/>
      <c r="Z1612" s="2"/>
      <c r="AA1612" s="2"/>
      <c r="AB1612" s="2"/>
      <c r="AC1612" s="2"/>
      <c r="AD1612" s="2"/>
      <c r="AE1612" s="2"/>
      <c r="AF1612" s="2"/>
      <c r="AG1612" s="2"/>
      <c r="AH1612" s="2"/>
      <c r="AI1612" s="2"/>
      <c r="AJ1612" s="2"/>
      <c r="AK1612" s="2"/>
      <c r="AL1612" s="2"/>
      <c r="AM1612" s="2"/>
      <c r="AN1612" s="2"/>
      <c r="AO1612" s="2"/>
      <c r="AP1612" s="2"/>
      <c r="AQ1612" s="2"/>
      <c r="AR1612" s="2"/>
      <c r="AS1612" s="2"/>
      <c r="AT1612" s="2"/>
      <c r="AU1612" s="2"/>
    </row>
    <row r="1613" spans="1:47" hidden="1" outlineLevel="1">
      <c r="A1613" s="298"/>
      <c r="B1613" s="6" t="s">
        <v>367</v>
      </c>
      <c r="C1613" s="18"/>
      <c r="D1613" s="18"/>
      <c r="E1613" s="18"/>
      <c r="F1613" s="18"/>
      <c r="G1613" s="18"/>
      <c r="H1613" s="18"/>
      <c r="I1613" s="18"/>
      <c r="J1613" s="18"/>
      <c r="K1613" s="2"/>
      <c r="L1613" s="2"/>
      <c r="M1613" s="2"/>
      <c r="N1613" s="2"/>
      <c r="O1613" s="2"/>
      <c r="P1613" s="2"/>
      <c r="Q1613" s="2"/>
      <c r="R1613" s="2"/>
      <c r="S1613" s="2"/>
      <c r="T1613" s="2"/>
      <c r="U1613" s="2"/>
      <c r="V1613" s="2"/>
      <c r="W1613" s="2"/>
      <c r="X1613" s="2"/>
      <c r="Y1613" s="2"/>
      <c r="Z1613" s="19"/>
      <c r="AA1613" s="2"/>
      <c r="AB1613" s="19"/>
      <c r="AC1613" s="19"/>
      <c r="AD1613" s="2"/>
      <c r="AE1613" s="2"/>
      <c r="AF1613" s="2"/>
      <c r="AG1613" s="2"/>
      <c r="AH1613" s="2"/>
      <c r="AI1613" s="2"/>
      <c r="AJ1613" s="2"/>
      <c r="AK1613" s="2"/>
      <c r="AL1613" s="2"/>
      <c r="AM1613" s="2"/>
      <c r="AN1613" s="2"/>
      <c r="AO1613" s="2"/>
      <c r="AP1613" s="2"/>
      <c r="AQ1613" s="2"/>
      <c r="AR1613" s="2"/>
      <c r="AS1613" s="2"/>
      <c r="AT1613" s="2"/>
      <c r="AU1613" s="2"/>
    </row>
    <row r="1614" spans="1:47" hidden="1" outlineLevel="1">
      <c r="A1614" s="298"/>
      <c r="B1614" s="55" t="s">
        <v>368</v>
      </c>
      <c r="C1614" s="18" t="s">
        <v>846</v>
      </c>
      <c r="D1614" s="18"/>
      <c r="E1614" s="18"/>
      <c r="F1614" s="18"/>
      <c r="G1614" s="18"/>
      <c r="H1614" s="18"/>
      <c r="I1614" s="18"/>
      <c r="J1614" s="18"/>
      <c r="K1614" s="2"/>
      <c r="L1614" s="530">
        <v>68</v>
      </c>
      <c r="M1614" s="530">
        <v>120</v>
      </c>
      <c r="N1614" s="530">
        <v>240</v>
      </c>
      <c r="O1614" s="530">
        <v>427</v>
      </c>
      <c r="P1614" s="530">
        <v>870</v>
      </c>
      <c r="Q1614" s="530">
        <v>1441</v>
      </c>
      <c r="R1614" s="530">
        <v>1910</v>
      </c>
      <c r="S1614" s="530">
        <v>2254</v>
      </c>
      <c r="T1614" s="530">
        <v>2274</v>
      </c>
      <c r="U1614" s="530">
        <v>2234</v>
      </c>
      <c r="V1614" s="530">
        <v>2396</v>
      </c>
      <c r="W1614" s="570">
        <v>2599</v>
      </c>
      <c r="X1614" s="570">
        <v>2772</v>
      </c>
      <c r="Y1614" s="570">
        <v>2955</v>
      </c>
      <c r="Z1614" s="570">
        <v>3145</v>
      </c>
      <c r="AA1614" s="570">
        <v>3379</v>
      </c>
      <c r="AB1614" s="570">
        <v>3511</v>
      </c>
      <c r="AC1614" s="570">
        <v>3599</v>
      </c>
      <c r="AD1614" s="19">
        <v>3452.7447731244642</v>
      </c>
      <c r="AE1614" s="19">
        <v>3601.290057005916</v>
      </c>
      <c r="AF1614" s="19">
        <v>3648.1068277469922</v>
      </c>
      <c r="AG1614" s="19">
        <v>3695.5322165077027</v>
      </c>
      <c r="AH1614" s="19">
        <v>3743.5741353223025</v>
      </c>
      <c r="AI1614" s="19">
        <v>3792.2405990814923</v>
      </c>
      <c r="AJ1614" s="19">
        <v>3841.5397268695519</v>
      </c>
      <c r="AK1614" s="19">
        <v>3891.4797433188555</v>
      </c>
      <c r="AL1614" s="19">
        <v>3942.0689799820007</v>
      </c>
      <c r="AM1614" s="19">
        <v>3993.315876721766</v>
      </c>
      <c r="AN1614" s="19">
        <v>4045.2289831191483</v>
      </c>
      <c r="AO1614" s="19">
        <v>4097.8169598996974</v>
      </c>
      <c r="AP1614" s="19">
        <v>4151.0885803783931</v>
      </c>
      <c r="AQ1614" s="19">
        <v>4151.0885803783931</v>
      </c>
      <c r="AR1614" s="19">
        <v>4151.0885803783931</v>
      </c>
      <c r="AS1614" s="19">
        <v>4151.0885803783931</v>
      </c>
      <c r="AT1614" s="2"/>
      <c r="AU1614" s="2"/>
    </row>
    <row r="1615" spans="1:47" hidden="1" outlineLevel="1">
      <c r="A1615" s="298"/>
      <c r="B1615" s="241" t="s">
        <v>1099</v>
      </c>
      <c r="C1615" s="18" t="s">
        <v>733</v>
      </c>
      <c r="D1615" s="18"/>
      <c r="E1615" s="18"/>
      <c r="F1615" s="18"/>
      <c r="G1615" s="18"/>
      <c r="H1615" s="18"/>
      <c r="I1615" s="18"/>
      <c r="J1615" s="18"/>
      <c r="K1615" s="2"/>
      <c r="L1615" s="2"/>
      <c r="M1615" s="2">
        <v>0.76470588235294112</v>
      </c>
      <c r="N1615" s="2">
        <v>1</v>
      </c>
      <c r="O1615" s="2">
        <v>0.77916666666666656</v>
      </c>
      <c r="P1615" s="2">
        <v>1.0374707259953162</v>
      </c>
      <c r="Q1615" s="2">
        <v>0.65632183908045971</v>
      </c>
      <c r="R1615" s="2">
        <v>0.32546842470506587</v>
      </c>
      <c r="S1615" s="2">
        <v>0.18010471204188483</v>
      </c>
      <c r="T1615" s="2">
        <v>8.8731144631766234E-3</v>
      </c>
      <c r="U1615" s="2">
        <v>-1.7590149516270914E-2</v>
      </c>
      <c r="V1615" s="2">
        <v>7.2515666965085046E-2</v>
      </c>
      <c r="W1615" s="2">
        <v>8.4724540901502499E-2</v>
      </c>
      <c r="X1615" s="2">
        <v>6.6564063101192783E-2</v>
      </c>
      <c r="Y1615" s="2">
        <v>6.6017316017316086E-2</v>
      </c>
      <c r="Z1615" s="2">
        <v>6.4297800338409372E-2</v>
      </c>
      <c r="AA1615" s="2">
        <v>7.4403815580286192E-2</v>
      </c>
      <c r="AB1615" s="2">
        <v>3.9064812074578237E-2</v>
      </c>
      <c r="AC1615" s="2">
        <v>2.506408430646534E-2</v>
      </c>
      <c r="AD1615" s="2">
        <v>-4.0637740171029613E-2</v>
      </c>
      <c r="AE1615" s="2">
        <v>4.3022376005808827E-2</v>
      </c>
      <c r="AF1615" s="530">
        <v>0</v>
      </c>
      <c r="AG1615" s="530">
        <v>0</v>
      </c>
      <c r="AH1615" s="530">
        <v>0</v>
      </c>
      <c r="AI1615" s="530">
        <v>0</v>
      </c>
      <c r="AJ1615" s="530">
        <v>0</v>
      </c>
      <c r="AK1615" s="530">
        <v>0</v>
      </c>
      <c r="AL1615" s="530">
        <v>0</v>
      </c>
      <c r="AM1615" s="530">
        <v>0</v>
      </c>
      <c r="AN1615" s="530">
        <v>0</v>
      </c>
      <c r="AO1615" s="530">
        <v>0</v>
      </c>
      <c r="AP1615" s="530">
        <v>0</v>
      </c>
      <c r="AQ1615" s="530">
        <v>0</v>
      </c>
      <c r="AR1615" s="530">
        <v>0</v>
      </c>
      <c r="AS1615" s="530">
        <v>0</v>
      </c>
      <c r="AT1615" s="2"/>
      <c r="AU1615" s="2"/>
    </row>
    <row r="1616" spans="1:47" hidden="1" outlineLevel="1">
      <c r="A1616" s="298"/>
      <c r="B1616" s="55" t="s">
        <v>369</v>
      </c>
      <c r="C1616" s="18" t="s">
        <v>846</v>
      </c>
      <c r="D1616" s="18"/>
      <c r="E1616" s="18"/>
      <c r="F1616" s="18"/>
      <c r="G1616" s="18"/>
      <c r="H1616" s="18"/>
      <c r="I1616" s="18"/>
      <c r="J1616" s="18"/>
      <c r="K1616" s="2"/>
      <c r="L1616" s="2">
        <v>68</v>
      </c>
      <c r="M1616" s="2">
        <v>94</v>
      </c>
      <c r="N1616" s="2">
        <v>180</v>
      </c>
      <c r="O1616" s="2">
        <v>333.5</v>
      </c>
      <c r="P1616" s="2">
        <v>648.5</v>
      </c>
      <c r="Q1616" s="2">
        <v>1155.5</v>
      </c>
      <c r="R1616" s="2">
        <v>1675.5</v>
      </c>
      <c r="S1616" s="2">
        <v>2082</v>
      </c>
      <c r="T1616" s="2">
        <v>2264</v>
      </c>
      <c r="U1616" s="2">
        <v>2254</v>
      </c>
      <c r="V1616" s="2">
        <v>2315</v>
      </c>
      <c r="W1616" s="19">
        <v>2497.5</v>
      </c>
      <c r="X1616" s="19">
        <v>2685.5</v>
      </c>
      <c r="Y1616" s="19">
        <v>2863.5</v>
      </c>
      <c r="Z1616" s="19">
        <v>3050</v>
      </c>
      <c r="AA1616" s="19">
        <v>3262</v>
      </c>
      <c r="AB1616" s="19">
        <v>3445</v>
      </c>
      <c r="AC1616" s="19">
        <v>3555</v>
      </c>
      <c r="AD1616" s="19">
        <v>3525.8723865622324</v>
      </c>
      <c r="AE1616" s="19">
        <v>3527.0174150651901</v>
      </c>
      <c r="AF1616" s="19">
        <v>3624.6984423764543</v>
      </c>
      <c r="AG1616" s="19">
        <v>3671.8195221273472</v>
      </c>
      <c r="AH1616" s="19">
        <v>3719.5531759150026</v>
      </c>
      <c r="AI1616" s="19">
        <v>3767.9073672018976</v>
      </c>
      <c r="AJ1616" s="19">
        <v>3816.8901629755219</v>
      </c>
      <c r="AK1616" s="19">
        <v>3866.5097350942037</v>
      </c>
      <c r="AL1616" s="19">
        <v>3916.7743616504281</v>
      </c>
      <c r="AM1616" s="19">
        <v>3967.6924283518833</v>
      </c>
      <c r="AN1616" s="19">
        <v>4019.2724299204574</v>
      </c>
      <c r="AO1616" s="19">
        <v>4071.5229715094229</v>
      </c>
      <c r="AP1616" s="19">
        <v>4124.4527701390452</v>
      </c>
      <c r="AQ1616" s="19">
        <v>4124.4527701390452</v>
      </c>
      <c r="AR1616" s="19">
        <v>4124.4527701390452</v>
      </c>
      <c r="AS1616" s="19">
        <v>4124.4527701390452</v>
      </c>
      <c r="AT1616" s="2"/>
      <c r="AU1616" s="2"/>
    </row>
    <row r="1617" spans="1:47" hidden="1" outlineLevel="1">
      <c r="A1617" s="298"/>
      <c r="B1617" s="2"/>
      <c r="C1617" s="18"/>
      <c r="D1617" s="18"/>
      <c r="E1617" s="18"/>
      <c r="F1617" s="18"/>
      <c r="G1617" s="18"/>
      <c r="H1617" s="18"/>
      <c r="I1617" s="18"/>
      <c r="J1617" s="18"/>
      <c r="K1617" s="2"/>
      <c r="L1617" s="2"/>
      <c r="M1617" s="2"/>
      <c r="N1617" s="2"/>
      <c r="O1617" s="2"/>
      <c r="P1617" s="2"/>
      <c r="Q1617" s="2"/>
      <c r="R1617" s="2"/>
      <c r="S1617" s="2"/>
      <c r="T1617" s="2"/>
      <c r="U1617" s="2"/>
      <c r="V1617" s="2"/>
      <c r="W1617" s="2"/>
      <c r="X1617" s="2"/>
      <c r="Y1617" s="2"/>
      <c r="Z1617" s="2"/>
      <c r="AA1617" s="2"/>
      <c r="AB1617" s="2"/>
      <c r="AC1617" s="2"/>
      <c r="AD1617" s="2"/>
      <c r="AE1617" s="2"/>
      <c r="AF1617" s="2"/>
      <c r="AG1617" s="2"/>
      <c r="AH1617" s="2"/>
      <c r="AI1617" s="2"/>
      <c r="AJ1617" s="2"/>
      <c r="AK1617" s="2"/>
      <c r="AL1617" s="2"/>
      <c r="AM1617" s="2"/>
      <c r="AN1617" s="2"/>
      <c r="AO1617" s="2"/>
      <c r="AP1617" s="2"/>
      <c r="AQ1617" s="2"/>
      <c r="AR1617" s="2"/>
      <c r="AS1617" s="2"/>
      <c r="AT1617" s="2"/>
      <c r="AU1617" s="2"/>
    </row>
    <row r="1618" spans="1:47" hidden="1" outlineLevel="1">
      <c r="A1618" s="298"/>
      <c r="B1618" s="6" t="s">
        <v>684</v>
      </c>
      <c r="C1618" s="18"/>
      <c r="D1618" s="18"/>
      <c r="E1618" s="18"/>
      <c r="F1618" s="18"/>
      <c r="G1618" s="18"/>
      <c r="H1618" s="18"/>
      <c r="I1618" s="18"/>
      <c r="J1618" s="18"/>
      <c r="K1618" s="2"/>
      <c r="L1618" s="2"/>
      <c r="M1618" s="2"/>
      <c r="N1618" s="2"/>
      <c r="O1618" s="2"/>
      <c r="P1618" s="2"/>
      <c r="Q1618" s="2"/>
      <c r="R1618" s="2"/>
      <c r="S1618" s="2"/>
      <c r="T1618" s="2"/>
      <c r="U1618" s="2"/>
      <c r="V1618" s="2"/>
      <c r="W1618" s="2"/>
      <c r="X1618" s="2"/>
      <c r="Y1618" s="2"/>
      <c r="Z1618" s="2"/>
      <c r="AA1618" s="2"/>
      <c r="AB1618" s="2"/>
      <c r="AC1618" s="2"/>
      <c r="AD1618" s="2"/>
      <c r="AE1618" s="2"/>
      <c r="AF1618" s="2"/>
      <c r="AG1618" s="2"/>
      <c r="AH1618" s="2"/>
      <c r="AI1618" s="2"/>
      <c r="AJ1618" s="2"/>
      <c r="AK1618" s="2"/>
      <c r="AL1618" s="2"/>
      <c r="AM1618" s="2"/>
      <c r="AN1618" s="2"/>
      <c r="AO1618" s="2"/>
      <c r="AP1618" s="2"/>
      <c r="AQ1618" s="2"/>
      <c r="AR1618" s="2"/>
      <c r="AS1618" s="2"/>
      <c r="AT1618" s="2"/>
      <c r="AU1618" s="2"/>
    </row>
    <row r="1619" spans="1:47" hidden="1" outlineLevel="1">
      <c r="A1619" s="298"/>
      <c r="B1619" s="55" t="s">
        <v>370</v>
      </c>
      <c r="C1619" s="18" t="s">
        <v>306</v>
      </c>
      <c r="D1619" s="18"/>
      <c r="E1619" s="18"/>
      <c r="F1619" s="18"/>
      <c r="G1619" s="18"/>
      <c r="H1619" s="18"/>
      <c r="I1619" s="18"/>
      <c r="J1619" s="18"/>
      <c r="K1619" s="2"/>
      <c r="L1619" s="3">
        <v>63.725490196078425</v>
      </c>
      <c r="M1619" s="3">
        <v>101.95035460992908</v>
      </c>
      <c r="N1619" s="3">
        <v>98.148148148148152</v>
      </c>
      <c r="O1619" s="3">
        <v>67.466266866566713</v>
      </c>
      <c r="P1619" s="3">
        <v>70.804420457465952</v>
      </c>
      <c r="Q1619" s="3">
        <v>55.531515938266267</v>
      </c>
      <c r="R1619" s="3">
        <v>52.272953347259531</v>
      </c>
      <c r="S1619" s="3">
        <v>48.751200768491842</v>
      </c>
      <c r="T1619" s="3">
        <v>53.261189634864543</v>
      </c>
      <c r="U1619" s="3">
        <v>54.643596569062403</v>
      </c>
      <c r="V1619" s="3">
        <v>53.311735061195101</v>
      </c>
      <c r="W1619" s="3">
        <v>53.653653653653656</v>
      </c>
      <c r="X1619" s="92">
        <v>54.521194066902503</v>
      </c>
      <c r="Y1619" s="566">
        <v>54.98</v>
      </c>
      <c r="Z1619" s="566">
        <v>55.23</v>
      </c>
      <c r="AA1619" s="566">
        <v>55.45</v>
      </c>
      <c r="AB1619" s="566">
        <v>52.11</v>
      </c>
      <c r="AC1619" s="566">
        <v>51.52</v>
      </c>
      <c r="AD1619" s="3">
        <v>51.004800000000003</v>
      </c>
      <c r="AE1619" s="3">
        <v>50.494752000000005</v>
      </c>
      <c r="AF1619" s="3">
        <v>49.989804480000004</v>
      </c>
      <c r="AG1619" s="3">
        <v>49.989804480000004</v>
      </c>
      <c r="AH1619" s="3">
        <v>49.489906435200005</v>
      </c>
      <c r="AI1619" s="3">
        <v>48.995007370848008</v>
      </c>
      <c r="AJ1619" s="3">
        <v>48.50505729713953</v>
      </c>
      <c r="AK1619" s="3">
        <v>48.020006724168134</v>
      </c>
      <c r="AL1619" s="3">
        <v>47.539806656926451</v>
      </c>
      <c r="AM1619" s="3">
        <v>47.064408590357189</v>
      </c>
      <c r="AN1619" s="3">
        <v>46.593764504453617</v>
      </c>
      <c r="AO1619" s="3">
        <v>46.127826859409083</v>
      </c>
      <c r="AP1619" s="3">
        <v>45.66654859081499</v>
      </c>
      <c r="AQ1619" s="3">
        <v>45.66654859081499</v>
      </c>
      <c r="AR1619" s="3">
        <v>45.66654859081499</v>
      </c>
      <c r="AS1619" s="3">
        <v>45.66654859081499</v>
      </c>
      <c r="AT1619" s="2"/>
      <c r="AU1619" s="2"/>
    </row>
    <row r="1620" spans="1:47" hidden="1" outlineLevel="1">
      <c r="A1620" s="298"/>
      <c r="B1620" s="241" t="s">
        <v>1099</v>
      </c>
      <c r="C1620" s="18" t="s">
        <v>733</v>
      </c>
      <c r="D1620" s="18"/>
      <c r="E1620" s="18"/>
      <c r="F1620" s="18"/>
      <c r="G1620" s="18"/>
      <c r="H1620" s="18"/>
      <c r="I1620" s="18"/>
      <c r="J1620" s="18"/>
      <c r="K1620" s="2"/>
      <c r="L1620" s="2"/>
      <c r="M1620" s="2">
        <v>0.59983633387888724</v>
      </c>
      <c r="N1620" s="2">
        <v>-3.7294685990338139E-2</v>
      </c>
      <c r="O1620" s="2">
        <v>-0.31260784701988631</v>
      </c>
      <c r="P1620" s="2">
        <v>4.9478854336217681E-2</v>
      </c>
      <c r="Q1620" s="2">
        <v>-0.2157055226286968</v>
      </c>
      <c r="R1620" s="2">
        <v>-5.8679518034934319E-2</v>
      </c>
      <c r="S1620" s="2">
        <v>-6.73723666495748E-2</v>
      </c>
      <c r="T1620" s="2">
        <v>9.2510313495447916E-2</v>
      </c>
      <c r="U1620" s="2">
        <v>2.5955239521967766E-2</v>
      </c>
      <c r="V1620" s="2">
        <v>-2.4373606268467407E-2</v>
      </c>
      <c r="W1620" s="2">
        <v>6.413570897028098E-3</v>
      </c>
      <c r="X1620" s="2">
        <v>1.6169270015589543E-2</v>
      </c>
      <c r="Y1620" s="2">
        <v>8.4151849743880902E-3</v>
      </c>
      <c r="Z1620" s="2">
        <v>4.547108039286929E-3</v>
      </c>
      <c r="AA1620" s="2">
        <v>3.9833423863844253E-3</v>
      </c>
      <c r="AB1620" s="2">
        <v>-6.023444544634815E-2</v>
      </c>
      <c r="AC1620" s="2">
        <v>-1.1322203032047562E-2</v>
      </c>
      <c r="AD1620" s="587">
        <v>-0.01</v>
      </c>
      <c r="AE1620" s="587">
        <v>-0.01</v>
      </c>
      <c r="AF1620" s="587">
        <v>-0.01</v>
      </c>
      <c r="AG1620" s="587">
        <v>0</v>
      </c>
      <c r="AH1620" s="587">
        <v>-0.01</v>
      </c>
      <c r="AI1620" s="587">
        <v>-0.01</v>
      </c>
      <c r="AJ1620" s="587">
        <v>-0.01</v>
      </c>
      <c r="AK1620" s="587">
        <v>-0.01</v>
      </c>
      <c r="AL1620" s="587">
        <v>-0.01</v>
      </c>
      <c r="AM1620" s="587">
        <v>-0.01</v>
      </c>
      <c r="AN1620" s="587">
        <v>-0.01</v>
      </c>
      <c r="AO1620" s="587">
        <v>-0.01</v>
      </c>
      <c r="AP1620" s="587">
        <v>-0.01</v>
      </c>
      <c r="AQ1620" s="587">
        <v>-0.01</v>
      </c>
      <c r="AR1620" s="587">
        <v>-0.01</v>
      </c>
      <c r="AS1620" s="587">
        <v>-0.01</v>
      </c>
      <c r="AT1620" s="2"/>
      <c r="AU1620" s="2"/>
    </row>
    <row r="1621" spans="1:47" hidden="1" outlineLevel="1">
      <c r="A1621" s="298"/>
      <c r="B1621" s="2"/>
      <c r="C1621" s="18"/>
      <c r="D1621" s="18"/>
      <c r="E1621" s="18"/>
      <c r="F1621" s="18"/>
      <c r="G1621" s="18"/>
      <c r="H1621" s="18"/>
      <c r="I1621" s="18"/>
      <c r="J1621" s="18"/>
      <c r="K1621" s="2"/>
      <c r="L1621" s="2"/>
      <c r="M1621" s="2"/>
      <c r="N1621" s="2"/>
      <c r="O1621" s="2"/>
      <c r="P1621" s="2"/>
      <c r="Q1621" s="2"/>
      <c r="R1621" s="2"/>
      <c r="S1621" s="2"/>
      <c r="T1621" s="2"/>
      <c r="U1621" s="2"/>
      <c r="V1621" s="2"/>
      <c r="W1621" s="2"/>
      <c r="X1621" s="2"/>
      <c r="Y1621" s="2"/>
      <c r="Z1621" s="67"/>
      <c r="AA1621" s="2"/>
      <c r="AB1621" s="67"/>
      <c r="AC1621" s="67"/>
      <c r="AD1621" s="2"/>
      <c r="AE1621" s="2"/>
      <c r="AF1621" s="2"/>
      <c r="AG1621" s="2"/>
      <c r="AH1621" s="2"/>
      <c r="AI1621" s="2"/>
      <c r="AJ1621" s="2"/>
      <c r="AK1621" s="2"/>
      <c r="AL1621" s="2"/>
      <c r="AM1621" s="2"/>
      <c r="AN1621" s="2"/>
      <c r="AO1621" s="2"/>
      <c r="AP1621" s="2"/>
      <c r="AQ1621" s="2"/>
      <c r="AR1621" s="2"/>
      <c r="AS1621" s="2"/>
      <c r="AT1621" s="2"/>
      <c r="AU1621" s="2"/>
    </row>
    <row r="1622" spans="1:47" hidden="1" outlineLevel="1">
      <c r="A1622" s="298"/>
      <c r="B1622" s="173" t="s">
        <v>371</v>
      </c>
      <c r="C1622" s="169" t="s">
        <v>732</v>
      </c>
      <c r="D1622" s="169"/>
      <c r="E1622" s="169"/>
      <c r="F1622" s="169"/>
      <c r="G1622" s="169"/>
      <c r="H1622" s="169"/>
      <c r="I1622" s="169"/>
      <c r="J1622" s="169"/>
      <c r="K1622" s="173"/>
      <c r="L1622" s="591">
        <v>52</v>
      </c>
      <c r="M1622" s="591">
        <v>115</v>
      </c>
      <c r="N1622" s="591">
        <v>212</v>
      </c>
      <c r="O1622" s="591">
        <v>270</v>
      </c>
      <c r="P1622" s="591">
        <v>551</v>
      </c>
      <c r="Q1622" s="591">
        <v>770</v>
      </c>
      <c r="R1622" s="591">
        <v>1051</v>
      </c>
      <c r="S1622" s="591">
        <v>1218</v>
      </c>
      <c r="T1622" s="591">
        <v>1447</v>
      </c>
      <c r="U1622" s="591">
        <v>1478</v>
      </c>
      <c r="V1622" s="591">
        <v>1481</v>
      </c>
      <c r="W1622" s="585">
        <v>1608</v>
      </c>
      <c r="X1622" s="585">
        <v>1757</v>
      </c>
      <c r="Y1622" s="215">
        <v>1889.2227599999999</v>
      </c>
      <c r="Z1622" s="215">
        <v>2021.4179999999999</v>
      </c>
      <c r="AA1622" s="215">
        <v>2170.5348000000004</v>
      </c>
      <c r="AB1622" s="215">
        <v>2154.2274000000002</v>
      </c>
      <c r="AC1622" s="215">
        <v>2197.8432000000003</v>
      </c>
      <c r="AD1622" s="215">
        <v>2158.036990825552</v>
      </c>
      <c r="AE1622" s="215">
        <v>2137.1504360807744</v>
      </c>
      <c r="AF1622" s="215">
        <v>2174.3755972003141</v>
      </c>
      <c r="AG1622" s="215">
        <v>2202.6424799639176</v>
      </c>
      <c r="AH1622" s="215">
        <v>2208.9640638814139</v>
      </c>
      <c r="AI1622" s="215">
        <v>2215.3037907447538</v>
      </c>
      <c r="AJ1622" s="215">
        <v>2221.6617126241913</v>
      </c>
      <c r="AK1622" s="215">
        <v>2228.0378817394226</v>
      </c>
      <c r="AL1622" s="215">
        <v>2234.4323504600143</v>
      </c>
      <c r="AM1622" s="215">
        <v>2240.8451713058344</v>
      </c>
      <c r="AN1622" s="215">
        <v>2247.2763969474822</v>
      </c>
      <c r="AO1622" s="215">
        <v>2253.7260802067212</v>
      </c>
      <c r="AP1622" s="215">
        <v>2260.1942740569143</v>
      </c>
      <c r="AQ1622" s="215">
        <v>2260.1942740569143</v>
      </c>
      <c r="AR1622" s="215">
        <v>2260.1942740569143</v>
      </c>
      <c r="AS1622" s="215">
        <v>2260.1942740569143</v>
      </c>
      <c r="AT1622" s="2"/>
      <c r="AU1622" s="2"/>
    </row>
    <row r="1623" spans="1:47" hidden="1" outlineLevel="1">
      <c r="A1623" s="298"/>
      <c r="B1623" s="241" t="s">
        <v>1099</v>
      </c>
      <c r="C1623" s="18" t="s">
        <v>733</v>
      </c>
      <c r="D1623" s="18"/>
      <c r="E1623" s="18"/>
      <c r="F1623" s="18"/>
      <c r="G1623" s="18"/>
      <c r="H1623" s="18"/>
      <c r="I1623" s="18"/>
      <c r="J1623" s="18"/>
      <c r="K1623" s="2"/>
      <c r="L1623" s="2"/>
      <c r="M1623" s="2">
        <v>1.2115384615384617</v>
      </c>
      <c r="N1623" s="2">
        <v>0.84347826086956523</v>
      </c>
      <c r="O1623" s="2">
        <v>0.27358490566037741</v>
      </c>
      <c r="P1623" s="2">
        <v>1.0407407407407407</v>
      </c>
      <c r="Q1623" s="2">
        <v>0.39745916515426494</v>
      </c>
      <c r="R1623" s="2">
        <v>0.36493506493506489</v>
      </c>
      <c r="S1623" s="2">
        <v>0.15889628924833499</v>
      </c>
      <c r="T1623" s="2">
        <v>0.18801313628899829</v>
      </c>
      <c r="U1623" s="2">
        <v>2.14236351071182E-2</v>
      </c>
      <c r="V1623" s="2">
        <v>2.0297699594045149E-3</v>
      </c>
      <c r="W1623" s="2">
        <v>8.5752869682646837E-2</v>
      </c>
      <c r="X1623" s="2">
        <v>9.2661691542288649E-2</v>
      </c>
      <c r="Y1623" s="2">
        <v>7.5254843483209877E-2</v>
      </c>
      <c r="Z1623" s="2">
        <v>6.997334713456449E-2</v>
      </c>
      <c r="AA1623" s="2">
        <v>7.3768414053897002E-2</v>
      </c>
      <c r="AB1623" s="2">
        <v>-7.5130792650733857E-3</v>
      </c>
      <c r="AC1623" s="2">
        <v>2.0246609062720244E-2</v>
      </c>
      <c r="AD1623" s="2">
        <v>-1.8111487286467165E-2</v>
      </c>
      <c r="AE1623" s="2">
        <v>-9.6784970941520276E-3</v>
      </c>
      <c r="AF1623" s="2">
        <v>1.7418128593607696E-2</v>
      </c>
      <c r="AG1623" s="2">
        <v>1.2999999999999678E-2</v>
      </c>
      <c r="AH1623" s="2">
        <v>2.8699999999999282E-3</v>
      </c>
      <c r="AI1623" s="2">
        <v>2.8700000000001502E-3</v>
      </c>
      <c r="AJ1623" s="2">
        <v>2.8699999999999282E-3</v>
      </c>
      <c r="AK1623" s="2">
        <v>2.8699999999999282E-3</v>
      </c>
      <c r="AL1623" s="2">
        <v>2.8699999999997061E-3</v>
      </c>
      <c r="AM1623" s="2">
        <v>2.8699999999999282E-3</v>
      </c>
      <c r="AN1623" s="2">
        <v>2.8700000000001502E-3</v>
      </c>
      <c r="AO1623" s="2">
        <v>2.8699999999999282E-3</v>
      </c>
      <c r="AP1623" s="2">
        <v>2.8699999999999282E-3</v>
      </c>
      <c r="AQ1623" s="2">
        <v>2.8699999999999282E-3</v>
      </c>
      <c r="AR1623" s="2">
        <v>2.8699999999999282E-3</v>
      </c>
      <c r="AS1623" s="2">
        <v>2.8699999999999282E-3</v>
      </c>
      <c r="AT1623" s="2"/>
      <c r="AU1623" s="2"/>
    </row>
    <row r="1624" spans="1:47" hidden="1" outlineLevel="1">
      <c r="A1624" s="298"/>
      <c r="B1624" s="2"/>
      <c r="C1624" s="18"/>
      <c r="D1624" s="18"/>
      <c r="E1624" s="18"/>
      <c r="F1624" s="18"/>
      <c r="G1624" s="18"/>
      <c r="H1624" s="18"/>
      <c r="I1624" s="18"/>
      <c r="J1624" s="18"/>
      <c r="K1624" s="2"/>
      <c r="L1624" s="2"/>
      <c r="M1624" s="2"/>
      <c r="N1624" s="2"/>
      <c r="O1624" s="2"/>
      <c r="P1624" s="2"/>
      <c r="Q1624" s="2"/>
      <c r="R1624" s="2"/>
      <c r="S1624" s="2"/>
      <c r="T1624" s="2"/>
      <c r="U1624" s="2"/>
      <c r="V1624" s="2"/>
      <c r="W1624" s="2"/>
      <c r="X1624" s="2"/>
      <c r="Y1624" s="2"/>
      <c r="Z1624" s="67"/>
      <c r="AA1624" s="2"/>
      <c r="AB1624" s="2"/>
      <c r="AC1624" s="2"/>
      <c r="AD1624" s="2"/>
      <c r="AE1624" s="2"/>
      <c r="AF1624" s="2"/>
      <c r="AG1624" s="2"/>
      <c r="AH1624" s="2"/>
      <c r="AI1624" s="2"/>
      <c r="AJ1624" s="2"/>
      <c r="AK1624" s="2"/>
      <c r="AL1624" s="2"/>
      <c r="AM1624" s="2"/>
      <c r="AN1624" s="2"/>
      <c r="AO1624" s="2"/>
      <c r="AP1624" s="2"/>
      <c r="AQ1624" s="2"/>
      <c r="AR1624" s="2"/>
      <c r="AS1624" s="2"/>
      <c r="AT1624" s="2"/>
      <c r="AU1624" s="2"/>
    </row>
    <row r="1625" spans="1:47" ht="14.4" hidden="1" outlineLevel="1" thickBot="1">
      <c r="A1625" s="298"/>
      <c r="B1625" s="76"/>
      <c r="C1625" s="78"/>
      <c r="D1625" s="78"/>
      <c r="E1625" s="78"/>
      <c r="F1625" s="78"/>
      <c r="G1625" s="78"/>
      <c r="H1625" s="78"/>
      <c r="I1625" s="78"/>
      <c r="J1625" s="78"/>
      <c r="K1625" s="76"/>
      <c r="L1625" s="76"/>
      <c r="M1625" s="76"/>
      <c r="N1625" s="76"/>
      <c r="O1625" s="76"/>
      <c r="P1625" s="76"/>
      <c r="Q1625" s="76"/>
      <c r="R1625" s="76"/>
      <c r="S1625" s="76"/>
      <c r="T1625" s="76"/>
      <c r="U1625" s="76"/>
      <c r="V1625" s="76"/>
      <c r="W1625" s="76"/>
      <c r="X1625" s="76"/>
      <c r="Y1625" s="76"/>
      <c r="Z1625" s="76"/>
      <c r="AA1625" s="76"/>
      <c r="AB1625" s="76"/>
      <c r="AC1625" s="76"/>
      <c r="AD1625" s="76"/>
      <c r="AE1625" s="76"/>
      <c r="AF1625" s="76"/>
      <c r="AG1625" s="76"/>
      <c r="AH1625" s="76"/>
      <c r="AI1625" s="76"/>
      <c r="AJ1625" s="76"/>
      <c r="AK1625" s="76"/>
      <c r="AL1625" s="76"/>
      <c r="AM1625" s="76"/>
      <c r="AN1625" s="76"/>
      <c r="AO1625" s="76"/>
      <c r="AP1625" s="76"/>
      <c r="AQ1625" s="76"/>
      <c r="AR1625" s="76"/>
      <c r="AS1625" s="76"/>
      <c r="AT1625" s="2"/>
      <c r="AU1625" s="2"/>
    </row>
    <row r="1626" spans="1:47" hidden="1" outlineLevel="1">
      <c r="A1626" s="298"/>
      <c r="B1626" s="2"/>
      <c r="C1626" s="18"/>
      <c r="D1626" s="18"/>
      <c r="E1626" s="18"/>
      <c r="F1626" s="18"/>
      <c r="G1626" s="18"/>
      <c r="H1626" s="18"/>
      <c r="I1626" s="18"/>
      <c r="J1626" s="18"/>
      <c r="K1626" s="2"/>
      <c r="L1626" s="2"/>
      <c r="M1626" s="2"/>
      <c r="N1626" s="2"/>
      <c r="O1626" s="2"/>
      <c r="P1626" s="2"/>
      <c r="Q1626" s="2"/>
      <c r="R1626" s="2"/>
      <c r="S1626" s="2"/>
      <c r="T1626" s="2"/>
      <c r="U1626" s="2"/>
      <c r="V1626" s="2"/>
      <c r="W1626" s="2"/>
      <c r="X1626" s="2"/>
      <c r="Y1626" s="2"/>
      <c r="Z1626" s="2"/>
      <c r="AA1626" s="2"/>
      <c r="AB1626" s="2"/>
      <c r="AC1626" s="2"/>
      <c r="AD1626" s="2"/>
      <c r="AE1626" s="2"/>
      <c r="AF1626" s="2"/>
      <c r="AG1626" s="2"/>
      <c r="AH1626" s="2"/>
      <c r="AI1626" s="2"/>
      <c r="AJ1626" s="2"/>
      <c r="AK1626" s="2"/>
      <c r="AL1626" s="2"/>
      <c r="AM1626" s="2"/>
      <c r="AN1626" s="2"/>
      <c r="AO1626" s="2"/>
      <c r="AP1626" s="2"/>
      <c r="AQ1626" s="2"/>
      <c r="AR1626" s="2"/>
      <c r="AS1626" s="2"/>
      <c r="AT1626" s="2"/>
      <c r="AU1626" s="2"/>
    </row>
    <row r="1627" spans="1:47" ht="15.6" hidden="1" outlineLevel="1">
      <c r="A1627" s="298"/>
      <c r="B1627" s="237" t="s">
        <v>824</v>
      </c>
      <c r="C1627" s="238"/>
      <c r="D1627" s="239"/>
      <c r="E1627" s="239"/>
      <c r="F1627" s="239"/>
      <c r="G1627" s="239"/>
      <c r="H1627" s="239"/>
      <c r="I1627" s="239"/>
      <c r="J1627" s="239"/>
      <c r="K1627" s="239"/>
      <c r="L1627" s="239"/>
      <c r="M1627" s="239"/>
      <c r="N1627" s="239"/>
      <c r="O1627" s="239"/>
      <c r="P1627" s="239"/>
      <c r="Q1627" s="239"/>
      <c r="R1627" s="239"/>
      <c r="S1627" s="239"/>
      <c r="T1627" s="239"/>
      <c r="U1627" s="239"/>
      <c r="V1627" s="239"/>
      <c r="W1627" s="239"/>
      <c r="X1627" s="239"/>
      <c r="Y1627" s="239"/>
      <c r="Z1627" s="239"/>
      <c r="AA1627" s="239"/>
      <c r="AB1627" s="239"/>
      <c r="AC1627" s="239"/>
      <c r="AD1627" s="239"/>
      <c r="AE1627" s="239"/>
      <c r="AF1627" s="239"/>
      <c r="AG1627" s="239"/>
      <c r="AH1627" s="239"/>
      <c r="AI1627" s="239"/>
      <c r="AJ1627" s="239"/>
      <c r="AK1627" s="239"/>
      <c r="AL1627" s="239"/>
      <c r="AM1627" s="239"/>
      <c r="AN1627" s="239"/>
      <c r="AO1627" s="270"/>
      <c r="AP1627" s="240"/>
      <c r="AQ1627" s="240"/>
      <c r="AR1627" s="240"/>
      <c r="AS1627" s="240"/>
      <c r="AT1627" s="2"/>
      <c r="AU1627" s="2"/>
    </row>
    <row r="1628" spans="1:47" hidden="1" outlineLevel="1">
      <c r="A1628" s="298"/>
      <c r="B1628" s="6"/>
      <c r="C1628" s="21"/>
      <c r="D1628" s="21"/>
      <c r="E1628" s="21"/>
      <c r="F1628" s="21"/>
      <c r="G1628" s="21"/>
      <c r="H1628" s="21"/>
      <c r="I1628" s="21"/>
      <c r="J1628" s="21"/>
      <c r="K1628" s="34"/>
      <c r="L1628" s="34"/>
      <c r="M1628" s="34"/>
      <c r="N1628" s="34"/>
      <c r="O1628" s="34"/>
      <c r="P1628" s="34"/>
      <c r="Q1628" s="34"/>
      <c r="R1628" s="34"/>
      <c r="S1628" s="34"/>
      <c r="T1628" s="34"/>
      <c r="U1628" s="34"/>
      <c r="V1628" s="34"/>
      <c r="W1628" s="34"/>
      <c r="X1628" s="34"/>
      <c r="Y1628" s="34"/>
      <c r="Z1628" s="34"/>
      <c r="AA1628" s="34"/>
      <c r="AB1628" s="34"/>
      <c r="AC1628" s="34"/>
      <c r="AD1628" s="34"/>
      <c r="AE1628" s="34"/>
      <c r="AF1628" s="34"/>
      <c r="AG1628" s="34"/>
      <c r="AH1628" s="34"/>
      <c r="AI1628" s="34"/>
      <c r="AJ1628" s="34"/>
      <c r="AK1628" s="34"/>
      <c r="AL1628" s="34"/>
      <c r="AM1628" s="34"/>
      <c r="AN1628" s="34"/>
      <c r="AO1628" s="34"/>
      <c r="AP1628" s="34"/>
      <c r="AQ1628" s="34"/>
      <c r="AR1628" s="34"/>
      <c r="AS1628" s="34"/>
      <c r="AT1628" s="2"/>
      <c r="AU1628" s="2"/>
    </row>
    <row r="1629" spans="1:47" hidden="1" outlineLevel="1">
      <c r="A1629" s="298"/>
      <c r="B1629" s="2" t="s">
        <v>372</v>
      </c>
      <c r="C1629" s="18" t="s">
        <v>733</v>
      </c>
      <c r="D1629" s="18"/>
      <c r="E1629" s="18"/>
      <c r="F1629" s="18"/>
      <c r="G1629" s="18"/>
      <c r="H1629" s="18"/>
      <c r="I1629" s="18"/>
      <c r="J1629" s="18"/>
      <c r="K1629" s="29">
        <v>5.5999999999999999E-3</v>
      </c>
      <c r="L1629" s="29">
        <v>1.677E-2</v>
      </c>
      <c r="M1629" s="29">
        <v>3.449E-2</v>
      </c>
      <c r="N1629" s="29">
        <v>7.5800000000000006E-2</v>
      </c>
      <c r="O1629" s="29">
        <v>0.12970999999999999</v>
      </c>
      <c r="P1629" s="29">
        <v>0.23485</v>
      </c>
      <c r="Q1629" s="29">
        <v>0.35803000000000001</v>
      </c>
      <c r="R1629" s="29">
        <v>0.47630099999999997</v>
      </c>
      <c r="S1629" s="29">
        <v>0.58172000000000001</v>
      </c>
      <c r="T1629" s="29">
        <v>0.615394</v>
      </c>
      <c r="U1629" s="29">
        <v>0.61453999999999998</v>
      </c>
      <c r="V1629" s="29">
        <v>0.62239999999999995</v>
      </c>
      <c r="W1629" s="29">
        <v>0.63034999999999997</v>
      </c>
      <c r="X1629" s="29">
        <v>0.63841000000000003</v>
      </c>
      <c r="Y1629" s="29">
        <v>0.64656999999999998</v>
      </c>
      <c r="Z1629" s="29">
        <v>0.65483000000000002</v>
      </c>
      <c r="AA1629" s="29">
        <v>0.67483000000000004</v>
      </c>
      <c r="AB1629" s="29">
        <v>0.65483000000000002</v>
      </c>
      <c r="AC1629" s="29">
        <v>0.65483000000000002</v>
      </c>
      <c r="AD1629" s="29">
        <v>0.67483000000000004</v>
      </c>
      <c r="AE1629" s="29">
        <v>0.69483000000000006</v>
      </c>
      <c r="AF1629" s="29">
        <v>0.69483000000000006</v>
      </c>
      <c r="AG1629" s="29">
        <v>0.69483000000000006</v>
      </c>
      <c r="AH1629" s="29">
        <v>0.69483000000000006</v>
      </c>
      <c r="AI1629" s="29">
        <v>0.69483000000000006</v>
      </c>
      <c r="AJ1629" s="29">
        <v>0.69483000000000006</v>
      </c>
      <c r="AK1629" s="29">
        <v>0.69483000000000006</v>
      </c>
      <c r="AL1629" s="29">
        <v>0.69483000000000006</v>
      </c>
      <c r="AM1629" s="29">
        <v>0.69483000000000006</v>
      </c>
      <c r="AN1629" s="29">
        <v>0.69483000000000006</v>
      </c>
      <c r="AO1629" s="29">
        <v>0.69483000000000006</v>
      </c>
      <c r="AP1629" s="29">
        <v>0.69483000000000006</v>
      </c>
      <c r="AQ1629" s="29">
        <v>0.69483000000000006</v>
      </c>
      <c r="AR1629" s="29">
        <v>0.69483000000000006</v>
      </c>
      <c r="AS1629" s="29">
        <v>0.69483000000000006</v>
      </c>
      <c r="AT1629" s="2"/>
      <c r="AU1629" s="2"/>
    </row>
    <row r="1630" spans="1:47" hidden="1" outlineLevel="1">
      <c r="A1630" s="298"/>
      <c r="B1630" s="2" t="s">
        <v>373</v>
      </c>
      <c r="C1630" s="18" t="s">
        <v>846</v>
      </c>
      <c r="D1630" s="18"/>
      <c r="E1630" s="18"/>
      <c r="F1630" s="18"/>
      <c r="G1630" s="18"/>
      <c r="H1630" s="18"/>
      <c r="I1630" s="18"/>
      <c r="J1630" s="18"/>
      <c r="K1630" s="31">
        <v>40.599440000000001</v>
      </c>
      <c r="L1630" s="31">
        <v>123.98060999999998</v>
      </c>
      <c r="M1630" s="31">
        <v>259.023349</v>
      </c>
      <c r="N1630" s="31">
        <v>579.49099999999999</v>
      </c>
      <c r="O1630" s="31">
        <v>1009.53293</v>
      </c>
      <c r="P1630" s="31">
        <v>1860.0119999999999</v>
      </c>
      <c r="Q1630" s="31">
        <v>2885.0057400000001</v>
      </c>
      <c r="R1630" s="31">
        <v>3898.9999859999998</v>
      </c>
      <c r="S1630" s="31">
        <v>4837.0017999999991</v>
      </c>
      <c r="T1630" s="31">
        <v>5197.0023300000003</v>
      </c>
      <c r="U1630" s="31">
        <v>5269.6804999999995</v>
      </c>
      <c r="V1630" s="31">
        <v>5418.6143999999995</v>
      </c>
      <c r="W1630" s="31">
        <v>5559.1688522999993</v>
      </c>
      <c r="X1630" s="31">
        <v>5703.4446955307394</v>
      </c>
      <c r="Y1630" s="31">
        <v>5851.4372078563474</v>
      </c>
      <c r="Z1630" s="31">
        <v>6003.2304050129742</v>
      </c>
      <c r="AA1630" s="31">
        <v>6267.0083134243987</v>
      </c>
      <c r="AB1630" s="31">
        <v>6160.3289414817582</v>
      </c>
      <c r="AC1630" s="31">
        <v>6240.4132177210213</v>
      </c>
      <c r="AD1630" s="31">
        <v>6514.6127794801205</v>
      </c>
      <c r="AE1630" s="31">
        <v>6794.8869000111617</v>
      </c>
      <c r="AF1630" s="31">
        <v>6883.2204297113058</v>
      </c>
      <c r="AG1630" s="31">
        <v>6972.7022952975522</v>
      </c>
      <c r="AH1630" s="31">
        <v>7063.3474251364196</v>
      </c>
      <c r="AI1630" s="31">
        <v>7155.1709416631929</v>
      </c>
      <c r="AJ1630" s="31">
        <v>7248.1881639048142</v>
      </c>
      <c r="AK1630" s="31">
        <v>7342.4146100355765</v>
      </c>
      <c r="AL1630" s="31">
        <v>7437.8659999660385</v>
      </c>
      <c r="AM1630" s="31">
        <v>7534.5582579655957</v>
      </c>
      <c r="AN1630" s="31">
        <v>7632.5075153191474</v>
      </c>
      <c r="AO1630" s="31">
        <v>7731.7301130182968</v>
      </c>
      <c r="AP1630" s="31">
        <v>7832.2426044875338</v>
      </c>
      <c r="AQ1630" s="31">
        <v>7832.2426044875338</v>
      </c>
      <c r="AR1630" s="31">
        <v>7832.2426044875338</v>
      </c>
      <c r="AS1630" s="31">
        <v>7832.2426044875338</v>
      </c>
      <c r="AT1630" s="2"/>
      <c r="AU1630" s="2"/>
    </row>
    <row r="1631" spans="1:47" hidden="1" outlineLevel="1">
      <c r="A1631" s="298"/>
      <c r="B1631" s="2" t="s">
        <v>374</v>
      </c>
      <c r="C1631" s="18" t="s">
        <v>733</v>
      </c>
      <c r="D1631" s="18"/>
      <c r="E1631" s="18"/>
      <c r="F1631" s="18"/>
      <c r="G1631" s="18"/>
      <c r="H1631" s="18"/>
      <c r="I1631" s="18"/>
      <c r="J1631" s="18"/>
      <c r="K1631" s="29">
        <v>0</v>
      </c>
      <c r="L1631" s="29">
        <v>0.54847286200640577</v>
      </c>
      <c r="M1631" s="29">
        <v>0.46327869847748748</v>
      </c>
      <c r="N1631" s="29">
        <v>0.41415656153417396</v>
      </c>
      <c r="O1631" s="29">
        <v>0.42296787683785614</v>
      </c>
      <c r="P1631" s="29">
        <v>0.46773891781343346</v>
      </c>
      <c r="Q1631" s="29">
        <v>0.49947907555982884</v>
      </c>
      <c r="R1631" s="29">
        <v>0.48986919898901482</v>
      </c>
      <c r="S1631" s="29">
        <v>0.46599114352200582</v>
      </c>
      <c r="T1631" s="29">
        <v>0.43755993467103177</v>
      </c>
      <c r="U1631" s="29">
        <v>0.42393461994517506</v>
      </c>
      <c r="V1631" s="29">
        <v>0.44217946196725127</v>
      </c>
      <c r="W1631" s="29">
        <v>0.46751593071772118</v>
      </c>
      <c r="X1631" s="29">
        <v>0.48602207051681579</v>
      </c>
      <c r="Y1631" s="29">
        <v>0.48602207051681579</v>
      </c>
      <c r="Z1631" s="29">
        <v>0.52</v>
      </c>
      <c r="AA1631" s="29">
        <v>0.52</v>
      </c>
      <c r="AB1631" s="29">
        <v>0.52</v>
      </c>
      <c r="AC1631" s="29">
        <v>0.52</v>
      </c>
      <c r="AD1631" s="29">
        <v>0.53</v>
      </c>
      <c r="AE1631" s="29">
        <v>0.53</v>
      </c>
      <c r="AF1631" s="29">
        <v>0.53</v>
      </c>
      <c r="AG1631" s="29">
        <v>0.53</v>
      </c>
      <c r="AH1631" s="29">
        <v>0.53</v>
      </c>
      <c r="AI1631" s="29">
        <v>0.53</v>
      </c>
      <c r="AJ1631" s="29">
        <v>0.53</v>
      </c>
      <c r="AK1631" s="29">
        <v>0.53</v>
      </c>
      <c r="AL1631" s="29">
        <v>0.53</v>
      </c>
      <c r="AM1631" s="29">
        <v>0.53</v>
      </c>
      <c r="AN1631" s="29">
        <v>0.53</v>
      </c>
      <c r="AO1631" s="29">
        <v>0.53</v>
      </c>
      <c r="AP1631" s="29">
        <v>0.53</v>
      </c>
      <c r="AQ1631" s="29">
        <v>0.53</v>
      </c>
      <c r="AR1631" s="29">
        <v>0.53</v>
      </c>
      <c r="AS1631" s="29">
        <v>0.53</v>
      </c>
      <c r="AT1631" s="2"/>
      <c r="AU1631" s="2"/>
    </row>
    <row r="1632" spans="1:47" hidden="1" outlineLevel="1">
      <c r="A1632" s="298"/>
      <c r="B1632" s="2" t="s">
        <v>573</v>
      </c>
      <c r="C1632" s="18" t="s">
        <v>733</v>
      </c>
      <c r="D1632" s="18"/>
      <c r="E1632" s="18"/>
      <c r="F1632" s="18"/>
      <c r="G1632" s="18"/>
      <c r="H1632" s="18"/>
      <c r="I1632" s="18"/>
      <c r="J1632" s="18"/>
      <c r="K1632" s="29">
        <v>0</v>
      </c>
      <c r="L1632" s="29">
        <v>8.0657773824471438E-2</v>
      </c>
      <c r="M1632" s="29">
        <v>0.18917213521164072</v>
      </c>
      <c r="N1632" s="29">
        <v>0.20880393310681269</v>
      </c>
      <c r="O1632" s="29">
        <v>0.37542113658442028</v>
      </c>
      <c r="P1632" s="29">
        <v>0.4774162747337114</v>
      </c>
      <c r="Q1632" s="29">
        <v>0.4419401952385717</v>
      </c>
      <c r="R1632" s="29">
        <v>0.37394203776229512</v>
      </c>
      <c r="S1632" s="29">
        <v>0.26297281923690835</v>
      </c>
      <c r="T1632" s="29">
        <v>0.21377708329794032</v>
      </c>
      <c r="U1632" s="29">
        <v>0.19052388470230788</v>
      </c>
      <c r="V1632" s="29">
        <v>0.16037310202401561</v>
      </c>
      <c r="W1632" s="29">
        <v>0.13797026504828477</v>
      </c>
      <c r="X1632" s="29">
        <v>0.13483079806184392</v>
      </c>
      <c r="Y1632" s="29">
        <v>0.13483866817209636</v>
      </c>
      <c r="Z1632" s="29">
        <v>0.14009124142523768</v>
      </c>
      <c r="AA1632" s="29">
        <v>0.13403524584460139</v>
      </c>
      <c r="AB1632" s="29">
        <v>0.11005905795623296</v>
      </c>
      <c r="AC1632" s="99">
        <v>7.0508151407429803E-2</v>
      </c>
      <c r="AD1632" s="557">
        <v>0.03</v>
      </c>
      <c r="AE1632" s="230">
        <v>0.03</v>
      </c>
      <c r="AF1632" s="230">
        <v>0.03</v>
      </c>
      <c r="AG1632" s="230">
        <v>0.03</v>
      </c>
      <c r="AH1632" s="230">
        <v>0.03</v>
      </c>
      <c r="AI1632" s="230">
        <v>0.03</v>
      </c>
      <c r="AJ1632" s="230">
        <v>0.03</v>
      </c>
      <c r="AK1632" s="230">
        <v>0.03</v>
      </c>
      <c r="AL1632" s="230">
        <v>0.03</v>
      </c>
      <c r="AM1632" s="230">
        <v>0.03</v>
      </c>
      <c r="AN1632" s="230">
        <v>0.03</v>
      </c>
      <c r="AO1632" s="231">
        <v>0.03</v>
      </c>
      <c r="AP1632" s="231">
        <v>0.03</v>
      </c>
      <c r="AQ1632" s="231">
        <v>0.03</v>
      </c>
      <c r="AR1632" s="231">
        <v>0.03</v>
      </c>
      <c r="AS1632" s="231">
        <v>0.03</v>
      </c>
      <c r="AT1632" s="2"/>
      <c r="AU1632" s="2"/>
    </row>
    <row r="1633" spans="1:47" hidden="1" outlineLevel="1">
      <c r="A1633" s="298"/>
      <c r="B1633" s="6"/>
      <c r="C1633" s="21"/>
      <c r="D1633" s="21"/>
      <c r="E1633" s="21"/>
      <c r="F1633" s="21"/>
      <c r="G1633" s="21"/>
      <c r="H1633" s="21"/>
      <c r="I1633" s="21"/>
      <c r="J1633" s="21"/>
      <c r="K1633" s="34"/>
      <c r="L1633" s="34"/>
      <c r="M1633" s="34"/>
      <c r="N1633" s="34"/>
      <c r="O1633" s="34"/>
      <c r="P1633" s="34"/>
      <c r="Q1633" s="34"/>
      <c r="R1633" s="34"/>
      <c r="S1633" s="34"/>
      <c r="T1633" s="34"/>
      <c r="U1633" s="34"/>
      <c r="V1633" s="34"/>
      <c r="W1633" s="34"/>
      <c r="X1633" s="34"/>
      <c r="Y1633" s="34"/>
      <c r="Z1633" s="34"/>
      <c r="AA1633" s="34"/>
      <c r="AB1633" s="34"/>
      <c r="AC1633" s="34"/>
      <c r="AD1633" s="34"/>
      <c r="AE1633" s="34"/>
      <c r="AF1633" s="34"/>
      <c r="AG1633" s="34"/>
      <c r="AH1633" s="34"/>
      <c r="AI1633" s="34"/>
      <c r="AJ1633" s="34"/>
      <c r="AK1633" s="34"/>
      <c r="AL1633" s="34"/>
      <c r="AM1633" s="34"/>
      <c r="AN1633" s="34"/>
      <c r="AO1633" s="34"/>
      <c r="AP1633" s="34"/>
      <c r="AQ1633" s="34"/>
      <c r="AR1633" s="34"/>
      <c r="AS1633" s="34"/>
      <c r="AT1633" s="2"/>
      <c r="AU1633" s="2"/>
    </row>
    <row r="1634" spans="1:47" hidden="1" outlineLevel="1">
      <c r="A1634" s="298"/>
      <c r="B1634" s="6" t="s">
        <v>367</v>
      </c>
      <c r="C1634" s="21"/>
      <c r="D1634" s="21"/>
      <c r="E1634" s="21"/>
      <c r="F1634" s="21"/>
      <c r="G1634" s="21"/>
      <c r="H1634" s="21"/>
      <c r="I1634" s="21"/>
      <c r="J1634" s="21"/>
      <c r="K1634" s="34"/>
      <c r="L1634" s="34"/>
      <c r="M1634" s="34"/>
      <c r="N1634" s="34"/>
      <c r="O1634" s="34"/>
      <c r="P1634" s="34"/>
      <c r="Q1634" s="34"/>
      <c r="R1634" s="34"/>
      <c r="S1634" s="34"/>
      <c r="T1634" s="34"/>
      <c r="U1634" s="34"/>
      <c r="V1634" s="34"/>
      <c r="W1634" s="34"/>
      <c r="X1634" s="34"/>
      <c r="Y1634" s="34"/>
      <c r="Z1634" s="34"/>
      <c r="AA1634" s="34"/>
      <c r="AB1634" s="34"/>
      <c r="AC1634" s="34"/>
      <c r="AD1634" s="34"/>
      <c r="AE1634" s="34"/>
      <c r="AF1634" s="34"/>
      <c r="AG1634" s="34"/>
      <c r="AH1634" s="34"/>
      <c r="AI1634" s="34"/>
      <c r="AJ1634" s="34"/>
      <c r="AK1634" s="34"/>
      <c r="AL1634" s="34"/>
      <c r="AM1634" s="34"/>
      <c r="AN1634" s="34"/>
      <c r="AO1634" s="34"/>
      <c r="AP1634" s="34"/>
      <c r="AQ1634" s="34"/>
      <c r="AR1634" s="34"/>
      <c r="AS1634" s="34"/>
      <c r="AT1634" s="2"/>
      <c r="AU1634" s="2"/>
    </row>
    <row r="1635" spans="1:47" hidden="1" outlineLevel="1">
      <c r="A1635" s="298"/>
      <c r="B1635" s="55" t="s">
        <v>569</v>
      </c>
      <c r="C1635" s="18" t="s">
        <v>846</v>
      </c>
      <c r="D1635" s="18"/>
      <c r="E1635" s="18"/>
      <c r="F1635" s="18"/>
      <c r="G1635" s="18"/>
      <c r="H1635" s="18"/>
      <c r="I1635" s="18"/>
      <c r="J1635" s="18"/>
      <c r="K1635" s="7"/>
      <c r="L1635" s="532">
        <v>10</v>
      </c>
      <c r="M1635" s="532">
        <v>49</v>
      </c>
      <c r="N1635" s="532">
        <v>121</v>
      </c>
      <c r="O1635" s="532">
        <v>379</v>
      </c>
      <c r="P1635" s="532">
        <v>888</v>
      </c>
      <c r="Q1635" s="532">
        <v>1275</v>
      </c>
      <c r="R1635" s="532">
        <v>1458</v>
      </c>
      <c r="S1635" s="532">
        <v>1272</v>
      </c>
      <c r="T1635" s="532">
        <v>1111</v>
      </c>
      <c r="U1635" s="532">
        <v>1004</v>
      </c>
      <c r="V1635" s="532">
        <v>869</v>
      </c>
      <c r="W1635" s="536">
        <v>767</v>
      </c>
      <c r="X1635" s="536">
        <v>769</v>
      </c>
      <c r="Y1635" s="536">
        <v>789</v>
      </c>
      <c r="Z1635" s="536">
        <v>841</v>
      </c>
      <c r="AA1635" s="536">
        <v>840</v>
      </c>
      <c r="AB1635" s="536">
        <v>678</v>
      </c>
      <c r="AC1635" s="536">
        <v>440</v>
      </c>
      <c r="AD1635" s="31">
        <v>195.43838338440361</v>
      </c>
      <c r="AE1635" s="31">
        <v>203.84660700033484</v>
      </c>
      <c r="AF1635" s="31">
        <v>206.49661289133917</v>
      </c>
      <c r="AG1635" s="31">
        <v>209.18106885892655</v>
      </c>
      <c r="AH1635" s="31">
        <v>211.90042275409257</v>
      </c>
      <c r="AI1635" s="31">
        <v>214.65512824989577</v>
      </c>
      <c r="AJ1635" s="31">
        <v>217.44564491714442</v>
      </c>
      <c r="AK1635" s="31">
        <v>220.2724383010673</v>
      </c>
      <c r="AL1635" s="31">
        <v>223.13597999898116</v>
      </c>
      <c r="AM1635" s="31">
        <v>226.03674773896788</v>
      </c>
      <c r="AN1635" s="31">
        <v>228.9752254595744</v>
      </c>
      <c r="AO1635" s="31">
        <v>231.95190339054889</v>
      </c>
      <c r="AP1635" s="31">
        <v>234.96727813462601</v>
      </c>
      <c r="AQ1635" s="31">
        <v>234.96727813462601</v>
      </c>
      <c r="AR1635" s="31">
        <v>234.96727813462601</v>
      </c>
      <c r="AS1635" s="31">
        <v>234.96727813462601</v>
      </c>
      <c r="AT1635" s="2"/>
      <c r="AU1635" s="2"/>
    </row>
    <row r="1636" spans="1:47" hidden="1" outlineLevel="1">
      <c r="A1636" s="298"/>
      <c r="B1636" s="241" t="s">
        <v>1099</v>
      </c>
      <c r="C1636" s="18" t="s">
        <v>733</v>
      </c>
      <c r="D1636" s="18"/>
      <c r="E1636" s="18"/>
      <c r="F1636" s="18"/>
      <c r="G1636" s="18"/>
      <c r="H1636" s="18"/>
      <c r="I1636" s="18"/>
      <c r="J1636" s="18"/>
      <c r="K1636" s="34"/>
      <c r="L1636" s="34"/>
      <c r="M1636" s="7">
        <v>3.9000000000000004</v>
      </c>
      <c r="N1636" s="7">
        <v>1.4693877551020407</v>
      </c>
      <c r="O1636" s="7">
        <v>2.1322314049586777</v>
      </c>
      <c r="P1636" s="7">
        <v>1.3430079155672825</v>
      </c>
      <c r="Q1636" s="7">
        <v>0.43581081081081074</v>
      </c>
      <c r="R1636" s="7">
        <v>0.14352941176470591</v>
      </c>
      <c r="S1636" s="7">
        <v>-0.12757201646090532</v>
      </c>
      <c r="T1636" s="7">
        <v>-0.12657232704402521</v>
      </c>
      <c r="U1636" s="7">
        <v>-9.6309630963096304E-2</v>
      </c>
      <c r="V1636" s="7">
        <v>-0.1344621513944223</v>
      </c>
      <c r="W1636" s="7">
        <v>-0.11737629459148446</v>
      </c>
      <c r="X1636" s="7">
        <v>2.6075619295957697E-3</v>
      </c>
      <c r="Y1636" s="7">
        <v>2.6007802340702213E-2</v>
      </c>
      <c r="Z1636" s="7">
        <v>6.5906210392902453E-2</v>
      </c>
      <c r="AA1636" s="7">
        <v>-1.1890606420927874E-3</v>
      </c>
      <c r="AB1636" s="7">
        <v>-0.19285714285714284</v>
      </c>
      <c r="AC1636" s="7">
        <v>-0.35103244837758107</v>
      </c>
      <c r="AD1636" s="7">
        <v>-0.55582185594453726</v>
      </c>
      <c r="AE1636" s="7">
        <v>4.3022376005808827E-2</v>
      </c>
      <c r="AF1636" s="7">
        <v>1.2999999999999901E-2</v>
      </c>
      <c r="AG1636" s="7">
        <v>1.2999999999999901E-2</v>
      </c>
      <c r="AH1636" s="7">
        <v>1.2999999999999901E-2</v>
      </c>
      <c r="AI1636" s="7">
        <v>1.2999999999999901E-2</v>
      </c>
      <c r="AJ1636" s="7">
        <v>1.3000000000000123E-2</v>
      </c>
      <c r="AK1636" s="7">
        <v>1.2999999999999901E-2</v>
      </c>
      <c r="AL1636" s="7">
        <v>1.2999999999999901E-2</v>
      </c>
      <c r="AM1636" s="7">
        <v>1.2999999999999901E-2</v>
      </c>
      <c r="AN1636" s="7">
        <v>1.2999999999999678E-2</v>
      </c>
      <c r="AO1636" s="7">
        <v>1.3000000000000123E-2</v>
      </c>
      <c r="AP1636" s="7">
        <v>1.2999999999999901E-2</v>
      </c>
      <c r="AQ1636" s="7">
        <v>1.2999999999999901E-2</v>
      </c>
      <c r="AR1636" s="7">
        <v>1.2999999999999901E-2</v>
      </c>
      <c r="AS1636" s="7">
        <v>1.2999999999999901E-2</v>
      </c>
      <c r="AT1636" s="2"/>
      <c r="AU1636" s="2"/>
    </row>
    <row r="1637" spans="1:47" hidden="1" outlineLevel="1">
      <c r="A1637" s="298"/>
      <c r="B1637" s="55" t="s">
        <v>570</v>
      </c>
      <c r="C1637" s="18" t="s">
        <v>846</v>
      </c>
      <c r="D1637" s="18"/>
      <c r="E1637" s="18"/>
      <c r="F1637" s="18"/>
      <c r="G1637" s="18"/>
      <c r="H1637" s="18"/>
      <c r="I1637" s="18"/>
      <c r="J1637" s="18"/>
      <c r="K1637" s="34"/>
      <c r="L1637" s="31">
        <v>10</v>
      </c>
      <c r="M1637" s="31">
        <v>29.5</v>
      </c>
      <c r="N1637" s="31">
        <v>85</v>
      </c>
      <c r="O1637" s="31">
        <v>250</v>
      </c>
      <c r="P1637" s="31">
        <v>633.5</v>
      </c>
      <c r="Q1637" s="31">
        <v>1081.5</v>
      </c>
      <c r="R1637" s="31">
        <v>1366.5</v>
      </c>
      <c r="S1637" s="31">
        <v>1365</v>
      </c>
      <c r="T1637" s="31">
        <v>1191.5</v>
      </c>
      <c r="U1637" s="31">
        <v>1057.5</v>
      </c>
      <c r="V1637" s="31">
        <v>936.5</v>
      </c>
      <c r="W1637" s="31">
        <v>818</v>
      </c>
      <c r="X1637" s="31">
        <v>768</v>
      </c>
      <c r="Y1637" s="31">
        <v>779</v>
      </c>
      <c r="Z1637" s="31">
        <v>812</v>
      </c>
      <c r="AA1637" s="31">
        <v>840.5</v>
      </c>
      <c r="AB1637" s="31">
        <v>759</v>
      </c>
      <c r="AC1637" s="31">
        <v>559</v>
      </c>
      <c r="AD1637" s="31">
        <v>317.71919169220178</v>
      </c>
      <c r="AE1637" s="31">
        <v>199.64249519236921</v>
      </c>
      <c r="AF1637" s="31">
        <v>205.17160994583702</v>
      </c>
      <c r="AG1637" s="31">
        <v>207.83884087513286</v>
      </c>
      <c r="AH1637" s="31">
        <v>210.54074580650956</v>
      </c>
      <c r="AI1637" s="31">
        <v>213.27777550199417</v>
      </c>
      <c r="AJ1637" s="31">
        <v>216.05038658352009</v>
      </c>
      <c r="AK1637" s="31">
        <v>218.85904160910587</v>
      </c>
      <c r="AL1637" s="31">
        <v>221.70420915002421</v>
      </c>
      <c r="AM1637" s="31">
        <v>224.5863638689745</v>
      </c>
      <c r="AN1637" s="31">
        <v>227.50598659927113</v>
      </c>
      <c r="AO1637" s="31">
        <v>230.46356442506163</v>
      </c>
      <c r="AP1637" s="31">
        <v>233.45959076258745</v>
      </c>
      <c r="AQ1637" s="31">
        <v>233.45959076258745</v>
      </c>
      <c r="AR1637" s="31">
        <v>233.45959076258745</v>
      </c>
      <c r="AS1637" s="31">
        <v>233.45959076258745</v>
      </c>
      <c r="AT1637" s="2"/>
      <c r="AU1637" s="2"/>
    </row>
    <row r="1638" spans="1:47" hidden="1" outlineLevel="1">
      <c r="A1638" s="298"/>
      <c r="B1638" s="2"/>
      <c r="C1638" s="21"/>
      <c r="D1638" s="21"/>
      <c r="E1638" s="21"/>
      <c r="F1638" s="21"/>
      <c r="G1638" s="21"/>
      <c r="H1638" s="21"/>
      <c r="I1638" s="21"/>
      <c r="J1638" s="21"/>
      <c r="K1638" s="34"/>
      <c r="L1638" s="34"/>
      <c r="M1638" s="34"/>
      <c r="N1638" s="34"/>
      <c r="O1638" s="34"/>
      <c r="P1638" s="34"/>
      <c r="Q1638" s="34"/>
      <c r="R1638" s="34"/>
      <c r="S1638" s="34"/>
      <c r="T1638" s="34"/>
      <c r="U1638" s="34"/>
      <c r="V1638" s="34"/>
      <c r="W1638" s="34"/>
      <c r="X1638" s="34"/>
      <c r="Y1638" s="34"/>
      <c r="Z1638" s="34"/>
      <c r="AA1638" s="34"/>
      <c r="AB1638" s="34"/>
      <c r="AC1638" s="34"/>
      <c r="AD1638" s="34"/>
      <c r="AE1638" s="34"/>
      <c r="AF1638" s="34"/>
      <c r="AG1638" s="34"/>
      <c r="AH1638" s="34"/>
      <c r="AI1638" s="34"/>
      <c r="AJ1638" s="34"/>
      <c r="AK1638" s="34"/>
      <c r="AL1638" s="34"/>
      <c r="AM1638" s="34"/>
      <c r="AN1638" s="34"/>
      <c r="AO1638" s="34"/>
      <c r="AP1638" s="34"/>
      <c r="AQ1638" s="34"/>
      <c r="AR1638" s="34"/>
      <c r="AS1638" s="34"/>
      <c r="AT1638" s="2"/>
      <c r="AU1638" s="2"/>
    </row>
    <row r="1639" spans="1:47" hidden="1" outlineLevel="1">
      <c r="A1639" s="298"/>
      <c r="B1639" s="6" t="s">
        <v>684</v>
      </c>
      <c r="C1639" s="21"/>
      <c r="D1639" s="21"/>
      <c r="E1639" s="21"/>
      <c r="F1639" s="21"/>
      <c r="G1639" s="21"/>
      <c r="H1639" s="21"/>
      <c r="I1639" s="21"/>
      <c r="J1639" s="21"/>
      <c r="K1639" s="34"/>
      <c r="L1639" s="34"/>
      <c r="M1639" s="34"/>
      <c r="N1639" s="34"/>
      <c r="O1639" s="34"/>
      <c r="P1639" s="34"/>
      <c r="Q1639" s="34"/>
      <c r="R1639" s="34"/>
      <c r="S1639" s="34"/>
      <c r="T1639" s="34"/>
      <c r="U1639" s="34"/>
      <c r="V1639" s="34"/>
      <c r="W1639" s="34"/>
      <c r="X1639" s="34"/>
      <c r="Y1639" s="34"/>
      <c r="Z1639" s="34"/>
      <c r="AA1639" s="34"/>
      <c r="AB1639" s="34"/>
      <c r="AC1639" s="34"/>
      <c r="AD1639" s="34"/>
      <c r="AE1639" s="34"/>
      <c r="AF1639" s="34"/>
      <c r="AG1639" s="34"/>
      <c r="AH1639" s="34"/>
      <c r="AI1639" s="34"/>
      <c r="AJ1639" s="34"/>
      <c r="AK1639" s="34"/>
      <c r="AL1639" s="34"/>
      <c r="AM1639" s="34"/>
      <c r="AN1639" s="34"/>
      <c r="AO1639" s="34"/>
      <c r="AP1639" s="34"/>
      <c r="AQ1639" s="34"/>
      <c r="AR1639" s="34"/>
      <c r="AS1639" s="34"/>
      <c r="AT1639" s="2"/>
      <c r="AU1639" s="2"/>
    </row>
    <row r="1640" spans="1:47" hidden="1" outlineLevel="1">
      <c r="A1640" s="298"/>
      <c r="B1640" s="55" t="s">
        <v>571</v>
      </c>
      <c r="C1640" s="18" t="s">
        <v>306</v>
      </c>
      <c r="D1640" s="18"/>
      <c r="E1640" s="18"/>
      <c r="F1640" s="18"/>
      <c r="G1640" s="18"/>
      <c r="H1640" s="18"/>
      <c r="I1640" s="18"/>
      <c r="J1640" s="18"/>
      <c r="K1640" s="34"/>
      <c r="L1640" s="42">
        <v>49.999999999999993</v>
      </c>
      <c r="M1640" s="42">
        <v>79.096045197740125</v>
      </c>
      <c r="N1640" s="42">
        <v>48.039215686274503</v>
      </c>
      <c r="O1640" s="42">
        <v>49.999999999999993</v>
      </c>
      <c r="P1640" s="42">
        <v>35.122336227308601</v>
      </c>
      <c r="Q1640" s="42">
        <v>36.061026352288486</v>
      </c>
      <c r="R1640" s="42">
        <v>33.052811318453465</v>
      </c>
      <c r="S1640" s="42">
        <v>32.417582417582423</v>
      </c>
      <c r="T1640" s="42">
        <v>32.801790460204224</v>
      </c>
      <c r="U1640" s="42">
        <v>35.382190701339638</v>
      </c>
      <c r="V1640" s="42">
        <v>36.038441003737319</v>
      </c>
      <c r="W1640" s="42">
        <v>35.859820700896492</v>
      </c>
      <c r="X1640" s="42">
        <v>32.769097222222221</v>
      </c>
      <c r="Y1640" s="42">
        <v>32.306375695335902</v>
      </c>
      <c r="Z1640" s="42">
        <v>33.921694480102701</v>
      </c>
      <c r="AA1640" s="42">
        <v>31.231409875074363</v>
      </c>
      <c r="AB1640" s="42">
        <v>32.168352171326596</v>
      </c>
      <c r="AC1640" s="42">
        <v>33.133402736466394</v>
      </c>
      <c r="AD1640" s="42">
        <v>33.464736763831056</v>
      </c>
      <c r="AE1640" s="42">
        <v>33.799384131469367</v>
      </c>
      <c r="AF1640" s="42">
        <v>34.137377972784058</v>
      </c>
      <c r="AG1640" s="42">
        <v>34.478751752511897</v>
      </c>
      <c r="AH1640" s="42">
        <v>34.823539270037017</v>
      </c>
      <c r="AI1640" s="42">
        <v>35.171774662737384</v>
      </c>
      <c r="AJ1640" s="42">
        <v>35.523492409364756</v>
      </c>
      <c r="AK1640" s="42">
        <v>35.878727333458407</v>
      </c>
      <c r="AL1640" s="42">
        <v>36.237514606792992</v>
      </c>
      <c r="AM1640" s="42">
        <v>36.599889752860925</v>
      </c>
      <c r="AN1640" s="42">
        <v>36.965888650389537</v>
      </c>
      <c r="AO1640" s="42">
        <v>37.335547536893436</v>
      </c>
      <c r="AP1640" s="42">
        <v>37.708903012262368</v>
      </c>
      <c r="AQ1640" s="42">
        <v>37.708903012262368</v>
      </c>
      <c r="AR1640" s="42">
        <v>37.708903012262368</v>
      </c>
      <c r="AS1640" s="42">
        <v>37.708903012262368</v>
      </c>
      <c r="AT1640" s="2"/>
      <c r="AU1640" s="2"/>
    </row>
    <row r="1641" spans="1:47" hidden="1" outlineLevel="1">
      <c r="A1641" s="298"/>
      <c r="B1641" s="241" t="s">
        <v>1099</v>
      </c>
      <c r="C1641" s="18" t="s">
        <v>733</v>
      </c>
      <c r="D1641" s="18"/>
      <c r="E1641" s="18"/>
      <c r="F1641" s="18"/>
      <c r="G1641" s="18"/>
      <c r="H1641" s="18"/>
      <c r="I1641" s="18"/>
      <c r="J1641" s="18"/>
      <c r="K1641" s="34"/>
      <c r="L1641" s="34"/>
      <c r="M1641" s="7">
        <v>0.58192090395480278</v>
      </c>
      <c r="N1641" s="7">
        <v>-0.39264705882352957</v>
      </c>
      <c r="O1641" s="7">
        <v>4.081632653061229E-2</v>
      </c>
      <c r="P1641" s="7">
        <v>-0.29755327545382793</v>
      </c>
      <c r="Q1641" s="7">
        <v>2.6726300861786845E-2</v>
      </c>
      <c r="R1641" s="7">
        <v>-8.342011689980966E-2</v>
      </c>
      <c r="S1641" s="7">
        <v>-1.9218604273954498E-2</v>
      </c>
      <c r="T1641" s="7">
        <v>1.1851841314774125E-2</v>
      </c>
      <c r="U1641" s="7">
        <v>7.8666444877940611E-2</v>
      </c>
      <c r="V1641" s="7">
        <v>1.8547475139034653E-2</v>
      </c>
      <c r="W1641" s="7">
        <v>-4.9563826254943599E-3</v>
      </c>
      <c r="X1641" s="7">
        <v>-8.6189038825757458E-2</v>
      </c>
      <c r="Y1641" s="7">
        <v>-1.4120667522464658E-2</v>
      </c>
      <c r="Z1641" s="7">
        <v>5.0000000000000044E-2</v>
      </c>
      <c r="AA1641" s="7">
        <v>-7.9308673881440916E-2</v>
      </c>
      <c r="AB1641" s="532">
        <v>0.03</v>
      </c>
      <c r="AC1641" s="556">
        <v>0.03</v>
      </c>
      <c r="AD1641" s="557">
        <v>0.01</v>
      </c>
      <c r="AE1641" s="230">
        <v>0.01</v>
      </c>
      <c r="AF1641" s="230">
        <v>0.01</v>
      </c>
      <c r="AG1641" s="230">
        <v>0.01</v>
      </c>
      <c r="AH1641" s="230">
        <v>0.01</v>
      </c>
      <c r="AI1641" s="230">
        <v>0.01</v>
      </c>
      <c r="AJ1641" s="230">
        <v>0.01</v>
      </c>
      <c r="AK1641" s="230">
        <v>0.01</v>
      </c>
      <c r="AL1641" s="230">
        <v>0.01</v>
      </c>
      <c r="AM1641" s="230">
        <v>0.01</v>
      </c>
      <c r="AN1641" s="230">
        <v>0.01</v>
      </c>
      <c r="AO1641" s="231">
        <v>0.01</v>
      </c>
      <c r="AP1641" s="231">
        <v>0.01</v>
      </c>
      <c r="AQ1641" s="231">
        <v>0.01</v>
      </c>
      <c r="AR1641" s="231">
        <v>0.01</v>
      </c>
      <c r="AS1641" s="231">
        <v>0.01</v>
      </c>
      <c r="AT1641" s="2"/>
      <c r="AU1641" s="2"/>
    </row>
    <row r="1642" spans="1:47" hidden="1" outlineLevel="1">
      <c r="A1642" s="298"/>
      <c r="B1642" s="6"/>
      <c r="C1642" s="21"/>
      <c r="D1642" s="21"/>
      <c r="E1642" s="21"/>
      <c r="F1642" s="21"/>
      <c r="G1642" s="21"/>
      <c r="H1642" s="21"/>
      <c r="I1642" s="21"/>
      <c r="J1642" s="21"/>
      <c r="K1642" s="34"/>
      <c r="L1642" s="34"/>
      <c r="M1642" s="34"/>
      <c r="N1642" s="34"/>
      <c r="O1642" s="34"/>
      <c r="P1642" s="34"/>
      <c r="Q1642" s="34"/>
      <c r="R1642" s="34"/>
      <c r="S1642" s="34"/>
      <c r="T1642" s="34"/>
      <c r="U1642" s="34"/>
      <c r="V1642" s="34"/>
      <c r="W1642" s="34"/>
      <c r="X1642" s="34"/>
      <c r="Y1642" s="34"/>
      <c r="Z1642" s="34"/>
      <c r="AA1642" s="34"/>
      <c r="AB1642" s="34"/>
      <c r="AC1642" s="34"/>
      <c r="AD1642" s="34"/>
      <c r="AE1642" s="34"/>
      <c r="AF1642" s="34"/>
      <c r="AG1642" s="34"/>
      <c r="AH1642" s="34"/>
      <c r="AI1642" s="34"/>
      <c r="AJ1642" s="34"/>
      <c r="AK1642" s="34"/>
      <c r="AL1642" s="34"/>
      <c r="AM1642" s="34"/>
      <c r="AN1642" s="34"/>
      <c r="AO1642" s="34"/>
      <c r="AP1642" s="34"/>
      <c r="AQ1642" s="34"/>
      <c r="AR1642" s="34"/>
      <c r="AS1642" s="34"/>
      <c r="AT1642" s="2"/>
      <c r="AU1642" s="2"/>
    </row>
    <row r="1643" spans="1:47" hidden="1" outlineLevel="1">
      <c r="A1643" s="298"/>
      <c r="B1643" s="173" t="s">
        <v>572</v>
      </c>
      <c r="C1643" s="169" t="s">
        <v>732</v>
      </c>
      <c r="D1643" s="169"/>
      <c r="E1643" s="169"/>
      <c r="F1643" s="169"/>
      <c r="G1643" s="169"/>
      <c r="H1643" s="169"/>
      <c r="I1643" s="169"/>
      <c r="J1643" s="169"/>
      <c r="K1643" s="27"/>
      <c r="L1643" s="555">
        <v>6</v>
      </c>
      <c r="M1643" s="555">
        <v>28</v>
      </c>
      <c r="N1643" s="555">
        <v>49</v>
      </c>
      <c r="O1643" s="555">
        <v>150</v>
      </c>
      <c r="P1643" s="555">
        <v>267</v>
      </c>
      <c r="Q1643" s="555">
        <v>468</v>
      </c>
      <c r="R1643" s="555">
        <v>542</v>
      </c>
      <c r="S1643" s="555">
        <v>531</v>
      </c>
      <c r="T1643" s="555">
        <v>469</v>
      </c>
      <c r="U1643" s="555">
        <v>449</v>
      </c>
      <c r="V1643" s="555">
        <v>405</v>
      </c>
      <c r="W1643" s="554">
        <v>352</v>
      </c>
      <c r="X1643" s="554">
        <v>302</v>
      </c>
      <c r="Y1643" s="554">
        <v>302</v>
      </c>
      <c r="Z1643" s="554">
        <v>330.53299101412074</v>
      </c>
      <c r="AA1643" s="554">
        <v>315</v>
      </c>
      <c r="AB1643" s="214">
        <v>292.98935157644263</v>
      </c>
      <c r="AC1643" s="214">
        <v>222.25886555621656</v>
      </c>
      <c r="AD1643" s="214">
        <v>127.58866937756054</v>
      </c>
      <c r="AE1643" s="214">
        <v>80.973520607662962</v>
      </c>
      <c r="AF1643" s="214">
        <v>84.048249576067917</v>
      </c>
      <c r="AG1643" s="214">
        <v>85.992285588762343</v>
      </c>
      <c r="AH1643" s="214">
        <v>87.981287154430404</v>
      </c>
      <c r="AI1643" s="214">
        <v>90.016294326312376</v>
      </c>
      <c r="AJ1643" s="214">
        <v>92.098371214079961</v>
      </c>
      <c r="AK1643" s="214">
        <v>94.228606540261652</v>
      </c>
      <c r="AL1643" s="214">
        <v>96.408114209537885</v>
      </c>
      <c r="AM1643" s="214">
        <v>98.638033891204515</v>
      </c>
      <c r="AN1643" s="214">
        <v>100.91953161510804</v>
      </c>
      <c r="AO1643" s="214">
        <v>103.25380038136551</v>
      </c>
      <c r="AP1643" s="214">
        <v>105.6420607841865</v>
      </c>
      <c r="AQ1643" s="214">
        <v>105.6420607841865</v>
      </c>
      <c r="AR1643" s="214">
        <v>105.6420607841865</v>
      </c>
      <c r="AS1643" s="214">
        <v>105.6420607841865</v>
      </c>
      <c r="AT1643" s="2"/>
      <c r="AU1643" s="2"/>
    </row>
    <row r="1644" spans="1:47" hidden="1" outlineLevel="1">
      <c r="A1644" s="298"/>
      <c r="B1644" s="241" t="s">
        <v>1099</v>
      </c>
      <c r="C1644" s="18" t="s">
        <v>733</v>
      </c>
      <c r="D1644" s="18"/>
      <c r="E1644" s="18"/>
      <c r="F1644" s="18"/>
      <c r="G1644" s="18"/>
      <c r="H1644" s="18"/>
      <c r="I1644" s="18"/>
      <c r="J1644" s="18"/>
      <c r="K1644" s="34"/>
      <c r="L1644" s="34"/>
      <c r="M1644" s="7">
        <v>3.666666666666667</v>
      </c>
      <c r="N1644" s="7">
        <v>0.75</v>
      </c>
      <c r="O1644" s="7">
        <v>2.0612244897959182</v>
      </c>
      <c r="P1644" s="7">
        <v>0.78</v>
      </c>
      <c r="Q1644" s="7">
        <v>0.75280898876404501</v>
      </c>
      <c r="R1644" s="7">
        <v>0.15811965811965822</v>
      </c>
      <c r="S1644" s="7">
        <v>-2.0295202952029467E-2</v>
      </c>
      <c r="T1644" s="7">
        <v>-0.1167608286252354</v>
      </c>
      <c r="U1644" s="7">
        <v>-4.2643923240938131E-2</v>
      </c>
      <c r="V1644" s="7">
        <v>-9.7995545657015626E-2</v>
      </c>
      <c r="W1644" s="7">
        <v>-0.1308641975308642</v>
      </c>
      <c r="X1644" s="7">
        <v>-0.14204545454545459</v>
      </c>
      <c r="Y1644" s="7">
        <v>0</v>
      </c>
      <c r="Z1644" s="7">
        <v>9.4480102695764012E-2</v>
      </c>
      <c r="AA1644" s="7">
        <v>-4.6993768962255156E-2</v>
      </c>
      <c r="AB1644" s="7">
        <v>-6.9875074360499556E-2</v>
      </c>
      <c r="AC1644" s="7">
        <v>-0.24140974967061923</v>
      </c>
      <c r="AD1644" s="7">
        <v>-0.42594564649530631</v>
      </c>
      <c r="AE1644" s="7">
        <v>-0.36535492530260638</v>
      </c>
      <c r="AF1644" s="7">
        <v>3.797203018135753E-2</v>
      </c>
      <c r="AG1644" s="7">
        <v>2.3129999999999651E-2</v>
      </c>
      <c r="AH1644" s="7">
        <v>2.3129999999999873E-2</v>
      </c>
      <c r="AI1644" s="7">
        <v>2.3129999999999873E-2</v>
      </c>
      <c r="AJ1644" s="7">
        <v>2.3129999999999873E-2</v>
      </c>
      <c r="AK1644" s="7">
        <v>2.3130000000000317E-2</v>
      </c>
      <c r="AL1644" s="7">
        <v>2.3129999999999873E-2</v>
      </c>
      <c r="AM1644" s="7">
        <v>2.3130000000000095E-2</v>
      </c>
      <c r="AN1644" s="7">
        <v>2.3129999999999651E-2</v>
      </c>
      <c r="AO1644" s="7">
        <v>2.3130000000000095E-2</v>
      </c>
      <c r="AP1644" s="7">
        <v>2.3130000000000095E-2</v>
      </c>
      <c r="AQ1644" s="7">
        <v>2.3130000000000095E-2</v>
      </c>
      <c r="AR1644" s="7">
        <v>2.3130000000000095E-2</v>
      </c>
      <c r="AS1644" s="7">
        <v>2.3130000000000095E-2</v>
      </c>
      <c r="AT1644" s="2"/>
      <c r="AU1644" s="2"/>
    </row>
    <row r="1645" spans="1:47" ht="14.4" hidden="1" outlineLevel="1" thickBot="1">
      <c r="A1645" s="298"/>
      <c r="B1645" s="218"/>
      <c r="C1645" s="104"/>
      <c r="D1645" s="104"/>
      <c r="E1645" s="104"/>
      <c r="F1645" s="104"/>
      <c r="G1645" s="104"/>
      <c r="H1645" s="104"/>
      <c r="I1645" s="104"/>
      <c r="J1645" s="104"/>
      <c r="K1645" s="105"/>
      <c r="L1645" s="105"/>
      <c r="M1645" s="105"/>
      <c r="N1645" s="105"/>
      <c r="O1645" s="105"/>
      <c r="P1645" s="105"/>
      <c r="Q1645" s="105"/>
      <c r="R1645" s="105"/>
      <c r="S1645" s="105"/>
      <c r="T1645" s="105"/>
      <c r="U1645" s="105"/>
      <c r="V1645" s="105"/>
      <c r="W1645" s="105"/>
      <c r="X1645" s="105"/>
      <c r="Y1645" s="105"/>
      <c r="Z1645" s="106"/>
      <c r="AA1645" s="106"/>
      <c r="AB1645" s="106"/>
      <c r="AC1645" s="105"/>
      <c r="AD1645" s="105"/>
      <c r="AE1645" s="105"/>
      <c r="AF1645" s="105"/>
      <c r="AG1645" s="105"/>
      <c r="AH1645" s="105"/>
      <c r="AI1645" s="105"/>
      <c r="AJ1645" s="105"/>
      <c r="AK1645" s="105"/>
      <c r="AL1645" s="105"/>
      <c r="AM1645" s="105"/>
      <c r="AN1645" s="105"/>
      <c r="AO1645" s="105"/>
      <c r="AP1645" s="105"/>
      <c r="AQ1645" s="105"/>
      <c r="AR1645" s="105"/>
      <c r="AS1645" s="105"/>
      <c r="AT1645" s="2"/>
      <c r="AU1645" s="2"/>
    </row>
    <row r="1646" spans="1:47" hidden="1" outlineLevel="1">
      <c r="A1646" s="298"/>
      <c r="B1646" s="6"/>
      <c r="C1646" s="21"/>
      <c r="D1646" s="21"/>
      <c r="E1646" s="21"/>
      <c r="F1646" s="21"/>
      <c r="G1646" s="21"/>
      <c r="H1646" s="21"/>
      <c r="I1646" s="21"/>
      <c r="J1646" s="21"/>
      <c r="K1646" s="34"/>
      <c r="L1646" s="34"/>
      <c r="M1646" s="34"/>
      <c r="N1646" s="34"/>
      <c r="O1646" s="34"/>
      <c r="P1646" s="34"/>
      <c r="Q1646" s="34"/>
      <c r="R1646" s="34"/>
      <c r="S1646" s="34"/>
      <c r="T1646" s="34"/>
      <c r="U1646" s="34"/>
      <c r="V1646" s="34"/>
      <c r="W1646" s="34"/>
      <c r="X1646" s="34"/>
      <c r="Y1646" s="34"/>
      <c r="Z1646" s="34"/>
      <c r="AA1646" s="34"/>
      <c r="AB1646" s="107"/>
      <c r="AC1646" s="34"/>
      <c r="AD1646" s="34"/>
      <c r="AE1646" s="34"/>
      <c r="AF1646" s="34"/>
      <c r="AG1646" s="34"/>
      <c r="AH1646" s="34"/>
      <c r="AI1646" s="34"/>
      <c r="AJ1646" s="34"/>
      <c r="AK1646" s="34"/>
      <c r="AL1646" s="34"/>
      <c r="AM1646" s="34"/>
      <c r="AN1646" s="34"/>
      <c r="AO1646" s="34"/>
      <c r="AP1646" s="34"/>
      <c r="AQ1646" s="34"/>
      <c r="AR1646" s="34"/>
      <c r="AS1646" s="34"/>
      <c r="AT1646" s="2"/>
      <c r="AU1646" s="2"/>
    </row>
    <row r="1647" spans="1:47" ht="15.6" hidden="1" outlineLevel="1">
      <c r="A1647" s="298"/>
      <c r="B1647" s="237" t="s">
        <v>825</v>
      </c>
      <c r="C1647" s="238"/>
      <c r="D1647" s="239"/>
      <c r="E1647" s="239"/>
      <c r="F1647" s="239"/>
      <c r="G1647" s="239"/>
      <c r="H1647" s="239"/>
      <c r="I1647" s="239"/>
      <c r="J1647" s="239"/>
      <c r="K1647" s="239"/>
      <c r="L1647" s="239"/>
      <c r="M1647" s="239"/>
      <c r="N1647" s="239"/>
      <c r="O1647" s="239"/>
      <c r="P1647" s="239"/>
      <c r="Q1647" s="239"/>
      <c r="R1647" s="239"/>
      <c r="S1647" s="239"/>
      <c r="T1647" s="239"/>
      <c r="U1647" s="239"/>
      <c r="V1647" s="239"/>
      <c r="W1647" s="239"/>
      <c r="X1647" s="239"/>
      <c r="Y1647" s="239"/>
      <c r="Z1647" s="239"/>
      <c r="AA1647" s="239"/>
      <c r="AB1647" s="239"/>
      <c r="AC1647" s="239"/>
      <c r="AD1647" s="239"/>
      <c r="AE1647" s="239"/>
      <c r="AF1647" s="239"/>
      <c r="AG1647" s="239"/>
      <c r="AH1647" s="239"/>
      <c r="AI1647" s="239"/>
      <c r="AJ1647" s="239"/>
      <c r="AK1647" s="239"/>
      <c r="AL1647" s="239"/>
      <c r="AM1647" s="239"/>
      <c r="AN1647" s="239"/>
      <c r="AO1647" s="270"/>
      <c r="AP1647" s="240"/>
      <c r="AQ1647" s="240"/>
      <c r="AR1647" s="240"/>
      <c r="AS1647" s="240"/>
      <c r="AT1647" s="2"/>
      <c r="AU1647" s="2"/>
    </row>
    <row r="1648" spans="1:47" hidden="1" outlineLevel="1">
      <c r="A1648" s="298"/>
      <c r="B1648" s="6"/>
      <c r="C1648" s="21"/>
      <c r="D1648" s="21"/>
      <c r="E1648" s="21"/>
      <c r="F1648" s="21"/>
      <c r="G1648" s="21"/>
      <c r="H1648" s="21"/>
      <c r="I1648" s="21"/>
      <c r="J1648" s="21"/>
      <c r="K1648" s="34"/>
      <c r="L1648" s="34"/>
      <c r="M1648" s="34"/>
      <c r="N1648" s="34"/>
      <c r="O1648" s="34"/>
      <c r="P1648" s="34"/>
      <c r="Q1648" s="34"/>
      <c r="R1648" s="34"/>
      <c r="S1648" s="34"/>
      <c r="T1648" s="34"/>
      <c r="U1648" s="34"/>
      <c r="V1648" s="34"/>
      <c r="W1648" s="34"/>
      <c r="X1648" s="34"/>
      <c r="Y1648" s="34"/>
      <c r="Z1648" s="34"/>
      <c r="AA1648" s="34"/>
      <c r="AB1648" s="34"/>
      <c r="AC1648" s="34"/>
      <c r="AD1648" s="34"/>
      <c r="AE1648" s="34"/>
      <c r="AF1648" s="34"/>
      <c r="AG1648" s="34"/>
      <c r="AH1648" s="34"/>
      <c r="AI1648" s="34"/>
      <c r="AJ1648" s="34"/>
      <c r="AK1648" s="34"/>
      <c r="AL1648" s="34"/>
      <c r="AM1648" s="34"/>
      <c r="AN1648" s="34"/>
      <c r="AO1648" s="34"/>
      <c r="AP1648" s="34"/>
      <c r="AQ1648" s="34"/>
      <c r="AR1648" s="34"/>
      <c r="AS1648" s="34"/>
      <c r="AT1648" s="2"/>
      <c r="AU1648" s="2"/>
    </row>
    <row r="1649" spans="1:47" hidden="1" outlineLevel="1">
      <c r="A1649" s="298"/>
      <c r="B1649" s="2" t="s">
        <v>372</v>
      </c>
      <c r="C1649" s="18" t="s">
        <v>733</v>
      </c>
      <c r="D1649" s="18"/>
      <c r="E1649" s="18"/>
      <c r="F1649" s="18"/>
      <c r="G1649" s="18"/>
      <c r="H1649" s="18"/>
      <c r="I1649" s="18"/>
      <c r="J1649" s="18"/>
      <c r="K1649" s="29">
        <v>5.5999999999999999E-3</v>
      </c>
      <c r="L1649" s="29">
        <v>1.677E-2</v>
      </c>
      <c r="M1649" s="29">
        <v>3.449E-2</v>
      </c>
      <c r="N1649" s="29">
        <v>7.5800000000000006E-2</v>
      </c>
      <c r="O1649" s="29">
        <v>0.12970999999999999</v>
      </c>
      <c r="P1649" s="29">
        <v>0.23485</v>
      </c>
      <c r="Q1649" s="29">
        <v>0.35803000000000001</v>
      </c>
      <c r="R1649" s="29">
        <v>0.47630099999999997</v>
      </c>
      <c r="S1649" s="29">
        <v>0.58172000000000001</v>
      </c>
      <c r="T1649" s="29">
        <v>0.615394</v>
      </c>
      <c r="U1649" s="29">
        <v>0.61453999999999998</v>
      </c>
      <c r="V1649" s="29">
        <v>0.62239999999999995</v>
      </c>
      <c r="W1649" s="29">
        <v>0.63034999999999997</v>
      </c>
      <c r="X1649" s="29">
        <v>0.63841000000000003</v>
      </c>
      <c r="Y1649" s="29">
        <v>0.64656999999999998</v>
      </c>
      <c r="Z1649" s="29">
        <v>0.65483000000000002</v>
      </c>
      <c r="AA1649" s="29">
        <v>0.67483000000000004</v>
      </c>
      <c r="AB1649" s="29">
        <v>0.65483000000000002</v>
      </c>
      <c r="AC1649" s="29">
        <v>0.65483000000000002</v>
      </c>
      <c r="AD1649" s="29">
        <v>0.67483000000000004</v>
      </c>
      <c r="AE1649" s="29">
        <v>0.69483000000000006</v>
      </c>
      <c r="AF1649" s="29">
        <v>0.69483000000000006</v>
      </c>
      <c r="AG1649" s="29">
        <v>0.69483000000000006</v>
      </c>
      <c r="AH1649" s="29">
        <v>0.69483000000000006</v>
      </c>
      <c r="AI1649" s="29">
        <v>0.69483000000000006</v>
      </c>
      <c r="AJ1649" s="29">
        <v>0.69483000000000006</v>
      </c>
      <c r="AK1649" s="29">
        <v>0.69483000000000006</v>
      </c>
      <c r="AL1649" s="29">
        <v>0.69483000000000006</v>
      </c>
      <c r="AM1649" s="29">
        <v>0.69483000000000006</v>
      </c>
      <c r="AN1649" s="29">
        <v>0.69483000000000006</v>
      </c>
      <c r="AO1649" s="29">
        <v>0.69483000000000006</v>
      </c>
      <c r="AP1649" s="29">
        <v>0.69483000000000006</v>
      </c>
      <c r="AQ1649" s="29">
        <v>0.69483000000000006</v>
      </c>
      <c r="AR1649" s="29">
        <v>0.69483000000000006</v>
      </c>
      <c r="AS1649" s="29">
        <v>0.69483000000000006</v>
      </c>
      <c r="AT1649" s="2"/>
      <c r="AU1649" s="2"/>
    </row>
    <row r="1650" spans="1:47" hidden="1" outlineLevel="1">
      <c r="A1650" s="298"/>
      <c r="B1650" s="2" t="s">
        <v>373</v>
      </c>
      <c r="C1650" s="18" t="s">
        <v>846</v>
      </c>
      <c r="D1650" s="18"/>
      <c r="E1650" s="18"/>
      <c r="F1650" s="18"/>
      <c r="G1650" s="18"/>
      <c r="H1650" s="18"/>
      <c r="I1650" s="18"/>
      <c r="J1650" s="18"/>
      <c r="K1650" s="31">
        <v>40.599440000000001</v>
      </c>
      <c r="L1650" s="31">
        <v>123.98060999999998</v>
      </c>
      <c r="M1650" s="31">
        <v>259.023349</v>
      </c>
      <c r="N1650" s="31">
        <v>579.49099999999999</v>
      </c>
      <c r="O1650" s="31">
        <v>1009.53293</v>
      </c>
      <c r="P1650" s="31">
        <v>1860.0119999999999</v>
      </c>
      <c r="Q1650" s="31">
        <v>2885.0057400000001</v>
      </c>
      <c r="R1650" s="31">
        <v>3898.9999859999998</v>
      </c>
      <c r="S1650" s="31">
        <v>4837.0017999999991</v>
      </c>
      <c r="T1650" s="31">
        <v>5197.0023300000003</v>
      </c>
      <c r="U1650" s="31">
        <v>5269.6804999999995</v>
      </c>
      <c r="V1650" s="31">
        <v>5418.6143999999995</v>
      </c>
      <c r="W1650" s="31">
        <v>5559.1688522999993</v>
      </c>
      <c r="X1650" s="31">
        <v>5703.4446955307394</v>
      </c>
      <c r="Y1650" s="31">
        <v>5851.4372078563474</v>
      </c>
      <c r="Z1650" s="31">
        <v>6003.2304050129742</v>
      </c>
      <c r="AA1650" s="31">
        <v>6267.0083134243987</v>
      </c>
      <c r="AB1650" s="31">
        <v>6160.3289414817582</v>
      </c>
      <c r="AC1650" s="31">
        <v>6240.4132177210213</v>
      </c>
      <c r="AD1650" s="31">
        <v>6514.6127794801205</v>
      </c>
      <c r="AE1650" s="31">
        <v>6794.8869000111617</v>
      </c>
      <c r="AF1650" s="31">
        <v>6883.2204297113058</v>
      </c>
      <c r="AG1650" s="31">
        <v>6972.7022952975522</v>
      </c>
      <c r="AH1650" s="31">
        <v>7063.3474251364196</v>
      </c>
      <c r="AI1650" s="31">
        <v>7155.1709416631929</v>
      </c>
      <c r="AJ1650" s="31">
        <v>7248.1881639048142</v>
      </c>
      <c r="AK1650" s="31">
        <v>7342.4146100355765</v>
      </c>
      <c r="AL1650" s="31">
        <v>7437.8659999660385</v>
      </c>
      <c r="AM1650" s="31">
        <v>7534.5582579655957</v>
      </c>
      <c r="AN1650" s="31">
        <v>7632.5075153191474</v>
      </c>
      <c r="AO1650" s="31">
        <v>7731.7301130182968</v>
      </c>
      <c r="AP1650" s="31">
        <v>7832.2426044875338</v>
      </c>
      <c r="AQ1650" s="31">
        <v>7832.2426044875338</v>
      </c>
      <c r="AR1650" s="31">
        <v>7832.2426044875338</v>
      </c>
      <c r="AS1650" s="31">
        <v>7832.2426044875338</v>
      </c>
      <c r="AT1650" s="2"/>
      <c r="AU1650" s="2"/>
    </row>
    <row r="1651" spans="1:47" hidden="1" outlineLevel="1">
      <c r="A1651" s="298"/>
      <c r="B1651" s="2" t="s">
        <v>374</v>
      </c>
      <c r="C1651" s="18" t="s">
        <v>733</v>
      </c>
      <c r="D1651" s="18"/>
      <c r="E1651" s="18"/>
      <c r="F1651" s="18"/>
      <c r="G1651" s="18"/>
      <c r="H1651" s="18"/>
      <c r="I1651" s="18"/>
      <c r="J1651" s="18"/>
      <c r="K1651" s="29">
        <v>0</v>
      </c>
      <c r="L1651" s="29">
        <v>0.54847286200640577</v>
      </c>
      <c r="M1651" s="29">
        <v>0.46327869847748748</v>
      </c>
      <c r="N1651" s="29">
        <v>0.41415656153417396</v>
      </c>
      <c r="O1651" s="29">
        <v>0.42296787683785614</v>
      </c>
      <c r="P1651" s="29">
        <v>0.46773891781343346</v>
      </c>
      <c r="Q1651" s="29">
        <v>0.49947907555982884</v>
      </c>
      <c r="R1651" s="29">
        <v>0.48986919898901482</v>
      </c>
      <c r="S1651" s="29">
        <v>0.46599114352200582</v>
      </c>
      <c r="T1651" s="29">
        <v>0.43755993467103177</v>
      </c>
      <c r="U1651" s="29">
        <v>0.42393461994517506</v>
      </c>
      <c r="V1651" s="29">
        <v>0.44217946196725127</v>
      </c>
      <c r="W1651" s="29">
        <v>0.46751593071772118</v>
      </c>
      <c r="X1651" s="29">
        <v>0.48602207051681579</v>
      </c>
      <c r="Y1651" s="29">
        <v>0.48602207051681579</v>
      </c>
      <c r="Z1651" s="29">
        <v>0.52</v>
      </c>
      <c r="AA1651" s="29">
        <v>0.52</v>
      </c>
      <c r="AB1651" s="29">
        <v>0.52</v>
      </c>
      <c r="AC1651" s="29">
        <v>0.52</v>
      </c>
      <c r="AD1651" s="29">
        <v>0.53</v>
      </c>
      <c r="AE1651" s="29">
        <v>0.53</v>
      </c>
      <c r="AF1651" s="29">
        <v>0.53</v>
      </c>
      <c r="AG1651" s="29">
        <v>0.53</v>
      </c>
      <c r="AH1651" s="29">
        <v>0.53</v>
      </c>
      <c r="AI1651" s="29">
        <v>0.53</v>
      </c>
      <c r="AJ1651" s="29">
        <v>0.53</v>
      </c>
      <c r="AK1651" s="29">
        <v>0.53</v>
      </c>
      <c r="AL1651" s="29">
        <v>0.53</v>
      </c>
      <c r="AM1651" s="29">
        <v>0.53</v>
      </c>
      <c r="AN1651" s="29">
        <v>0.53</v>
      </c>
      <c r="AO1651" s="29">
        <v>0.53</v>
      </c>
      <c r="AP1651" s="29">
        <v>0.53</v>
      </c>
      <c r="AQ1651" s="29">
        <v>0.53</v>
      </c>
      <c r="AR1651" s="29">
        <v>0.53</v>
      </c>
      <c r="AS1651" s="29">
        <v>0.53</v>
      </c>
      <c r="AT1651" s="2"/>
      <c r="AU1651" s="2"/>
    </row>
    <row r="1652" spans="1:47" hidden="1" outlineLevel="1">
      <c r="A1652" s="298"/>
      <c r="B1652" s="2" t="s">
        <v>573</v>
      </c>
      <c r="C1652" s="18" t="s">
        <v>733</v>
      </c>
      <c r="D1652" s="18"/>
      <c r="E1652" s="18"/>
      <c r="F1652" s="18"/>
      <c r="G1652" s="18"/>
      <c r="H1652" s="18"/>
      <c r="I1652" s="18"/>
      <c r="J1652" s="18"/>
      <c r="K1652" s="7">
        <v>0</v>
      </c>
      <c r="L1652" s="7">
        <v>0</v>
      </c>
      <c r="M1652" s="7">
        <v>0</v>
      </c>
      <c r="N1652" s="7">
        <v>0</v>
      </c>
      <c r="O1652" s="7">
        <v>0</v>
      </c>
      <c r="P1652" s="7">
        <v>0</v>
      </c>
      <c r="Q1652" s="7">
        <v>5.2686203667657173E-2</v>
      </c>
      <c r="R1652" s="7">
        <v>7.7968710205581424E-2</v>
      </c>
      <c r="S1652" s="7">
        <v>9.0138482065481154E-2</v>
      </c>
      <c r="T1652" s="7">
        <v>0.11160279776130098</v>
      </c>
      <c r="U1652" s="7">
        <v>0.13947714666951821</v>
      </c>
      <c r="V1652" s="7">
        <v>0.13379804254017413</v>
      </c>
      <c r="W1652" s="7">
        <v>0.1500224264019159</v>
      </c>
      <c r="X1652" s="559">
        <v>0.13400000000000001</v>
      </c>
      <c r="Y1652" s="557">
        <v>0.1135</v>
      </c>
      <c r="Z1652" s="557">
        <v>9.2299999999999993E-2</v>
      </c>
      <c r="AA1652" s="557">
        <v>7.3599999999999999E-2</v>
      </c>
      <c r="AB1652" s="557">
        <v>5.5800000000000002E-2</v>
      </c>
      <c r="AC1652" s="557">
        <v>3.8899999999999997E-2</v>
      </c>
      <c r="AD1652" s="557">
        <v>0</v>
      </c>
      <c r="AE1652" s="230">
        <v>0</v>
      </c>
      <c r="AF1652" s="230">
        <v>0</v>
      </c>
      <c r="AG1652" s="230">
        <v>0</v>
      </c>
      <c r="AH1652" s="230">
        <v>0</v>
      </c>
      <c r="AI1652" s="230">
        <v>0</v>
      </c>
      <c r="AJ1652" s="230">
        <v>0</v>
      </c>
      <c r="AK1652" s="230">
        <v>0</v>
      </c>
      <c r="AL1652" s="230">
        <v>0</v>
      </c>
      <c r="AM1652" s="230">
        <v>0</v>
      </c>
      <c r="AN1652" s="230">
        <v>0</v>
      </c>
      <c r="AO1652" s="231">
        <v>0</v>
      </c>
      <c r="AP1652" s="231">
        <v>0</v>
      </c>
      <c r="AQ1652" s="231">
        <v>0</v>
      </c>
      <c r="AR1652" s="231">
        <v>0</v>
      </c>
      <c r="AS1652" s="231">
        <v>0</v>
      </c>
      <c r="AT1652" s="2"/>
      <c r="AU1652" s="2"/>
    </row>
    <row r="1653" spans="1:47" hidden="1" outlineLevel="1">
      <c r="A1653" s="298"/>
      <c r="B1653" s="2"/>
      <c r="C1653" s="18"/>
      <c r="D1653" s="18"/>
      <c r="E1653" s="18"/>
      <c r="F1653" s="18"/>
      <c r="G1653" s="18"/>
      <c r="H1653" s="18"/>
      <c r="I1653" s="18"/>
      <c r="J1653" s="18"/>
      <c r="K1653" s="34"/>
      <c r="L1653" s="34"/>
      <c r="M1653" s="34"/>
      <c r="N1653" s="34"/>
      <c r="O1653" s="34"/>
      <c r="P1653" s="34"/>
      <c r="Q1653" s="34"/>
      <c r="R1653" s="34"/>
      <c r="S1653" s="34"/>
      <c r="T1653" s="34"/>
      <c r="U1653" s="34"/>
      <c r="V1653" s="34"/>
      <c r="W1653" s="34"/>
      <c r="X1653" s="34"/>
      <c r="Y1653" s="34"/>
      <c r="Z1653" s="34"/>
      <c r="AA1653" s="34"/>
      <c r="AB1653" s="34"/>
      <c r="AC1653" s="34"/>
      <c r="AD1653" s="34"/>
      <c r="AE1653" s="34"/>
      <c r="AF1653" s="34"/>
      <c r="AG1653" s="34"/>
      <c r="AH1653" s="34"/>
      <c r="AI1653" s="34"/>
      <c r="AJ1653" s="34"/>
      <c r="AK1653" s="34"/>
      <c r="AL1653" s="34"/>
      <c r="AM1653" s="34"/>
      <c r="AN1653" s="34"/>
      <c r="AO1653" s="34"/>
      <c r="AP1653" s="34"/>
      <c r="AQ1653" s="34"/>
      <c r="AR1653" s="34"/>
      <c r="AS1653" s="34"/>
      <c r="AT1653" s="2"/>
      <c r="AU1653" s="2"/>
    </row>
    <row r="1654" spans="1:47" hidden="1" outlineLevel="1">
      <c r="A1654" s="298"/>
      <c r="B1654" s="6" t="s">
        <v>367</v>
      </c>
      <c r="C1654" s="21"/>
      <c r="D1654" s="21"/>
      <c r="E1654" s="21"/>
      <c r="F1654" s="21"/>
      <c r="G1654" s="21"/>
      <c r="H1654" s="21"/>
      <c r="I1654" s="21"/>
      <c r="J1654" s="21"/>
      <c r="K1654" s="34"/>
      <c r="L1654" s="34"/>
      <c r="M1654" s="34"/>
      <c r="N1654" s="34"/>
      <c r="O1654" s="34"/>
      <c r="P1654" s="34"/>
      <c r="Q1654" s="34"/>
      <c r="R1654" s="34"/>
      <c r="S1654" s="34"/>
      <c r="T1654" s="34"/>
      <c r="U1654" s="34"/>
      <c r="V1654" s="34"/>
      <c r="W1654" s="34"/>
      <c r="X1654" s="34"/>
      <c r="Y1654" s="34"/>
      <c r="Z1654" s="34"/>
      <c r="AA1654" s="34"/>
      <c r="AB1654" s="34"/>
      <c r="AC1654" s="34"/>
      <c r="AD1654" s="34"/>
      <c r="AE1654" s="34"/>
      <c r="AF1654" s="34"/>
      <c r="AG1654" s="34"/>
      <c r="AH1654" s="34"/>
      <c r="AI1654" s="34"/>
      <c r="AJ1654" s="34"/>
      <c r="AK1654" s="34"/>
      <c r="AL1654" s="34"/>
      <c r="AM1654" s="34"/>
      <c r="AN1654" s="34"/>
      <c r="AO1654" s="34"/>
      <c r="AP1654" s="34"/>
      <c r="AQ1654" s="34"/>
      <c r="AR1654" s="34"/>
      <c r="AS1654" s="34"/>
      <c r="AT1654" s="2"/>
      <c r="AU1654" s="2"/>
    </row>
    <row r="1655" spans="1:47" hidden="1" outlineLevel="1">
      <c r="A1655" s="298"/>
      <c r="B1655" s="55" t="s">
        <v>574</v>
      </c>
      <c r="C1655" s="18" t="s">
        <v>846</v>
      </c>
      <c r="D1655" s="18"/>
      <c r="E1655" s="18"/>
      <c r="F1655" s="18"/>
      <c r="G1655" s="18"/>
      <c r="H1655" s="18"/>
      <c r="I1655" s="18"/>
      <c r="J1655" s="18"/>
      <c r="K1655" s="7"/>
      <c r="L1655" s="7"/>
      <c r="M1655" s="7"/>
      <c r="N1655" s="7"/>
      <c r="O1655" s="7"/>
      <c r="P1655" s="532">
        <v>0</v>
      </c>
      <c r="Q1655" s="532">
        <v>152</v>
      </c>
      <c r="R1655" s="532">
        <v>304</v>
      </c>
      <c r="S1655" s="532">
        <v>436</v>
      </c>
      <c r="T1655" s="532">
        <v>580</v>
      </c>
      <c r="U1655" s="532">
        <v>735</v>
      </c>
      <c r="V1655" s="532">
        <v>725</v>
      </c>
      <c r="W1655" s="536">
        <v>834</v>
      </c>
      <c r="X1655" s="31">
        <v>764.26158920111914</v>
      </c>
      <c r="Y1655" s="31">
        <v>664.13812309169543</v>
      </c>
      <c r="Z1655" s="31">
        <v>554.09816638269751</v>
      </c>
      <c r="AA1655" s="31">
        <v>461.25181186803576</v>
      </c>
      <c r="AB1655" s="31">
        <v>343.74635493468213</v>
      </c>
      <c r="AC1655" s="31">
        <v>242.75207416934771</v>
      </c>
      <c r="AD1655" s="31">
        <v>0</v>
      </c>
      <c r="AE1655" s="34"/>
      <c r="AF1655" s="34"/>
      <c r="AG1655" s="34"/>
      <c r="AH1655" s="34"/>
      <c r="AI1655" s="34"/>
      <c r="AJ1655" s="34"/>
      <c r="AK1655" s="34"/>
      <c r="AL1655" s="34"/>
      <c r="AM1655" s="34"/>
      <c r="AN1655" s="34"/>
      <c r="AO1655" s="34"/>
      <c r="AP1655" s="34"/>
      <c r="AQ1655" s="34"/>
      <c r="AR1655" s="34"/>
      <c r="AS1655" s="34"/>
      <c r="AT1655" s="2"/>
      <c r="AU1655" s="2"/>
    </row>
    <row r="1656" spans="1:47" hidden="1" outlineLevel="1">
      <c r="A1656" s="298"/>
      <c r="B1656" s="241" t="s">
        <v>1099</v>
      </c>
      <c r="C1656" s="18" t="s">
        <v>733</v>
      </c>
      <c r="D1656" s="18"/>
      <c r="E1656" s="18"/>
      <c r="F1656" s="18"/>
      <c r="G1656" s="18"/>
      <c r="H1656" s="18"/>
      <c r="I1656" s="18"/>
      <c r="J1656" s="18"/>
      <c r="K1656" s="7"/>
      <c r="L1656" s="7"/>
      <c r="M1656" s="7"/>
      <c r="N1656" s="7"/>
      <c r="O1656" s="7"/>
      <c r="P1656" s="7"/>
      <c r="Q1656" s="7"/>
      <c r="R1656" s="7">
        <v>1</v>
      </c>
      <c r="S1656" s="7">
        <v>0.43421052631578938</v>
      </c>
      <c r="T1656" s="7">
        <v>0.33027522935779818</v>
      </c>
      <c r="U1656" s="7">
        <v>0.26724137931034475</v>
      </c>
      <c r="V1656" s="7">
        <v>-1.3605442176870763E-2</v>
      </c>
      <c r="W1656" s="7">
        <v>0.15034482758620693</v>
      </c>
      <c r="X1656" s="7">
        <v>-8.3619197600576567E-2</v>
      </c>
      <c r="Y1656" s="7">
        <v>-0.13100680123684161</v>
      </c>
      <c r="Z1656" s="7">
        <v>-0.16568836042228685</v>
      </c>
      <c r="AA1656" s="7">
        <v>-0.16756300624632603</v>
      </c>
      <c r="AB1656" s="7">
        <v>-0.25475337746092575</v>
      </c>
      <c r="AC1656" s="7">
        <v>-0.293804659498208</v>
      </c>
      <c r="AD1656" s="7">
        <v>-1</v>
      </c>
      <c r="AE1656" s="34"/>
      <c r="AF1656" s="34"/>
      <c r="AG1656" s="34"/>
      <c r="AH1656" s="34"/>
      <c r="AI1656" s="34"/>
      <c r="AJ1656" s="34"/>
      <c r="AK1656" s="34"/>
      <c r="AL1656" s="34"/>
      <c r="AM1656" s="34"/>
      <c r="AN1656" s="34"/>
      <c r="AO1656" s="34"/>
      <c r="AP1656" s="34"/>
      <c r="AQ1656" s="34"/>
      <c r="AR1656" s="34"/>
      <c r="AS1656" s="34"/>
      <c r="AT1656" s="2"/>
      <c r="AU1656" s="2"/>
    </row>
    <row r="1657" spans="1:47" hidden="1" outlineLevel="1">
      <c r="A1657" s="298"/>
      <c r="B1657" s="55" t="s">
        <v>575</v>
      </c>
      <c r="C1657" s="18" t="s">
        <v>846</v>
      </c>
      <c r="D1657" s="18"/>
      <c r="E1657" s="18"/>
      <c r="F1657" s="18"/>
      <c r="G1657" s="18"/>
      <c r="H1657" s="18"/>
      <c r="I1657" s="18"/>
      <c r="J1657" s="18"/>
      <c r="K1657" s="7"/>
      <c r="L1657" s="7"/>
      <c r="M1657" s="7"/>
      <c r="N1657" s="7"/>
      <c r="O1657" s="7"/>
      <c r="P1657" s="7"/>
      <c r="Q1657" s="31">
        <v>76</v>
      </c>
      <c r="R1657" s="31">
        <v>228</v>
      </c>
      <c r="S1657" s="31">
        <v>370</v>
      </c>
      <c r="T1657" s="31">
        <v>508</v>
      </c>
      <c r="U1657" s="31">
        <v>657.5</v>
      </c>
      <c r="V1657" s="31">
        <v>730</v>
      </c>
      <c r="W1657" s="31">
        <v>779.5</v>
      </c>
      <c r="X1657" s="31">
        <v>799.13079460055951</v>
      </c>
      <c r="Y1657" s="31">
        <v>714.19985614640723</v>
      </c>
      <c r="Z1657" s="31">
        <v>609.11814473719642</v>
      </c>
      <c r="AA1657" s="31">
        <v>507.67498912536666</v>
      </c>
      <c r="AB1657" s="31">
        <v>402.49908340135892</v>
      </c>
      <c r="AC1657" s="31">
        <v>293.24921455201491</v>
      </c>
      <c r="AD1657" s="31">
        <v>121.37603708467385</v>
      </c>
      <c r="AE1657" s="34"/>
      <c r="AF1657" s="34"/>
      <c r="AG1657" s="34"/>
      <c r="AH1657" s="34"/>
      <c r="AI1657" s="34"/>
      <c r="AJ1657" s="34"/>
      <c r="AK1657" s="34"/>
      <c r="AL1657" s="34"/>
      <c r="AM1657" s="34"/>
      <c r="AN1657" s="34"/>
      <c r="AO1657" s="34"/>
      <c r="AP1657" s="34"/>
      <c r="AQ1657" s="34"/>
      <c r="AR1657" s="34"/>
      <c r="AS1657" s="34"/>
      <c r="AT1657" s="2"/>
      <c r="AU1657" s="2"/>
    </row>
    <row r="1658" spans="1:47" hidden="1" outlineLevel="1">
      <c r="A1658" s="298"/>
      <c r="B1658" s="6"/>
      <c r="C1658" s="21"/>
      <c r="D1658" s="21"/>
      <c r="E1658" s="21"/>
      <c r="F1658" s="21"/>
      <c r="G1658" s="21"/>
      <c r="H1658" s="21"/>
      <c r="I1658" s="21"/>
      <c r="J1658" s="21"/>
      <c r="K1658" s="34"/>
      <c r="L1658" s="34"/>
      <c r="M1658" s="34"/>
      <c r="N1658" s="34"/>
      <c r="O1658" s="34"/>
      <c r="P1658" s="34"/>
      <c r="Q1658" s="34"/>
      <c r="R1658" s="34"/>
      <c r="S1658" s="34"/>
      <c r="T1658" s="34"/>
      <c r="U1658" s="34"/>
      <c r="V1658" s="34"/>
      <c r="W1658" s="34"/>
      <c r="X1658" s="34"/>
      <c r="Y1658" s="34"/>
      <c r="Z1658" s="34"/>
      <c r="AA1658" s="34"/>
      <c r="AB1658" s="34"/>
      <c r="AC1658" s="34"/>
      <c r="AD1658" s="34"/>
      <c r="AE1658" s="34"/>
      <c r="AF1658" s="34"/>
      <c r="AG1658" s="34"/>
      <c r="AH1658" s="34"/>
      <c r="AI1658" s="34"/>
      <c r="AJ1658" s="34"/>
      <c r="AK1658" s="34"/>
      <c r="AL1658" s="34"/>
      <c r="AM1658" s="34"/>
      <c r="AN1658" s="34"/>
      <c r="AO1658" s="34"/>
      <c r="AP1658" s="34"/>
      <c r="AQ1658" s="34"/>
      <c r="AR1658" s="34"/>
      <c r="AS1658" s="34"/>
      <c r="AT1658" s="2"/>
      <c r="AU1658" s="2"/>
    </row>
    <row r="1659" spans="1:47" hidden="1" outlineLevel="1">
      <c r="A1659" s="298"/>
      <c r="B1659" s="6" t="s">
        <v>684</v>
      </c>
      <c r="C1659" s="21"/>
      <c r="D1659" s="21"/>
      <c r="E1659" s="21"/>
      <c r="F1659" s="21"/>
      <c r="G1659" s="21"/>
      <c r="H1659" s="21"/>
      <c r="I1659" s="21"/>
      <c r="J1659" s="21"/>
      <c r="K1659" s="34"/>
      <c r="L1659" s="34"/>
      <c r="M1659" s="34"/>
      <c r="N1659" s="34"/>
      <c r="O1659" s="34"/>
      <c r="P1659" s="34"/>
      <c r="Q1659" s="34"/>
      <c r="R1659" s="34"/>
      <c r="S1659" s="34"/>
      <c r="T1659" s="34"/>
      <c r="U1659" s="34"/>
      <c r="V1659" s="34"/>
      <c r="W1659" s="34"/>
      <c r="X1659" s="34"/>
      <c r="Y1659" s="34"/>
      <c r="Z1659" s="34"/>
      <c r="AA1659" s="34"/>
      <c r="AB1659" s="34"/>
      <c r="AC1659" s="34"/>
      <c r="AD1659" s="34"/>
      <c r="AE1659" s="34"/>
      <c r="AF1659" s="34"/>
      <c r="AG1659" s="34"/>
      <c r="AH1659" s="34"/>
      <c r="AI1659" s="34"/>
      <c r="AJ1659" s="34"/>
      <c r="AK1659" s="34"/>
      <c r="AL1659" s="34"/>
      <c r="AM1659" s="34"/>
      <c r="AN1659" s="34"/>
      <c r="AO1659" s="34"/>
      <c r="AP1659" s="34"/>
      <c r="AQ1659" s="34"/>
      <c r="AR1659" s="34"/>
      <c r="AS1659" s="34"/>
      <c r="AT1659" s="2"/>
      <c r="AU1659" s="2"/>
    </row>
    <row r="1660" spans="1:47" hidden="1" outlineLevel="1">
      <c r="A1660" s="298"/>
      <c r="B1660" s="55" t="s">
        <v>818</v>
      </c>
      <c r="C1660" s="18" t="s">
        <v>306</v>
      </c>
      <c r="D1660" s="18"/>
      <c r="E1660" s="18"/>
      <c r="F1660" s="18"/>
      <c r="G1660" s="18"/>
      <c r="H1660" s="18"/>
      <c r="I1660" s="18"/>
      <c r="J1660" s="18"/>
      <c r="K1660" s="34"/>
      <c r="L1660" s="34"/>
      <c r="M1660" s="34"/>
      <c r="N1660" s="34"/>
      <c r="O1660" s="34"/>
      <c r="P1660" s="34"/>
      <c r="Q1660" s="532">
        <v>2.5</v>
      </c>
      <c r="R1660" s="532">
        <v>8.4</v>
      </c>
      <c r="S1660" s="532">
        <v>5.18</v>
      </c>
      <c r="T1660" s="42">
        <v>4.757217847769029</v>
      </c>
      <c r="U1660" s="42">
        <v>5.0697084917617232</v>
      </c>
      <c r="V1660" s="42">
        <v>3.5388127853881279</v>
      </c>
      <c r="W1660" s="42">
        <v>2.7795595467179814</v>
      </c>
      <c r="X1660" s="42">
        <v>2.2236476373743854</v>
      </c>
      <c r="Y1660" s="42">
        <v>2.1569382082531536</v>
      </c>
      <c r="Z1660" s="42">
        <v>2.0922300620055592</v>
      </c>
      <c r="AA1660" s="42">
        <v>2.0294631601453923</v>
      </c>
      <c r="AB1660" s="42">
        <v>1.9685792653410306</v>
      </c>
      <c r="AC1660" s="42">
        <v>1.9095218873807995</v>
      </c>
      <c r="AD1660" s="42">
        <v>1.8522362307593756</v>
      </c>
      <c r="AE1660" s="42">
        <v>1.7966691438365943</v>
      </c>
      <c r="AF1660" s="42">
        <v>1.7427690695214964</v>
      </c>
      <c r="AG1660" s="42">
        <v>1.6904859974358515</v>
      </c>
      <c r="AH1660" s="42">
        <v>1.639771417512776</v>
      </c>
      <c r="AI1660" s="42">
        <v>1.5905782749873927</v>
      </c>
      <c r="AJ1660" s="42">
        <v>1.5428609267377709</v>
      </c>
      <c r="AK1660" s="42">
        <v>1.4965750989356377</v>
      </c>
      <c r="AL1660" s="42">
        <v>1.4516778459675685</v>
      </c>
      <c r="AM1660" s="42">
        <v>1.4081275105885414</v>
      </c>
      <c r="AN1660" s="42">
        <v>1.3658836852708851</v>
      </c>
      <c r="AO1660" s="42">
        <v>1.3249071747127585</v>
      </c>
      <c r="AP1660" s="42">
        <v>1.2851599594713758</v>
      </c>
      <c r="AQ1660" s="42">
        <v>1.2851599594713758</v>
      </c>
      <c r="AR1660" s="42">
        <v>1.2851599594713758</v>
      </c>
      <c r="AS1660" s="42">
        <v>1.2851599594713758</v>
      </c>
      <c r="AT1660" s="2"/>
      <c r="AU1660" s="2"/>
    </row>
    <row r="1661" spans="1:47" hidden="1" outlineLevel="1">
      <c r="A1661" s="298"/>
      <c r="B1661" s="241" t="s">
        <v>1099</v>
      </c>
      <c r="C1661" s="18" t="s">
        <v>733</v>
      </c>
      <c r="D1661" s="18"/>
      <c r="E1661" s="18"/>
      <c r="F1661" s="18"/>
      <c r="G1661" s="18"/>
      <c r="H1661" s="18"/>
      <c r="I1661" s="18"/>
      <c r="J1661" s="18"/>
      <c r="K1661" s="34"/>
      <c r="L1661" s="34"/>
      <c r="M1661" s="34"/>
      <c r="N1661" s="34"/>
      <c r="O1661" s="34"/>
      <c r="P1661" s="34"/>
      <c r="Q1661" s="34"/>
      <c r="R1661" s="7">
        <v>1.3600000000000003</v>
      </c>
      <c r="S1661" s="7">
        <v>-1.3833333333333333</v>
      </c>
      <c r="T1661" s="7">
        <v>-1.081618176106365</v>
      </c>
      <c r="U1661" s="7">
        <v>-0.93431231152484617</v>
      </c>
      <c r="V1661" s="7">
        <v>-1.3019691780821918</v>
      </c>
      <c r="W1661" s="7">
        <v>-1.2145502700242092</v>
      </c>
      <c r="X1661" s="559">
        <v>-0.2</v>
      </c>
      <c r="Y1661" s="557">
        <v>-0.03</v>
      </c>
      <c r="Z1661" s="230">
        <v>-0.03</v>
      </c>
      <c r="AA1661" s="230">
        <v>-0.03</v>
      </c>
      <c r="AB1661" s="230">
        <v>-0.03</v>
      </c>
      <c r="AC1661" s="230">
        <v>-0.03</v>
      </c>
      <c r="AD1661" s="230">
        <v>-0.03</v>
      </c>
      <c r="AE1661" s="230">
        <v>-0.03</v>
      </c>
      <c r="AF1661" s="230">
        <v>-0.03</v>
      </c>
      <c r="AG1661" s="230">
        <v>-0.03</v>
      </c>
      <c r="AH1661" s="230">
        <v>-0.03</v>
      </c>
      <c r="AI1661" s="230">
        <v>-0.03</v>
      </c>
      <c r="AJ1661" s="230">
        <v>-0.03</v>
      </c>
      <c r="AK1661" s="230">
        <v>-0.03</v>
      </c>
      <c r="AL1661" s="230">
        <v>-0.03</v>
      </c>
      <c r="AM1661" s="230">
        <v>-0.03</v>
      </c>
      <c r="AN1661" s="230">
        <v>-0.03</v>
      </c>
      <c r="AO1661" s="231">
        <v>-0.03</v>
      </c>
      <c r="AP1661" s="231">
        <v>-0.03</v>
      </c>
      <c r="AQ1661" s="231">
        <v>-0.03</v>
      </c>
      <c r="AR1661" s="231">
        <v>-0.03</v>
      </c>
      <c r="AS1661" s="231">
        <v>-0.03</v>
      </c>
      <c r="AT1661" s="2"/>
      <c r="AU1661" s="2"/>
    </row>
    <row r="1662" spans="1:47" hidden="1" outlineLevel="1">
      <c r="A1662" s="298"/>
      <c r="B1662" s="6"/>
      <c r="C1662" s="21"/>
      <c r="D1662" s="21"/>
      <c r="E1662" s="21"/>
      <c r="F1662" s="21"/>
      <c r="G1662" s="21"/>
      <c r="H1662" s="21"/>
      <c r="I1662" s="21"/>
      <c r="J1662" s="21"/>
      <c r="K1662" s="34"/>
      <c r="L1662" s="34"/>
      <c r="M1662" s="34"/>
      <c r="N1662" s="34"/>
      <c r="O1662" s="34"/>
      <c r="P1662" s="34"/>
      <c r="Q1662" s="34"/>
      <c r="R1662" s="34"/>
      <c r="S1662" s="34"/>
      <c r="T1662" s="34"/>
      <c r="U1662" s="34"/>
      <c r="V1662" s="34"/>
      <c r="W1662" s="34"/>
      <c r="X1662" s="34"/>
      <c r="Y1662" s="34"/>
      <c r="Z1662" s="34"/>
      <c r="AA1662" s="34"/>
      <c r="AB1662" s="34"/>
      <c r="AC1662" s="34"/>
      <c r="AD1662" s="34"/>
      <c r="AE1662" s="34"/>
      <c r="AF1662" s="34"/>
      <c r="AG1662" s="34"/>
      <c r="AH1662" s="34"/>
      <c r="AI1662" s="34"/>
      <c r="AJ1662" s="34"/>
      <c r="AK1662" s="34"/>
      <c r="AL1662" s="34"/>
      <c r="AM1662" s="34"/>
      <c r="AN1662" s="34"/>
      <c r="AO1662" s="34"/>
      <c r="AP1662" s="34"/>
      <c r="AQ1662" s="34"/>
      <c r="AR1662" s="34"/>
      <c r="AS1662" s="34"/>
      <c r="AT1662" s="2"/>
      <c r="AU1662" s="2"/>
    </row>
    <row r="1663" spans="1:47" hidden="1" outlineLevel="1">
      <c r="A1663" s="298"/>
      <c r="B1663" s="173" t="s">
        <v>819</v>
      </c>
      <c r="C1663" s="169" t="s">
        <v>142</v>
      </c>
      <c r="D1663" s="169"/>
      <c r="E1663" s="169"/>
      <c r="F1663" s="169"/>
      <c r="G1663" s="169"/>
      <c r="H1663" s="169"/>
      <c r="I1663" s="169"/>
      <c r="J1663" s="169"/>
      <c r="K1663" s="27"/>
      <c r="L1663" s="27"/>
      <c r="M1663" s="27"/>
      <c r="N1663" s="27"/>
      <c r="O1663" s="27"/>
      <c r="P1663" s="27"/>
      <c r="Q1663" s="223">
        <v>2.2799999999999998</v>
      </c>
      <c r="R1663" s="223">
        <v>22.982400000000002</v>
      </c>
      <c r="S1663" s="223">
        <v>22.999199999999998</v>
      </c>
      <c r="T1663" s="27">
        <v>29</v>
      </c>
      <c r="U1663" s="555">
        <v>40</v>
      </c>
      <c r="V1663" s="555">
        <v>31</v>
      </c>
      <c r="W1663" s="554">
        <v>26</v>
      </c>
      <c r="X1663" s="554">
        <v>0</v>
      </c>
      <c r="Y1663" s="554">
        <v>0</v>
      </c>
      <c r="Z1663" s="554">
        <v>0</v>
      </c>
      <c r="AA1663" s="554">
        <v>0</v>
      </c>
      <c r="AB1663" s="554">
        <v>0</v>
      </c>
      <c r="AC1663" s="554">
        <v>0</v>
      </c>
      <c r="AD1663" s="554">
        <v>0</v>
      </c>
      <c r="AE1663" s="554">
        <v>0</v>
      </c>
      <c r="AF1663" s="554">
        <v>0</v>
      </c>
      <c r="AG1663" s="554">
        <v>0</v>
      </c>
      <c r="AH1663" s="554">
        <v>0</v>
      </c>
      <c r="AI1663" s="554">
        <v>0</v>
      </c>
      <c r="AJ1663" s="554">
        <v>0</v>
      </c>
      <c r="AK1663" s="554">
        <v>0</v>
      </c>
      <c r="AL1663" s="554">
        <v>0</v>
      </c>
      <c r="AM1663" s="554">
        <v>0</v>
      </c>
      <c r="AN1663" s="554">
        <v>0</v>
      </c>
      <c r="AO1663" s="554">
        <v>0</v>
      </c>
      <c r="AP1663" s="554">
        <v>0</v>
      </c>
      <c r="AQ1663" s="554">
        <v>0</v>
      </c>
      <c r="AR1663" s="554">
        <v>0</v>
      </c>
      <c r="AS1663" s="554">
        <v>0</v>
      </c>
      <c r="AT1663" s="2"/>
      <c r="AU1663" s="2"/>
    </row>
    <row r="1664" spans="1:47" hidden="1" outlineLevel="1">
      <c r="A1664" s="298"/>
      <c r="B1664" s="241" t="s">
        <v>1099</v>
      </c>
      <c r="C1664" s="18" t="s">
        <v>733</v>
      </c>
      <c r="D1664" s="18"/>
      <c r="E1664" s="18"/>
      <c r="F1664" s="18"/>
      <c r="G1664" s="18"/>
      <c r="H1664" s="18"/>
      <c r="I1664" s="18"/>
      <c r="J1664" s="18"/>
      <c r="K1664" s="34"/>
      <c r="L1664" s="34"/>
      <c r="M1664" s="34"/>
      <c r="N1664" s="34"/>
      <c r="O1664" s="34"/>
      <c r="P1664" s="34"/>
      <c r="Q1664" s="34"/>
      <c r="R1664" s="7">
        <v>9.0800000000000018</v>
      </c>
      <c r="S1664" s="7">
        <v>7.3099415204658236E-4</v>
      </c>
      <c r="T1664" s="7">
        <v>0.2609134230755854</v>
      </c>
      <c r="U1664" s="7">
        <v>0.3793103448275863</v>
      </c>
      <c r="V1664" s="7">
        <v>-0.22499999999999998</v>
      </c>
      <c r="W1664" s="7">
        <v>-0.16129032258064513</v>
      </c>
      <c r="X1664" s="7">
        <v>-1</v>
      </c>
      <c r="Y1664" s="7"/>
      <c r="Z1664" s="7"/>
      <c r="AA1664" s="7"/>
      <c r="AB1664" s="7"/>
      <c r="AC1664" s="7"/>
      <c r="AD1664" s="7"/>
      <c r="AE1664" s="7"/>
      <c r="AF1664" s="7"/>
      <c r="AG1664" s="7"/>
      <c r="AH1664" s="7"/>
      <c r="AI1664" s="7"/>
      <c r="AJ1664" s="7"/>
      <c r="AK1664" s="7"/>
      <c r="AL1664" s="7"/>
      <c r="AM1664" s="7"/>
      <c r="AN1664" s="7"/>
      <c r="AO1664" s="7"/>
      <c r="AP1664" s="7"/>
      <c r="AQ1664" s="7"/>
      <c r="AR1664" s="7"/>
      <c r="AS1664" s="7"/>
      <c r="AT1664" s="2"/>
      <c r="AU1664" s="2"/>
    </row>
    <row r="1665" spans="1:47" ht="14.4" hidden="1" outlineLevel="1" thickBot="1">
      <c r="A1665" s="298"/>
      <c r="B1665" s="218"/>
      <c r="C1665" s="104"/>
      <c r="D1665" s="104"/>
      <c r="E1665" s="104"/>
      <c r="F1665" s="104"/>
      <c r="G1665" s="104"/>
      <c r="H1665" s="104"/>
      <c r="I1665" s="104"/>
      <c r="J1665" s="104"/>
      <c r="K1665" s="105"/>
      <c r="L1665" s="105"/>
      <c r="M1665" s="105"/>
      <c r="N1665" s="105"/>
      <c r="O1665" s="105"/>
      <c r="P1665" s="105"/>
      <c r="Q1665" s="105"/>
      <c r="R1665" s="105"/>
      <c r="S1665" s="105"/>
      <c r="T1665" s="105"/>
      <c r="U1665" s="105"/>
      <c r="V1665" s="105"/>
      <c r="W1665" s="105"/>
      <c r="X1665" s="105"/>
      <c r="Y1665" s="105"/>
      <c r="Z1665" s="105"/>
      <c r="AA1665" s="105"/>
      <c r="AB1665" s="105"/>
      <c r="AC1665" s="105"/>
      <c r="AD1665" s="105"/>
      <c r="AE1665" s="105"/>
      <c r="AF1665" s="105"/>
      <c r="AG1665" s="105"/>
      <c r="AH1665" s="105"/>
      <c r="AI1665" s="105"/>
      <c r="AJ1665" s="105"/>
      <c r="AK1665" s="105"/>
      <c r="AL1665" s="105"/>
      <c r="AM1665" s="105"/>
      <c r="AN1665" s="105"/>
      <c r="AO1665" s="105"/>
      <c r="AP1665" s="105"/>
      <c r="AQ1665" s="105"/>
      <c r="AR1665" s="105"/>
      <c r="AS1665" s="105"/>
      <c r="AT1665" s="2"/>
      <c r="AU1665" s="2"/>
    </row>
    <row r="1666" spans="1:47" hidden="1" outlineLevel="1">
      <c r="A1666" s="298"/>
      <c r="B1666" s="6"/>
      <c r="C1666" s="21"/>
      <c r="D1666" s="21"/>
      <c r="E1666" s="21"/>
      <c r="F1666" s="21"/>
      <c r="G1666" s="21"/>
      <c r="H1666" s="21"/>
      <c r="I1666" s="21"/>
      <c r="J1666" s="21"/>
      <c r="K1666" s="34"/>
      <c r="L1666" s="34"/>
      <c r="M1666" s="34"/>
      <c r="N1666" s="34"/>
      <c r="O1666" s="34"/>
      <c r="P1666" s="34"/>
      <c r="Q1666" s="34"/>
      <c r="R1666" s="34"/>
      <c r="S1666" s="34"/>
      <c r="T1666" s="34"/>
      <c r="U1666" s="34"/>
      <c r="V1666" s="34"/>
      <c r="W1666" s="34"/>
      <c r="X1666" s="34"/>
      <c r="Y1666" s="34"/>
      <c r="Z1666" s="34"/>
      <c r="AA1666" s="34"/>
      <c r="AB1666" s="34"/>
      <c r="AC1666" s="34"/>
      <c r="AD1666" s="34"/>
      <c r="AE1666" s="34"/>
      <c r="AF1666" s="34"/>
      <c r="AG1666" s="34"/>
      <c r="AH1666" s="34"/>
      <c r="AI1666" s="34"/>
      <c r="AJ1666" s="34"/>
      <c r="AK1666" s="34"/>
      <c r="AL1666" s="34"/>
      <c r="AM1666" s="34"/>
      <c r="AN1666" s="34"/>
      <c r="AO1666" s="34"/>
      <c r="AP1666" s="34"/>
      <c r="AQ1666" s="34"/>
      <c r="AR1666" s="34"/>
      <c r="AS1666" s="34"/>
      <c r="AT1666" s="2"/>
      <c r="AU1666" s="2"/>
    </row>
    <row r="1667" spans="1:47" ht="15.6" hidden="1" outlineLevel="1">
      <c r="A1667" s="298"/>
      <c r="B1667" s="237" t="s">
        <v>826</v>
      </c>
      <c r="C1667" s="238"/>
      <c r="D1667" s="239"/>
      <c r="E1667" s="239"/>
      <c r="F1667" s="239"/>
      <c r="G1667" s="239"/>
      <c r="H1667" s="239"/>
      <c r="I1667" s="239"/>
      <c r="J1667" s="239"/>
      <c r="K1667" s="239"/>
      <c r="L1667" s="239"/>
      <c r="M1667" s="239"/>
      <c r="N1667" s="239"/>
      <c r="O1667" s="239"/>
      <c r="P1667" s="239"/>
      <c r="Q1667" s="239"/>
      <c r="R1667" s="239"/>
      <c r="S1667" s="239"/>
      <c r="T1667" s="239"/>
      <c r="U1667" s="239"/>
      <c r="V1667" s="239"/>
      <c r="W1667" s="239"/>
      <c r="X1667" s="239"/>
      <c r="Y1667" s="239"/>
      <c r="Z1667" s="239"/>
      <c r="AA1667" s="239"/>
      <c r="AB1667" s="239"/>
      <c r="AC1667" s="239"/>
      <c r="AD1667" s="239"/>
      <c r="AE1667" s="239"/>
      <c r="AF1667" s="239"/>
      <c r="AG1667" s="239"/>
      <c r="AH1667" s="239"/>
      <c r="AI1667" s="239"/>
      <c r="AJ1667" s="239"/>
      <c r="AK1667" s="239"/>
      <c r="AL1667" s="239"/>
      <c r="AM1667" s="239"/>
      <c r="AN1667" s="239"/>
      <c r="AO1667" s="270"/>
      <c r="AP1667" s="240"/>
      <c r="AQ1667" s="240"/>
      <c r="AR1667" s="240"/>
      <c r="AS1667" s="240"/>
      <c r="AT1667" s="2"/>
      <c r="AU1667" s="2"/>
    </row>
    <row r="1668" spans="1:47" hidden="1" outlineLevel="1">
      <c r="A1668" s="298"/>
      <c r="B1668" s="2"/>
      <c r="C1668" s="18"/>
      <c r="D1668" s="18"/>
      <c r="E1668" s="18"/>
      <c r="F1668" s="18"/>
      <c r="G1668" s="18"/>
      <c r="H1668" s="18"/>
      <c r="I1668" s="18"/>
      <c r="J1668" s="18"/>
      <c r="K1668" s="7"/>
      <c r="L1668" s="7"/>
      <c r="M1668" s="7"/>
      <c r="N1668" s="7"/>
      <c r="O1668" s="7"/>
      <c r="P1668" s="7"/>
      <c r="Q1668" s="7"/>
      <c r="R1668" s="7"/>
      <c r="S1668" s="7"/>
      <c r="T1668" s="7"/>
      <c r="U1668" s="7"/>
      <c r="V1668" s="7"/>
      <c r="W1668" s="7"/>
      <c r="X1668" s="7"/>
      <c r="Y1668" s="7"/>
      <c r="Z1668" s="7"/>
      <c r="AA1668" s="7"/>
      <c r="AB1668" s="7"/>
      <c r="AC1668" s="7"/>
      <c r="AD1668" s="7"/>
      <c r="AE1668" s="7"/>
      <c r="AF1668" s="7"/>
      <c r="AG1668" s="7"/>
      <c r="AH1668" s="7"/>
      <c r="AI1668" s="7"/>
      <c r="AJ1668" s="7"/>
      <c r="AK1668" s="7"/>
      <c r="AL1668" s="7"/>
      <c r="AM1668" s="7"/>
      <c r="AN1668" s="7"/>
      <c r="AO1668" s="7"/>
      <c r="AP1668" s="7"/>
      <c r="AQ1668" s="7"/>
      <c r="AR1668" s="7"/>
      <c r="AS1668" s="7"/>
      <c r="AT1668" s="2"/>
      <c r="AU1668" s="2"/>
    </row>
    <row r="1669" spans="1:47" hidden="1" outlineLevel="1">
      <c r="A1669" s="298"/>
      <c r="B1669" s="173" t="s">
        <v>827</v>
      </c>
      <c r="C1669" s="169" t="s">
        <v>732</v>
      </c>
      <c r="D1669" s="169"/>
      <c r="E1669" s="169"/>
      <c r="F1669" s="169"/>
      <c r="G1669" s="169"/>
      <c r="H1669" s="169"/>
      <c r="I1669" s="169"/>
      <c r="J1669" s="169"/>
      <c r="K1669" s="27"/>
      <c r="L1669" s="555">
        <v>11</v>
      </c>
      <c r="M1669" s="555">
        <v>103</v>
      </c>
      <c r="N1669" s="555">
        <v>2</v>
      </c>
      <c r="O1669" s="555">
        <v>2</v>
      </c>
      <c r="P1669" s="555">
        <v>5</v>
      </c>
      <c r="Q1669" s="555">
        <v>5</v>
      </c>
      <c r="R1669" s="555">
        <v>7</v>
      </c>
      <c r="S1669" s="555">
        <v>20</v>
      </c>
      <c r="T1669" s="555">
        <v>35</v>
      </c>
      <c r="U1669" s="555">
        <v>49</v>
      </c>
      <c r="V1669" s="555">
        <v>40</v>
      </c>
      <c r="W1669" s="554">
        <v>27</v>
      </c>
      <c r="X1669" s="554">
        <v>28</v>
      </c>
      <c r="Y1669" s="554">
        <v>27</v>
      </c>
      <c r="Z1669" s="214">
        <v>27.54</v>
      </c>
      <c r="AA1669" s="214">
        <v>27.54</v>
      </c>
      <c r="AB1669" s="554">
        <v>101.78</v>
      </c>
      <c r="AC1669" s="554">
        <v>123.9</v>
      </c>
      <c r="AD1669" s="214">
        <v>130.095</v>
      </c>
      <c r="AE1669" s="214">
        <v>136.59975</v>
      </c>
      <c r="AF1669" s="214">
        <v>143.42973750000002</v>
      </c>
      <c r="AG1669" s="214">
        <v>150.60122437500002</v>
      </c>
      <c r="AH1669" s="214">
        <v>158.13128559375002</v>
      </c>
      <c r="AI1669" s="214">
        <v>166.03784987343752</v>
      </c>
      <c r="AJ1669" s="214">
        <v>174.33974236710941</v>
      </c>
      <c r="AK1669" s="214">
        <v>183.0567294854649</v>
      </c>
      <c r="AL1669" s="214">
        <v>192.20956595973814</v>
      </c>
      <c r="AM1669" s="214">
        <v>201.82004425772507</v>
      </c>
      <c r="AN1669" s="214">
        <v>211.91104647061132</v>
      </c>
      <c r="AO1669" s="214">
        <v>222.50659879414189</v>
      </c>
      <c r="AP1669" s="214">
        <v>233.63192873384901</v>
      </c>
      <c r="AQ1669" s="214">
        <v>233.63192873384901</v>
      </c>
      <c r="AR1669" s="214">
        <v>233.63192873384901</v>
      </c>
      <c r="AS1669" s="214">
        <v>233.63192873384901</v>
      </c>
      <c r="AT1669" s="2"/>
      <c r="AU1669" s="2"/>
    </row>
    <row r="1670" spans="1:47" hidden="1" outlineLevel="1">
      <c r="A1670" s="298"/>
      <c r="B1670" s="241" t="s">
        <v>1099</v>
      </c>
      <c r="C1670" s="18" t="s">
        <v>733</v>
      </c>
      <c r="D1670" s="18"/>
      <c r="E1670" s="18"/>
      <c r="F1670" s="18"/>
      <c r="G1670" s="18"/>
      <c r="H1670" s="18"/>
      <c r="I1670" s="18"/>
      <c r="J1670" s="18"/>
      <c r="K1670" s="7"/>
      <c r="L1670" s="7"/>
      <c r="M1670" s="7"/>
      <c r="N1670" s="7"/>
      <c r="O1670" s="7">
        <v>0</v>
      </c>
      <c r="P1670" s="7">
        <v>1.5</v>
      </c>
      <c r="Q1670" s="7">
        <v>0</v>
      </c>
      <c r="R1670" s="7">
        <v>0.39999999999999991</v>
      </c>
      <c r="S1670" s="7">
        <v>1.8571428571428572</v>
      </c>
      <c r="T1670" s="7">
        <v>0.75</v>
      </c>
      <c r="U1670" s="7">
        <v>0.39999999999999991</v>
      </c>
      <c r="V1670" s="7">
        <v>-0.18367346938775508</v>
      </c>
      <c r="W1670" s="7">
        <v>-0.32499999999999996</v>
      </c>
      <c r="X1670" s="7">
        <v>3.7037037037036979E-2</v>
      </c>
      <c r="Y1670" s="559">
        <v>0.02</v>
      </c>
      <c r="Z1670" s="230">
        <v>0.02</v>
      </c>
      <c r="AA1670" s="557">
        <v>0</v>
      </c>
      <c r="AB1670" s="557">
        <v>0.05</v>
      </c>
      <c r="AC1670" s="230">
        <v>0.05</v>
      </c>
      <c r="AD1670" s="230">
        <v>0.05</v>
      </c>
      <c r="AE1670" s="230">
        <v>0.05</v>
      </c>
      <c r="AF1670" s="230">
        <v>0.05</v>
      </c>
      <c r="AG1670" s="230">
        <v>0.05</v>
      </c>
      <c r="AH1670" s="230">
        <v>0.05</v>
      </c>
      <c r="AI1670" s="230">
        <v>0.05</v>
      </c>
      <c r="AJ1670" s="230">
        <v>0.05</v>
      </c>
      <c r="AK1670" s="230">
        <v>0.05</v>
      </c>
      <c r="AL1670" s="230">
        <v>0.05</v>
      </c>
      <c r="AM1670" s="230">
        <v>0.05</v>
      </c>
      <c r="AN1670" s="230">
        <v>0.05</v>
      </c>
      <c r="AO1670" s="230">
        <v>0.05</v>
      </c>
      <c r="AP1670" s="230">
        <v>0.05</v>
      </c>
      <c r="AQ1670" s="230">
        <v>0.05</v>
      </c>
      <c r="AR1670" s="230">
        <v>0.05</v>
      </c>
      <c r="AS1670" s="230">
        <v>0.05</v>
      </c>
      <c r="AT1670" s="2"/>
      <c r="AU1670" s="2"/>
    </row>
    <row r="1671" spans="1:47" ht="14.4" hidden="1" outlineLevel="1" thickBot="1">
      <c r="A1671" s="298"/>
      <c r="B1671" s="76"/>
      <c r="C1671" s="78"/>
      <c r="D1671" s="78"/>
      <c r="E1671" s="78"/>
      <c r="F1671" s="78"/>
      <c r="G1671" s="78"/>
      <c r="H1671" s="78"/>
      <c r="I1671" s="78"/>
      <c r="J1671" s="78"/>
      <c r="K1671" s="108"/>
      <c r="L1671" s="108"/>
      <c r="M1671" s="108"/>
      <c r="N1671" s="108"/>
      <c r="O1671" s="108"/>
      <c r="P1671" s="108"/>
      <c r="Q1671" s="108"/>
      <c r="R1671" s="108"/>
      <c r="S1671" s="108"/>
      <c r="T1671" s="108"/>
      <c r="U1671" s="108"/>
      <c r="V1671" s="108"/>
      <c r="W1671" s="108"/>
      <c r="X1671" s="108"/>
      <c r="Y1671" s="108"/>
      <c r="Z1671" s="108"/>
      <c r="AA1671" s="108"/>
      <c r="AB1671" s="108"/>
      <c r="AC1671" s="108"/>
      <c r="AD1671" s="108"/>
      <c r="AE1671" s="108"/>
      <c r="AF1671" s="108"/>
      <c r="AG1671" s="108"/>
      <c r="AH1671" s="108"/>
      <c r="AI1671" s="108"/>
      <c r="AJ1671" s="108"/>
      <c r="AK1671" s="108"/>
      <c r="AL1671" s="108"/>
      <c r="AM1671" s="108"/>
      <c r="AN1671" s="108"/>
      <c r="AO1671" s="108"/>
      <c r="AP1671" s="108"/>
      <c r="AQ1671" s="108"/>
      <c r="AR1671" s="108"/>
      <c r="AS1671" s="108"/>
      <c r="AT1671" s="2"/>
      <c r="AU1671" s="2"/>
    </row>
    <row r="1672" spans="1:47" hidden="1" outlineLevel="1">
      <c r="A1672" s="298"/>
      <c r="B1672" s="2"/>
      <c r="C1672" s="18"/>
      <c r="D1672" s="18"/>
      <c r="E1672" s="18"/>
      <c r="F1672" s="18"/>
      <c r="G1672" s="18"/>
      <c r="H1672" s="18"/>
      <c r="I1672" s="18"/>
      <c r="J1672" s="18"/>
      <c r="K1672" s="7"/>
      <c r="L1672" s="7"/>
      <c r="M1672" s="7"/>
      <c r="N1672" s="7"/>
      <c r="O1672" s="7"/>
      <c r="P1672" s="7"/>
      <c r="Q1672" s="7"/>
      <c r="R1672" s="7"/>
      <c r="S1672" s="7"/>
      <c r="T1672" s="7"/>
      <c r="U1672" s="7"/>
      <c r="V1672" s="7"/>
      <c r="W1672" s="7"/>
      <c r="X1672" s="7"/>
      <c r="Y1672" s="7"/>
      <c r="Z1672" s="7"/>
      <c r="AA1672" s="7"/>
      <c r="AB1672" s="7"/>
      <c r="AC1672" s="7"/>
      <c r="AD1672" s="7"/>
      <c r="AE1672" s="7"/>
      <c r="AF1672" s="7"/>
      <c r="AG1672" s="7"/>
      <c r="AH1672" s="7"/>
      <c r="AI1672" s="7"/>
      <c r="AJ1672" s="7"/>
      <c r="AK1672" s="7"/>
      <c r="AL1672" s="7"/>
      <c r="AM1672" s="7"/>
      <c r="AN1672" s="7"/>
      <c r="AO1672" s="7"/>
      <c r="AP1672" s="7"/>
      <c r="AQ1672" s="7"/>
      <c r="AR1672" s="7"/>
      <c r="AS1672" s="7"/>
      <c r="AT1672" s="2"/>
      <c r="AU1672" s="2"/>
    </row>
    <row r="1673" spans="1:47" ht="15.6" hidden="1" outlineLevel="1">
      <c r="A1673" s="298"/>
      <c r="B1673" s="237" t="s">
        <v>889</v>
      </c>
      <c r="C1673" s="238"/>
      <c r="D1673" s="239"/>
      <c r="E1673" s="239"/>
      <c r="F1673" s="239"/>
      <c r="G1673" s="239"/>
      <c r="H1673" s="239"/>
      <c r="I1673" s="239"/>
      <c r="J1673" s="239"/>
      <c r="K1673" s="239"/>
      <c r="L1673" s="239"/>
      <c r="M1673" s="239"/>
      <c r="N1673" s="239"/>
      <c r="O1673" s="239"/>
      <c r="P1673" s="239"/>
      <c r="Q1673" s="239"/>
      <c r="R1673" s="239"/>
      <c r="S1673" s="239"/>
      <c r="T1673" s="239"/>
      <c r="U1673" s="239"/>
      <c r="V1673" s="239"/>
      <c r="W1673" s="239"/>
      <c r="X1673" s="239"/>
      <c r="Y1673" s="239"/>
      <c r="Z1673" s="239"/>
      <c r="AA1673" s="239"/>
      <c r="AB1673" s="239"/>
      <c r="AC1673" s="239"/>
      <c r="AD1673" s="239"/>
      <c r="AE1673" s="239"/>
      <c r="AF1673" s="239"/>
      <c r="AG1673" s="239"/>
      <c r="AH1673" s="239"/>
      <c r="AI1673" s="239"/>
      <c r="AJ1673" s="239"/>
      <c r="AK1673" s="239"/>
      <c r="AL1673" s="239"/>
      <c r="AM1673" s="239"/>
      <c r="AN1673" s="239"/>
      <c r="AO1673" s="270"/>
      <c r="AP1673" s="240"/>
      <c r="AQ1673" s="240"/>
      <c r="AR1673" s="240"/>
      <c r="AS1673" s="240"/>
      <c r="AT1673" s="2"/>
      <c r="AU1673" s="2"/>
    </row>
    <row r="1674" spans="1:47" hidden="1" outlineLevel="1">
      <c r="A1674" s="298"/>
      <c r="B1674" s="2"/>
      <c r="C1674" s="18"/>
      <c r="D1674" s="18"/>
      <c r="E1674" s="18"/>
      <c r="F1674" s="18"/>
      <c r="G1674" s="18"/>
      <c r="H1674" s="18"/>
      <c r="I1674" s="18"/>
      <c r="J1674" s="18"/>
      <c r="K1674" s="7"/>
      <c r="L1674" s="7"/>
      <c r="M1674" s="7"/>
      <c r="N1674" s="7"/>
      <c r="O1674" s="7"/>
      <c r="P1674" s="7"/>
      <c r="Q1674" s="7"/>
      <c r="R1674" s="7"/>
      <c r="S1674" s="7"/>
      <c r="T1674" s="7"/>
      <c r="U1674" s="7"/>
      <c r="V1674" s="7"/>
      <c r="W1674" s="7"/>
      <c r="X1674" s="7"/>
      <c r="Y1674" s="7"/>
      <c r="Z1674" s="7"/>
      <c r="AA1674" s="7"/>
      <c r="AB1674" s="7"/>
      <c r="AC1674" s="7"/>
      <c r="AD1674" s="7"/>
      <c r="AE1674" s="7"/>
      <c r="AF1674" s="7"/>
      <c r="AG1674" s="7"/>
      <c r="AH1674" s="7"/>
      <c r="AI1674" s="7"/>
      <c r="AJ1674" s="7"/>
      <c r="AK1674" s="7"/>
      <c r="AL1674" s="7"/>
      <c r="AM1674" s="7"/>
      <c r="AN1674" s="7"/>
      <c r="AO1674" s="7"/>
      <c r="AP1674" s="7"/>
      <c r="AQ1674" s="7"/>
      <c r="AR1674" s="7"/>
      <c r="AS1674" s="7"/>
      <c r="AT1674" s="2"/>
      <c r="AU1674" s="2"/>
    </row>
    <row r="1675" spans="1:47" hidden="1" outlineLevel="1">
      <c r="A1675" s="298"/>
      <c r="B1675" s="215" t="s">
        <v>890</v>
      </c>
      <c r="C1675" s="169" t="s">
        <v>732</v>
      </c>
      <c r="D1675" s="169"/>
      <c r="E1675" s="169"/>
      <c r="F1675" s="169"/>
      <c r="G1675" s="169"/>
      <c r="H1675" s="169"/>
      <c r="I1675" s="169"/>
      <c r="J1675" s="169"/>
      <c r="K1675" s="555">
        <v>433</v>
      </c>
      <c r="L1675" s="555">
        <v>434</v>
      </c>
      <c r="M1675" s="555">
        <v>562</v>
      </c>
      <c r="N1675" s="555">
        <v>494</v>
      </c>
      <c r="O1675" s="555">
        <v>439</v>
      </c>
      <c r="P1675" s="555">
        <v>439</v>
      </c>
      <c r="Q1675" s="555">
        <v>443</v>
      </c>
      <c r="R1675" s="555">
        <v>452</v>
      </c>
      <c r="S1675" s="555">
        <v>18</v>
      </c>
      <c r="T1675" s="555">
        <v>14</v>
      </c>
      <c r="U1675" s="555">
        <v>6</v>
      </c>
      <c r="V1675" s="555">
        <v>6</v>
      </c>
      <c r="W1675" s="554">
        <v>6</v>
      </c>
      <c r="X1675" s="554">
        <v>0</v>
      </c>
      <c r="Y1675" s="214">
        <v>0</v>
      </c>
      <c r="Z1675" s="214">
        <v>0</v>
      </c>
      <c r="AA1675" s="214">
        <v>0</v>
      </c>
      <c r="AB1675" s="214">
        <v>0</v>
      </c>
      <c r="AC1675" s="214">
        <v>0</v>
      </c>
      <c r="AD1675" s="214">
        <v>0</v>
      </c>
      <c r="AE1675" s="214">
        <v>0</v>
      </c>
      <c r="AF1675" s="214">
        <v>0</v>
      </c>
      <c r="AG1675" s="214">
        <v>0</v>
      </c>
      <c r="AH1675" s="214">
        <v>0</v>
      </c>
      <c r="AI1675" s="214">
        <v>0</v>
      </c>
      <c r="AJ1675" s="214">
        <v>0</v>
      </c>
      <c r="AK1675" s="214">
        <v>0</v>
      </c>
      <c r="AL1675" s="214">
        <v>0</v>
      </c>
      <c r="AM1675" s="214">
        <v>0</v>
      </c>
      <c r="AN1675" s="214">
        <v>0</v>
      </c>
      <c r="AO1675" s="214">
        <v>0</v>
      </c>
      <c r="AP1675" s="214">
        <v>0</v>
      </c>
      <c r="AQ1675" s="214">
        <v>0</v>
      </c>
      <c r="AR1675" s="214">
        <v>0</v>
      </c>
      <c r="AS1675" s="214">
        <v>0</v>
      </c>
      <c r="AT1675" s="2"/>
      <c r="AU1675" s="2"/>
    </row>
    <row r="1676" spans="1:47" hidden="1" outlineLevel="1">
      <c r="A1676" s="298"/>
      <c r="B1676" s="241" t="s">
        <v>1099</v>
      </c>
      <c r="C1676" s="18" t="s">
        <v>733</v>
      </c>
      <c r="D1676" s="18"/>
      <c r="E1676" s="18"/>
      <c r="F1676" s="18"/>
      <c r="G1676" s="18"/>
      <c r="H1676" s="18"/>
      <c r="I1676" s="18"/>
      <c r="J1676" s="18"/>
      <c r="K1676" s="7"/>
      <c r="L1676" s="7">
        <v>2.3094688221709792E-3</v>
      </c>
      <c r="M1676" s="7">
        <v>0.29493087557603692</v>
      </c>
      <c r="N1676" s="7">
        <v>-0.12099644128113884</v>
      </c>
      <c r="O1676" s="7">
        <v>-0.11133603238866396</v>
      </c>
      <c r="P1676" s="7">
        <v>0</v>
      </c>
      <c r="Q1676" s="7">
        <v>9.1116173120728838E-3</v>
      </c>
      <c r="R1676" s="7">
        <v>2.0316027088036037E-2</v>
      </c>
      <c r="S1676" s="7">
        <v>-0.96017699115044253</v>
      </c>
      <c r="T1676" s="7">
        <v>-0.22222222222222221</v>
      </c>
      <c r="U1676" s="7">
        <v>-0.5714285714285714</v>
      </c>
      <c r="V1676" s="7">
        <v>0</v>
      </c>
      <c r="W1676" s="7">
        <v>0</v>
      </c>
      <c r="X1676" s="7">
        <v>-1</v>
      </c>
      <c r="Y1676" s="232">
        <v>-1</v>
      </c>
      <c r="Z1676" s="230">
        <v>-1</v>
      </c>
      <c r="AA1676" s="230">
        <v>-1</v>
      </c>
      <c r="AB1676" s="230">
        <v>-1</v>
      </c>
      <c r="AC1676" s="230">
        <v>-1</v>
      </c>
      <c r="AD1676" s="230">
        <v>-1</v>
      </c>
      <c r="AE1676" s="230">
        <v>-1</v>
      </c>
      <c r="AF1676" s="230">
        <v>-1</v>
      </c>
      <c r="AG1676" s="230">
        <v>-1</v>
      </c>
      <c r="AH1676" s="230">
        <v>-1</v>
      </c>
      <c r="AI1676" s="230">
        <v>-1</v>
      </c>
      <c r="AJ1676" s="230">
        <v>-1</v>
      </c>
      <c r="AK1676" s="230">
        <v>-1</v>
      </c>
      <c r="AL1676" s="230">
        <v>-1</v>
      </c>
      <c r="AM1676" s="230">
        <v>-1</v>
      </c>
      <c r="AN1676" s="230">
        <v>-1</v>
      </c>
      <c r="AO1676" s="231">
        <v>-1</v>
      </c>
      <c r="AP1676" s="231">
        <v>-1</v>
      </c>
      <c r="AQ1676" s="231">
        <v>-1</v>
      </c>
      <c r="AR1676" s="231">
        <v>-1</v>
      </c>
      <c r="AS1676" s="231">
        <v>-1</v>
      </c>
      <c r="AT1676" s="2"/>
      <c r="AU1676" s="2"/>
    </row>
    <row r="1677" spans="1:47" ht="14.4" hidden="1" outlineLevel="1" thickBot="1">
      <c r="A1677" s="298"/>
      <c r="B1677" s="76"/>
      <c r="C1677" s="78"/>
      <c r="D1677" s="78"/>
      <c r="E1677" s="78"/>
      <c r="F1677" s="78"/>
      <c r="G1677" s="78"/>
      <c r="H1677" s="78"/>
      <c r="I1677" s="78"/>
      <c r="J1677" s="78"/>
      <c r="K1677" s="108"/>
      <c r="L1677" s="108"/>
      <c r="M1677" s="108"/>
      <c r="N1677" s="108"/>
      <c r="O1677" s="108"/>
      <c r="P1677" s="108"/>
      <c r="Q1677" s="108"/>
      <c r="R1677" s="108"/>
      <c r="S1677" s="108"/>
      <c r="T1677" s="108"/>
      <c r="U1677" s="108"/>
      <c r="V1677" s="108"/>
      <c r="W1677" s="108"/>
      <c r="X1677" s="108"/>
      <c r="Y1677" s="108"/>
      <c r="Z1677" s="108"/>
      <c r="AA1677" s="108"/>
      <c r="AB1677" s="108"/>
      <c r="AC1677" s="108"/>
      <c r="AD1677" s="108"/>
      <c r="AE1677" s="108"/>
      <c r="AF1677" s="108"/>
      <c r="AG1677" s="108"/>
      <c r="AH1677" s="108"/>
      <c r="AI1677" s="108"/>
      <c r="AJ1677" s="108"/>
      <c r="AK1677" s="108"/>
      <c r="AL1677" s="108"/>
      <c r="AM1677" s="108"/>
      <c r="AN1677" s="108"/>
      <c r="AO1677" s="108"/>
      <c r="AP1677" s="108"/>
      <c r="AQ1677" s="108"/>
      <c r="AR1677" s="108"/>
      <c r="AS1677" s="108"/>
      <c r="AT1677" s="2"/>
      <c r="AU1677" s="2"/>
    </row>
    <row r="1678" spans="1:47" hidden="1" outlineLevel="1">
      <c r="A1678" s="298"/>
      <c r="B1678" s="2"/>
      <c r="C1678" s="18"/>
      <c r="D1678" s="18"/>
      <c r="E1678" s="18"/>
      <c r="F1678" s="18"/>
      <c r="G1678" s="18"/>
      <c r="H1678" s="18"/>
      <c r="I1678" s="18"/>
      <c r="J1678" s="18"/>
      <c r="K1678" s="7"/>
      <c r="L1678" s="7"/>
      <c r="M1678" s="7"/>
      <c r="N1678" s="7"/>
      <c r="O1678" s="7"/>
      <c r="P1678" s="7"/>
      <c r="Q1678" s="7"/>
      <c r="R1678" s="7"/>
      <c r="S1678" s="7"/>
      <c r="T1678" s="7"/>
      <c r="U1678" s="7"/>
      <c r="V1678" s="7"/>
      <c r="W1678" s="7"/>
      <c r="X1678" s="7"/>
      <c r="Y1678" s="7"/>
      <c r="Z1678" s="7"/>
      <c r="AA1678" s="7"/>
      <c r="AB1678" s="7"/>
      <c r="AC1678" s="7"/>
      <c r="AD1678" s="7"/>
      <c r="AE1678" s="7"/>
      <c r="AF1678" s="7"/>
      <c r="AG1678" s="7"/>
      <c r="AH1678" s="7"/>
      <c r="AI1678" s="7"/>
      <c r="AJ1678" s="7"/>
      <c r="AK1678" s="7"/>
      <c r="AL1678" s="7"/>
      <c r="AM1678" s="7"/>
      <c r="AN1678" s="7"/>
      <c r="AO1678" s="7"/>
      <c r="AP1678" s="7"/>
      <c r="AQ1678" s="7"/>
      <c r="AR1678" s="7"/>
      <c r="AS1678" s="7"/>
      <c r="AT1678" s="2"/>
      <c r="AU1678" s="2"/>
    </row>
    <row r="1679" spans="1:47" ht="15.6" hidden="1" outlineLevel="1">
      <c r="A1679" s="298"/>
      <c r="B1679" s="237" t="s">
        <v>310</v>
      </c>
      <c r="C1679" s="238"/>
      <c r="D1679" s="239"/>
      <c r="E1679" s="239"/>
      <c r="F1679" s="239"/>
      <c r="G1679" s="239"/>
      <c r="H1679" s="239"/>
      <c r="I1679" s="239"/>
      <c r="J1679" s="239"/>
      <c r="K1679" s="239"/>
      <c r="L1679" s="239"/>
      <c r="M1679" s="239"/>
      <c r="N1679" s="239"/>
      <c r="O1679" s="239"/>
      <c r="P1679" s="239"/>
      <c r="Q1679" s="239"/>
      <c r="R1679" s="239"/>
      <c r="S1679" s="239"/>
      <c r="T1679" s="239"/>
      <c r="U1679" s="239"/>
      <c r="V1679" s="239"/>
      <c r="W1679" s="239"/>
      <c r="X1679" s="239"/>
      <c r="Y1679" s="239"/>
      <c r="Z1679" s="239"/>
      <c r="AA1679" s="239"/>
      <c r="AB1679" s="239"/>
      <c r="AC1679" s="239"/>
      <c r="AD1679" s="239"/>
      <c r="AE1679" s="239"/>
      <c r="AF1679" s="239"/>
      <c r="AG1679" s="239"/>
      <c r="AH1679" s="239"/>
      <c r="AI1679" s="239"/>
      <c r="AJ1679" s="239"/>
      <c r="AK1679" s="239"/>
      <c r="AL1679" s="239"/>
      <c r="AM1679" s="239"/>
      <c r="AN1679" s="239"/>
      <c r="AO1679" s="270"/>
      <c r="AP1679" s="240"/>
      <c r="AQ1679" s="240"/>
      <c r="AR1679" s="240"/>
      <c r="AS1679" s="240"/>
      <c r="AT1679" s="2"/>
      <c r="AU1679" s="2"/>
    </row>
    <row r="1680" spans="1:47" hidden="1" outlineLevel="1">
      <c r="A1680" s="298"/>
      <c r="B1680" s="2"/>
      <c r="C1680" s="18"/>
      <c r="D1680" s="18"/>
      <c r="E1680" s="18"/>
      <c r="F1680" s="18"/>
      <c r="G1680" s="18"/>
      <c r="H1680" s="18"/>
      <c r="I1680" s="18"/>
      <c r="J1680" s="18"/>
      <c r="K1680" s="7"/>
      <c r="L1680" s="7"/>
      <c r="M1680" s="7"/>
      <c r="N1680" s="7"/>
      <c r="O1680" s="7"/>
      <c r="P1680" s="7"/>
      <c r="Q1680" s="7"/>
      <c r="R1680" s="7"/>
      <c r="S1680" s="7"/>
      <c r="T1680" s="7"/>
      <c r="U1680" s="7"/>
      <c r="V1680" s="7"/>
      <c r="W1680" s="7"/>
      <c r="X1680" s="7"/>
      <c r="Y1680" s="7"/>
      <c r="Z1680" s="7"/>
      <c r="AA1680" s="7"/>
      <c r="AB1680" s="7"/>
      <c r="AC1680" s="7"/>
      <c r="AD1680" s="7"/>
      <c r="AE1680" s="7"/>
      <c r="AF1680" s="7"/>
      <c r="AG1680" s="7"/>
      <c r="AH1680" s="7"/>
      <c r="AI1680" s="7"/>
      <c r="AJ1680" s="7"/>
      <c r="AK1680" s="7"/>
      <c r="AL1680" s="7"/>
      <c r="AM1680" s="7"/>
      <c r="AN1680" s="7"/>
      <c r="AO1680" s="7"/>
      <c r="AP1680" s="7"/>
      <c r="AQ1680" s="7"/>
      <c r="AR1680" s="7"/>
      <c r="AS1680" s="7"/>
      <c r="AT1680" s="2"/>
      <c r="AU1680" s="2"/>
    </row>
    <row r="1681" spans="1:47" hidden="1" outlineLevel="1">
      <c r="A1681" s="298"/>
      <c r="B1681" s="215" t="s">
        <v>311</v>
      </c>
      <c r="C1681" s="169" t="s">
        <v>732</v>
      </c>
      <c r="D1681" s="169"/>
      <c r="E1681" s="169"/>
      <c r="F1681" s="169"/>
      <c r="G1681" s="169"/>
      <c r="H1681" s="169"/>
      <c r="I1681" s="169"/>
      <c r="J1681" s="169"/>
      <c r="K1681" s="555">
        <v>190</v>
      </c>
      <c r="L1681" s="555">
        <v>166</v>
      </c>
      <c r="M1681" s="555">
        <v>154</v>
      </c>
      <c r="N1681" s="555">
        <v>148</v>
      </c>
      <c r="O1681" s="555">
        <v>141</v>
      </c>
      <c r="P1681" s="555">
        <v>112</v>
      </c>
      <c r="Q1681" s="555">
        <v>96</v>
      </c>
      <c r="R1681" s="555">
        <v>85</v>
      </c>
      <c r="S1681" s="555">
        <v>70</v>
      </c>
      <c r="T1681" s="555">
        <v>59</v>
      </c>
      <c r="U1681" s="555">
        <v>49</v>
      </c>
      <c r="V1681" s="555">
        <v>40</v>
      </c>
      <c r="W1681" s="554">
        <v>29</v>
      </c>
      <c r="X1681" s="554">
        <v>0</v>
      </c>
      <c r="Y1681" s="214">
        <v>0</v>
      </c>
      <c r="Z1681" s="214">
        <v>0</v>
      </c>
      <c r="AA1681" s="214">
        <v>0</v>
      </c>
      <c r="AB1681" s="214">
        <v>0</v>
      </c>
      <c r="AC1681" s="214">
        <v>0</v>
      </c>
      <c r="AD1681" s="214">
        <v>0</v>
      </c>
      <c r="AE1681" s="214">
        <v>0</v>
      </c>
      <c r="AF1681" s="214">
        <v>0</v>
      </c>
      <c r="AG1681" s="214">
        <v>0</v>
      </c>
      <c r="AH1681" s="214">
        <v>0</v>
      </c>
      <c r="AI1681" s="214">
        <v>0</v>
      </c>
      <c r="AJ1681" s="214">
        <v>0</v>
      </c>
      <c r="AK1681" s="214">
        <v>0</v>
      </c>
      <c r="AL1681" s="214">
        <v>0</v>
      </c>
      <c r="AM1681" s="214">
        <v>0</v>
      </c>
      <c r="AN1681" s="214">
        <v>0</v>
      </c>
      <c r="AO1681" s="214">
        <v>0</v>
      </c>
      <c r="AP1681" s="214">
        <v>0</v>
      </c>
      <c r="AQ1681" s="214">
        <v>0</v>
      </c>
      <c r="AR1681" s="214">
        <v>0</v>
      </c>
      <c r="AS1681" s="214">
        <v>0</v>
      </c>
      <c r="AT1681" s="2"/>
      <c r="AU1681" s="2"/>
    </row>
    <row r="1682" spans="1:47" hidden="1" outlineLevel="1">
      <c r="A1682" s="298"/>
      <c r="B1682" s="241" t="s">
        <v>1099</v>
      </c>
      <c r="C1682" s="18" t="s">
        <v>733</v>
      </c>
      <c r="D1682" s="18"/>
      <c r="E1682" s="18"/>
      <c r="F1682" s="18"/>
      <c r="G1682" s="18"/>
      <c r="H1682" s="18"/>
      <c r="I1682" s="18"/>
      <c r="J1682" s="18"/>
      <c r="K1682" s="7"/>
      <c r="L1682" s="7">
        <v>-0.12631578947368416</v>
      </c>
      <c r="M1682" s="7">
        <v>-7.2289156626506035E-2</v>
      </c>
      <c r="N1682" s="7">
        <v>-3.8961038961038974E-2</v>
      </c>
      <c r="O1682" s="7">
        <v>-4.7297297297297258E-2</v>
      </c>
      <c r="P1682" s="7">
        <v>-0.20567375886524819</v>
      </c>
      <c r="Q1682" s="7">
        <v>-0.1428571428571429</v>
      </c>
      <c r="R1682" s="7">
        <v>-0.11458333333333337</v>
      </c>
      <c r="S1682" s="7">
        <v>-0.17647058823529416</v>
      </c>
      <c r="T1682" s="7">
        <v>-0.15714285714285714</v>
      </c>
      <c r="U1682" s="7">
        <v>-0.16949152542372881</v>
      </c>
      <c r="V1682" s="7">
        <v>-0.18367346938775508</v>
      </c>
      <c r="W1682" s="7">
        <v>-0.27500000000000002</v>
      </c>
      <c r="X1682" s="7">
        <v>-1</v>
      </c>
      <c r="Y1682" s="232">
        <v>-1</v>
      </c>
      <c r="Z1682" s="230">
        <v>-1</v>
      </c>
      <c r="AA1682" s="230">
        <v>-1</v>
      </c>
      <c r="AB1682" s="230">
        <v>-1</v>
      </c>
      <c r="AC1682" s="230">
        <v>-1</v>
      </c>
      <c r="AD1682" s="230">
        <v>-1</v>
      </c>
      <c r="AE1682" s="230">
        <v>-1</v>
      </c>
      <c r="AF1682" s="230">
        <v>-1</v>
      </c>
      <c r="AG1682" s="230">
        <v>-1</v>
      </c>
      <c r="AH1682" s="230">
        <v>-1</v>
      </c>
      <c r="AI1682" s="230">
        <v>-1</v>
      </c>
      <c r="AJ1682" s="230">
        <v>-1</v>
      </c>
      <c r="AK1682" s="230">
        <v>-1</v>
      </c>
      <c r="AL1682" s="230">
        <v>-1</v>
      </c>
      <c r="AM1682" s="230">
        <v>-1</v>
      </c>
      <c r="AN1682" s="230">
        <v>-1</v>
      </c>
      <c r="AO1682" s="231">
        <v>-1</v>
      </c>
      <c r="AP1682" s="231">
        <v>-1</v>
      </c>
      <c r="AQ1682" s="231">
        <v>-1</v>
      </c>
      <c r="AR1682" s="231">
        <v>-1</v>
      </c>
      <c r="AS1682" s="231">
        <v>-1</v>
      </c>
      <c r="AT1682" s="2"/>
      <c r="AU1682" s="2"/>
    </row>
    <row r="1683" spans="1:47" ht="14.4" hidden="1" outlineLevel="1" thickBot="1">
      <c r="A1683" s="298"/>
      <c r="B1683" s="76"/>
      <c r="C1683" s="78"/>
      <c r="D1683" s="78"/>
      <c r="E1683" s="78"/>
      <c r="F1683" s="78"/>
      <c r="G1683" s="78"/>
      <c r="H1683" s="78"/>
      <c r="I1683" s="78"/>
      <c r="J1683" s="78"/>
      <c r="K1683" s="108"/>
      <c r="L1683" s="108"/>
      <c r="M1683" s="108"/>
      <c r="N1683" s="108"/>
      <c r="O1683" s="108"/>
      <c r="P1683" s="108"/>
      <c r="Q1683" s="108"/>
      <c r="R1683" s="108"/>
      <c r="S1683" s="108"/>
      <c r="T1683" s="108"/>
      <c r="U1683" s="108"/>
      <c r="V1683" s="108"/>
      <c r="W1683" s="108"/>
      <c r="X1683" s="108"/>
      <c r="Y1683" s="108"/>
      <c r="Z1683" s="108"/>
      <c r="AA1683" s="108"/>
      <c r="AB1683" s="108"/>
      <c r="AC1683" s="108"/>
      <c r="AD1683" s="108"/>
      <c r="AE1683" s="108"/>
      <c r="AF1683" s="108"/>
      <c r="AG1683" s="108"/>
      <c r="AH1683" s="108"/>
      <c r="AI1683" s="108"/>
      <c r="AJ1683" s="108"/>
      <c r="AK1683" s="108"/>
      <c r="AL1683" s="108"/>
      <c r="AM1683" s="108"/>
      <c r="AN1683" s="108"/>
      <c r="AO1683" s="108"/>
      <c r="AP1683" s="108"/>
      <c r="AQ1683" s="108"/>
      <c r="AR1683" s="108"/>
      <c r="AS1683" s="108"/>
      <c r="AT1683" s="2"/>
      <c r="AU1683" s="2"/>
    </row>
    <row r="1684" spans="1:47" hidden="1" outlineLevel="1">
      <c r="A1684" s="298"/>
      <c r="B1684" s="2"/>
      <c r="C1684" s="18"/>
      <c r="D1684" s="18"/>
      <c r="E1684" s="18"/>
      <c r="F1684" s="18"/>
      <c r="G1684" s="18"/>
      <c r="H1684" s="18"/>
      <c r="I1684" s="18"/>
      <c r="J1684" s="18"/>
      <c r="K1684" s="7"/>
      <c r="L1684" s="7"/>
      <c r="M1684" s="7"/>
      <c r="N1684" s="7"/>
      <c r="O1684" s="7"/>
      <c r="P1684" s="7"/>
      <c r="Q1684" s="7"/>
      <c r="R1684" s="7"/>
      <c r="S1684" s="7"/>
      <c r="T1684" s="7"/>
      <c r="U1684" s="7"/>
      <c r="V1684" s="7"/>
      <c r="W1684" s="7"/>
      <c r="X1684" s="7"/>
      <c r="Y1684" s="7"/>
      <c r="Z1684" s="7"/>
      <c r="AA1684" s="7"/>
      <c r="AB1684" s="7"/>
      <c r="AC1684" s="7"/>
      <c r="AD1684" s="7"/>
      <c r="AE1684" s="7"/>
      <c r="AF1684" s="7"/>
      <c r="AG1684" s="7"/>
      <c r="AH1684" s="7"/>
      <c r="AI1684" s="7"/>
      <c r="AJ1684" s="7"/>
      <c r="AK1684" s="7"/>
      <c r="AL1684" s="7"/>
      <c r="AM1684" s="7"/>
      <c r="AN1684" s="7"/>
      <c r="AO1684" s="7"/>
      <c r="AP1684" s="7"/>
      <c r="AQ1684" s="7"/>
      <c r="AR1684" s="7"/>
      <c r="AS1684" s="7"/>
      <c r="AT1684" s="2"/>
      <c r="AU1684" s="2"/>
    </row>
    <row r="1685" spans="1:47" ht="15.6" hidden="1" outlineLevel="1">
      <c r="A1685" s="298"/>
      <c r="B1685" s="237" t="s">
        <v>312</v>
      </c>
      <c r="C1685" s="238"/>
      <c r="D1685" s="239"/>
      <c r="E1685" s="239"/>
      <c r="F1685" s="239"/>
      <c r="G1685" s="239"/>
      <c r="H1685" s="239"/>
      <c r="I1685" s="239"/>
      <c r="J1685" s="239"/>
      <c r="K1685" s="239"/>
      <c r="L1685" s="239"/>
      <c r="M1685" s="239"/>
      <c r="N1685" s="239"/>
      <c r="O1685" s="239"/>
      <c r="P1685" s="239"/>
      <c r="Q1685" s="239"/>
      <c r="R1685" s="239"/>
      <c r="S1685" s="239"/>
      <c r="T1685" s="239"/>
      <c r="U1685" s="239"/>
      <c r="V1685" s="239"/>
      <c r="W1685" s="239"/>
      <c r="X1685" s="239"/>
      <c r="Y1685" s="239"/>
      <c r="Z1685" s="239"/>
      <c r="AA1685" s="239"/>
      <c r="AB1685" s="239"/>
      <c r="AC1685" s="239"/>
      <c r="AD1685" s="239"/>
      <c r="AE1685" s="239"/>
      <c r="AF1685" s="239"/>
      <c r="AG1685" s="239"/>
      <c r="AH1685" s="239"/>
      <c r="AI1685" s="239"/>
      <c r="AJ1685" s="239"/>
      <c r="AK1685" s="239"/>
      <c r="AL1685" s="239"/>
      <c r="AM1685" s="239"/>
      <c r="AN1685" s="239"/>
      <c r="AO1685" s="270"/>
      <c r="AP1685" s="240"/>
      <c r="AQ1685" s="240"/>
      <c r="AR1685" s="240"/>
      <c r="AS1685" s="240"/>
      <c r="AT1685" s="2"/>
      <c r="AU1685" s="2"/>
    </row>
    <row r="1686" spans="1:47" hidden="1" outlineLevel="1">
      <c r="A1686" s="298"/>
      <c r="B1686" s="2"/>
      <c r="C1686" s="18"/>
      <c r="D1686" s="18"/>
      <c r="E1686" s="18"/>
      <c r="F1686" s="18"/>
      <c r="G1686" s="18"/>
      <c r="H1686" s="18"/>
      <c r="I1686" s="18"/>
      <c r="J1686" s="18"/>
      <c r="K1686" s="7"/>
      <c r="L1686" s="7"/>
      <c r="M1686" s="7"/>
      <c r="N1686" s="7"/>
      <c r="O1686" s="7"/>
      <c r="P1686" s="7"/>
      <c r="Q1686" s="7"/>
      <c r="R1686" s="7"/>
      <c r="S1686" s="7"/>
      <c r="T1686" s="7"/>
      <c r="U1686" s="7"/>
      <c r="V1686" s="7"/>
      <c r="W1686" s="7"/>
      <c r="X1686" s="7"/>
      <c r="Y1686" s="7"/>
      <c r="Z1686" s="7"/>
      <c r="AA1686" s="7"/>
      <c r="AB1686" s="7"/>
      <c r="AC1686" s="7"/>
      <c r="AD1686" s="7"/>
      <c r="AE1686" s="7"/>
      <c r="AF1686" s="7"/>
      <c r="AG1686" s="7"/>
      <c r="AH1686" s="7"/>
      <c r="AI1686" s="7"/>
      <c r="AJ1686" s="7"/>
      <c r="AK1686" s="7"/>
      <c r="AL1686" s="7"/>
      <c r="AM1686" s="7"/>
      <c r="AN1686" s="7"/>
      <c r="AO1686" s="7"/>
      <c r="AP1686" s="7"/>
      <c r="AQ1686" s="7"/>
      <c r="AR1686" s="7"/>
      <c r="AS1686" s="7"/>
      <c r="AT1686" s="2"/>
      <c r="AU1686" s="2"/>
    </row>
    <row r="1687" spans="1:47" hidden="1" outlineLevel="1">
      <c r="A1687" s="298"/>
      <c r="B1687" s="215" t="s">
        <v>313</v>
      </c>
      <c r="C1687" s="169" t="s">
        <v>732</v>
      </c>
      <c r="D1687" s="169"/>
      <c r="E1687" s="169"/>
      <c r="F1687" s="169"/>
      <c r="G1687" s="169"/>
      <c r="H1687" s="169"/>
      <c r="I1687" s="169"/>
      <c r="J1687" s="169"/>
      <c r="K1687" s="555">
        <v>336</v>
      </c>
      <c r="L1687" s="555">
        <v>280</v>
      </c>
      <c r="M1687" s="555">
        <v>220</v>
      </c>
      <c r="N1687" s="555">
        <v>194</v>
      </c>
      <c r="O1687" s="555">
        <v>187</v>
      </c>
      <c r="P1687" s="555">
        <v>240</v>
      </c>
      <c r="Q1687" s="555">
        <v>189</v>
      </c>
      <c r="R1687" s="555">
        <v>159</v>
      </c>
      <c r="S1687" s="555">
        <v>138</v>
      </c>
      <c r="T1687" s="555">
        <v>132</v>
      </c>
      <c r="U1687" s="555">
        <v>110</v>
      </c>
      <c r="V1687" s="555">
        <v>130</v>
      </c>
      <c r="W1687" s="554">
        <v>108</v>
      </c>
      <c r="X1687" s="214">
        <v>100.98</v>
      </c>
      <c r="Y1687" s="214"/>
      <c r="Z1687" s="214"/>
      <c r="AA1687" s="214"/>
      <c r="AB1687" s="214"/>
      <c r="AC1687" s="214"/>
      <c r="AD1687" s="214"/>
      <c r="AE1687" s="214"/>
      <c r="AF1687" s="214"/>
      <c r="AG1687" s="214"/>
      <c r="AH1687" s="214"/>
      <c r="AI1687" s="214"/>
      <c r="AJ1687" s="214"/>
      <c r="AK1687" s="214"/>
      <c r="AL1687" s="214"/>
      <c r="AM1687" s="214"/>
      <c r="AN1687" s="214"/>
      <c r="AO1687" s="214"/>
      <c r="AP1687" s="214"/>
      <c r="AQ1687" s="214"/>
      <c r="AR1687" s="214"/>
      <c r="AS1687" s="214"/>
      <c r="AT1687" s="2"/>
      <c r="AU1687" s="2"/>
    </row>
    <row r="1688" spans="1:47" hidden="1" outlineLevel="1">
      <c r="A1688" s="298"/>
      <c r="B1688" s="241" t="s">
        <v>1099</v>
      </c>
      <c r="C1688" s="18" t="s">
        <v>733</v>
      </c>
      <c r="D1688" s="18"/>
      <c r="E1688" s="18"/>
      <c r="F1688" s="18"/>
      <c r="G1688" s="18"/>
      <c r="H1688" s="18"/>
      <c r="I1688" s="18"/>
      <c r="J1688" s="18"/>
      <c r="K1688" s="7"/>
      <c r="L1688" s="7">
        <v>-0.16666666666666663</v>
      </c>
      <c r="M1688" s="7">
        <v>-0.2142857142857143</v>
      </c>
      <c r="N1688" s="7">
        <v>-0.11818181818181817</v>
      </c>
      <c r="O1688" s="7">
        <v>-3.6082474226804107E-2</v>
      </c>
      <c r="P1688" s="7">
        <v>0.28342245989304815</v>
      </c>
      <c r="Q1688" s="7">
        <v>-0.21250000000000002</v>
      </c>
      <c r="R1688" s="7">
        <v>-0.15873015873015872</v>
      </c>
      <c r="S1688" s="7">
        <v>-0.13207547169811318</v>
      </c>
      <c r="T1688" s="7">
        <v>-4.3478260869565188E-2</v>
      </c>
      <c r="U1688" s="7">
        <v>-0.16666666666666663</v>
      </c>
      <c r="V1688" s="7">
        <v>0.18181818181818188</v>
      </c>
      <c r="W1688" s="7">
        <v>-0.16923076923076918</v>
      </c>
      <c r="X1688" s="559">
        <v>-6.5000000000000002E-2</v>
      </c>
      <c r="Y1688" s="230">
        <v>-6.5000000000000002E-2</v>
      </c>
      <c r="Z1688" s="230">
        <v>-6.5000000000000002E-2</v>
      </c>
      <c r="AA1688" s="230">
        <v>-6.5000000000000002E-2</v>
      </c>
      <c r="AB1688" s="557">
        <v>0</v>
      </c>
      <c r="AC1688" s="230">
        <v>0</v>
      </c>
      <c r="AD1688" s="230">
        <v>0</v>
      </c>
      <c r="AE1688" s="230">
        <v>0</v>
      </c>
      <c r="AF1688" s="230">
        <v>0</v>
      </c>
      <c r="AG1688" s="230">
        <v>0</v>
      </c>
      <c r="AH1688" s="230">
        <v>0</v>
      </c>
      <c r="AI1688" s="230">
        <v>0</v>
      </c>
      <c r="AJ1688" s="230">
        <v>0</v>
      </c>
      <c r="AK1688" s="230">
        <v>0</v>
      </c>
      <c r="AL1688" s="230">
        <v>0</v>
      </c>
      <c r="AM1688" s="230">
        <v>0</v>
      </c>
      <c r="AN1688" s="230">
        <v>0</v>
      </c>
      <c r="AO1688" s="231">
        <v>0</v>
      </c>
      <c r="AP1688" s="231">
        <v>0</v>
      </c>
      <c r="AQ1688" s="231">
        <v>0</v>
      </c>
      <c r="AR1688" s="231">
        <v>0</v>
      </c>
      <c r="AS1688" s="231">
        <v>0</v>
      </c>
      <c r="AT1688" s="2"/>
      <c r="AU1688" s="2"/>
    </row>
    <row r="1689" spans="1:47" ht="14.4" hidden="1" outlineLevel="1" thickBot="1">
      <c r="A1689" s="298"/>
      <c r="B1689" s="76"/>
      <c r="C1689" s="78"/>
      <c r="D1689" s="78"/>
      <c r="E1689" s="78"/>
      <c r="F1689" s="78"/>
      <c r="G1689" s="78"/>
      <c r="H1689" s="78"/>
      <c r="I1689" s="78"/>
      <c r="J1689" s="78"/>
      <c r="K1689" s="108"/>
      <c r="L1689" s="108"/>
      <c r="M1689" s="108"/>
      <c r="N1689" s="108"/>
      <c r="O1689" s="108"/>
      <c r="P1689" s="108"/>
      <c r="Q1689" s="108"/>
      <c r="R1689" s="108"/>
      <c r="S1689" s="108"/>
      <c r="T1689" s="108"/>
      <c r="U1689" s="108"/>
      <c r="V1689" s="108"/>
      <c r="W1689" s="108"/>
      <c r="X1689" s="108"/>
      <c r="Y1689" s="108"/>
      <c r="Z1689" s="108"/>
      <c r="AA1689" s="108"/>
      <c r="AB1689" s="108"/>
      <c r="AC1689" s="108"/>
      <c r="AD1689" s="108"/>
      <c r="AE1689" s="108"/>
      <c r="AF1689" s="108"/>
      <c r="AG1689" s="108"/>
      <c r="AH1689" s="108"/>
      <c r="AI1689" s="108"/>
      <c r="AJ1689" s="108"/>
      <c r="AK1689" s="108"/>
      <c r="AL1689" s="108"/>
      <c r="AM1689" s="108"/>
      <c r="AN1689" s="108"/>
      <c r="AO1689" s="108"/>
      <c r="AP1689" s="108"/>
      <c r="AQ1689" s="108"/>
      <c r="AR1689" s="108"/>
      <c r="AS1689" s="108"/>
      <c r="AT1689" s="2"/>
      <c r="AU1689" s="2"/>
    </row>
    <row r="1690" spans="1:47" hidden="1" outlineLevel="1">
      <c r="A1690" s="298"/>
      <c r="B1690" s="2"/>
      <c r="C1690" s="18"/>
      <c r="D1690" s="18"/>
      <c r="E1690" s="18"/>
      <c r="F1690" s="18"/>
      <c r="G1690" s="18"/>
      <c r="H1690" s="18"/>
      <c r="I1690" s="18"/>
      <c r="J1690" s="18"/>
      <c r="K1690" s="7"/>
      <c r="L1690" s="7"/>
      <c r="M1690" s="7"/>
      <c r="N1690" s="7"/>
      <c r="O1690" s="7"/>
      <c r="P1690" s="7"/>
      <c r="Q1690" s="7"/>
      <c r="R1690" s="7"/>
      <c r="S1690" s="7"/>
      <c r="T1690" s="7"/>
      <c r="U1690" s="7"/>
      <c r="V1690" s="7"/>
      <c r="W1690" s="7"/>
      <c r="X1690" s="7"/>
      <c r="Y1690" s="7"/>
      <c r="Z1690" s="7"/>
      <c r="AA1690" s="7"/>
      <c r="AB1690" s="7"/>
      <c r="AC1690" s="7"/>
      <c r="AD1690" s="7"/>
      <c r="AE1690" s="7"/>
      <c r="AF1690" s="7"/>
      <c r="AG1690" s="7"/>
      <c r="AH1690" s="7"/>
      <c r="AI1690" s="7"/>
      <c r="AJ1690" s="7"/>
      <c r="AK1690" s="7"/>
      <c r="AL1690" s="7"/>
      <c r="AM1690" s="7"/>
      <c r="AN1690" s="7"/>
      <c r="AO1690" s="7"/>
      <c r="AP1690" s="7"/>
      <c r="AQ1690" s="7"/>
      <c r="AR1690" s="7"/>
      <c r="AS1690" s="7"/>
      <c r="AT1690" s="2"/>
      <c r="AU1690" s="2"/>
    </row>
    <row r="1691" spans="1:47" ht="15.6" hidden="1" outlineLevel="1">
      <c r="A1691" s="298"/>
      <c r="B1691" s="237" t="s">
        <v>314</v>
      </c>
      <c r="C1691" s="238"/>
      <c r="D1691" s="239"/>
      <c r="E1691" s="239"/>
      <c r="F1691" s="239"/>
      <c r="G1691" s="239"/>
      <c r="H1691" s="239"/>
      <c r="I1691" s="239"/>
      <c r="J1691" s="239"/>
      <c r="K1691" s="239"/>
      <c r="L1691" s="239"/>
      <c r="M1691" s="239"/>
      <c r="N1691" s="239"/>
      <c r="O1691" s="239"/>
      <c r="P1691" s="239"/>
      <c r="Q1691" s="239"/>
      <c r="R1691" s="239"/>
      <c r="S1691" s="239"/>
      <c r="T1691" s="239"/>
      <c r="U1691" s="239"/>
      <c r="V1691" s="239"/>
      <c r="W1691" s="239"/>
      <c r="X1691" s="239"/>
      <c r="Y1691" s="239"/>
      <c r="Z1691" s="239"/>
      <c r="AA1691" s="239"/>
      <c r="AB1691" s="239"/>
      <c r="AC1691" s="239"/>
      <c r="AD1691" s="239"/>
      <c r="AE1691" s="239"/>
      <c r="AF1691" s="239"/>
      <c r="AG1691" s="239"/>
      <c r="AH1691" s="239"/>
      <c r="AI1691" s="239"/>
      <c r="AJ1691" s="239"/>
      <c r="AK1691" s="239"/>
      <c r="AL1691" s="239"/>
      <c r="AM1691" s="239"/>
      <c r="AN1691" s="239"/>
      <c r="AO1691" s="270"/>
      <c r="AP1691" s="240"/>
      <c r="AQ1691" s="240"/>
      <c r="AR1691" s="240"/>
      <c r="AS1691" s="240"/>
      <c r="AT1691" s="2"/>
      <c r="AU1691" s="2"/>
    </row>
    <row r="1692" spans="1:47" hidden="1" outlineLevel="1">
      <c r="A1692" s="298"/>
      <c r="B1692" s="2"/>
      <c r="C1692" s="18"/>
      <c r="D1692" s="18"/>
      <c r="E1692" s="18"/>
      <c r="F1692" s="18"/>
      <c r="G1692" s="18"/>
      <c r="H1692" s="18"/>
      <c r="I1692" s="18"/>
      <c r="J1692" s="18"/>
      <c r="K1692" s="7"/>
      <c r="L1692" s="7"/>
      <c r="M1692" s="7"/>
      <c r="N1692" s="7"/>
      <c r="O1692" s="7"/>
      <c r="P1692" s="7"/>
      <c r="Q1692" s="7"/>
      <c r="R1692" s="7"/>
      <c r="S1692" s="7"/>
      <c r="T1692" s="7"/>
      <c r="U1692" s="7"/>
      <c r="V1692" s="7"/>
      <c r="W1692" s="7"/>
      <c r="X1692" s="7"/>
      <c r="Y1692" s="7"/>
      <c r="Z1692" s="7"/>
      <c r="AA1692" s="7"/>
      <c r="AB1692" s="7"/>
      <c r="AC1692" s="7"/>
      <c r="AD1692" s="7"/>
      <c r="AE1692" s="7"/>
      <c r="AF1692" s="7"/>
      <c r="AG1692" s="7"/>
      <c r="AH1692" s="7"/>
      <c r="AI1692" s="7"/>
      <c r="AJ1692" s="7"/>
      <c r="AK1692" s="7"/>
      <c r="AL1692" s="7"/>
      <c r="AM1692" s="7"/>
      <c r="AN1692" s="7"/>
      <c r="AO1692" s="7"/>
      <c r="AP1692" s="7"/>
      <c r="AQ1692" s="7"/>
      <c r="AR1692" s="7"/>
      <c r="AS1692" s="7"/>
      <c r="AT1692" s="2"/>
      <c r="AU1692" s="2"/>
    </row>
    <row r="1693" spans="1:47" hidden="1" outlineLevel="1">
      <c r="A1693" s="298"/>
      <c r="B1693" s="2" t="s">
        <v>372</v>
      </c>
      <c r="C1693" s="18" t="s">
        <v>733</v>
      </c>
      <c r="D1693" s="18"/>
      <c r="E1693" s="18"/>
      <c r="F1693" s="18"/>
      <c r="G1693" s="18"/>
      <c r="H1693" s="18"/>
      <c r="I1693" s="18"/>
      <c r="J1693" s="18"/>
      <c r="K1693" s="29">
        <v>5.5999999999999999E-3</v>
      </c>
      <c r="L1693" s="29">
        <v>1.677E-2</v>
      </c>
      <c r="M1693" s="29">
        <v>3.449E-2</v>
      </c>
      <c r="N1693" s="29">
        <v>7.5800000000000006E-2</v>
      </c>
      <c r="O1693" s="29">
        <v>0.12970999999999999</v>
      </c>
      <c r="P1693" s="29">
        <v>0.23485</v>
      </c>
      <c r="Q1693" s="29">
        <v>0.35803000000000001</v>
      </c>
      <c r="R1693" s="29">
        <v>0.47630099999999997</v>
      </c>
      <c r="S1693" s="29">
        <v>0.58172000000000001</v>
      </c>
      <c r="T1693" s="29">
        <v>0.615394</v>
      </c>
      <c r="U1693" s="29">
        <v>0.61453999999999998</v>
      </c>
      <c r="V1693" s="29">
        <v>0.62239999999999995</v>
      </c>
      <c r="W1693" s="29">
        <v>0.63034999999999997</v>
      </c>
      <c r="X1693" s="29">
        <v>0.63841000000000003</v>
      </c>
      <c r="Y1693" s="29">
        <v>0.64656999999999998</v>
      </c>
      <c r="Z1693" s="29">
        <v>0.65483000000000002</v>
      </c>
      <c r="AA1693" s="29">
        <v>0.67483000000000004</v>
      </c>
      <c r="AB1693" s="29">
        <v>0.65483000000000002</v>
      </c>
      <c r="AC1693" s="29">
        <v>0.65483000000000002</v>
      </c>
      <c r="AD1693" s="29">
        <v>0.67483000000000004</v>
      </c>
      <c r="AE1693" s="29">
        <v>0.69483000000000006</v>
      </c>
      <c r="AF1693" s="29">
        <v>0.69483000000000006</v>
      </c>
      <c r="AG1693" s="29">
        <v>0.69483000000000006</v>
      </c>
      <c r="AH1693" s="29">
        <v>0.69483000000000006</v>
      </c>
      <c r="AI1693" s="29">
        <v>0.69483000000000006</v>
      </c>
      <c r="AJ1693" s="29">
        <v>0.69483000000000006</v>
      </c>
      <c r="AK1693" s="29">
        <v>0.69483000000000006</v>
      </c>
      <c r="AL1693" s="29">
        <v>0.69483000000000006</v>
      </c>
      <c r="AM1693" s="29">
        <v>0.69483000000000006</v>
      </c>
      <c r="AN1693" s="29">
        <v>0.69483000000000006</v>
      </c>
      <c r="AO1693" s="29">
        <v>0.69483000000000006</v>
      </c>
      <c r="AP1693" s="29">
        <v>0.69483000000000006</v>
      </c>
      <c r="AQ1693" s="29">
        <v>0.69483000000000006</v>
      </c>
      <c r="AR1693" s="29">
        <v>0.69483000000000006</v>
      </c>
      <c r="AS1693" s="29">
        <v>0.69483000000000006</v>
      </c>
      <c r="AT1693" s="2"/>
      <c r="AU1693" s="2"/>
    </row>
    <row r="1694" spans="1:47" hidden="1" outlineLevel="1">
      <c r="A1694" s="298"/>
      <c r="B1694" s="2" t="s">
        <v>373</v>
      </c>
      <c r="C1694" s="18" t="s">
        <v>846</v>
      </c>
      <c r="D1694" s="18"/>
      <c r="E1694" s="18"/>
      <c r="F1694" s="18"/>
      <c r="G1694" s="18"/>
      <c r="H1694" s="18"/>
      <c r="I1694" s="18"/>
      <c r="J1694" s="18"/>
      <c r="K1694" s="31">
        <v>40.599440000000001</v>
      </c>
      <c r="L1694" s="31">
        <v>123.98060999999998</v>
      </c>
      <c r="M1694" s="31">
        <v>259.023349</v>
      </c>
      <c r="N1694" s="31">
        <v>579.49099999999999</v>
      </c>
      <c r="O1694" s="31">
        <v>1009.53293</v>
      </c>
      <c r="P1694" s="31">
        <v>1860.0119999999999</v>
      </c>
      <c r="Q1694" s="31">
        <v>2885.0057400000001</v>
      </c>
      <c r="R1694" s="31">
        <v>3898.9999859999998</v>
      </c>
      <c r="S1694" s="31">
        <v>4837.0017999999991</v>
      </c>
      <c r="T1694" s="31">
        <v>5197.0023300000003</v>
      </c>
      <c r="U1694" s="31">
        <v>5269.6804999999995</v>
      </c>
      <c r="V1694" s="31">
        <v>5418.6143999999995</v>
      </c>
      <c r="W1694" s="31">
        <v>5559.1688522999993</v>
      </c>
      <c r="X1694" s="31">
        <v>5703.4446955307394</v>
      </c>
      <c r="Y1694" s="31">
        <v>5851.4372078563474</v>
      </c>
      <c r="Z1694" s="31">
        <v>6003.2304050129742</v>
      </c>
      <c r="AA1694" s="31">
        <v>6267.0083134243987</v>
      </c>
      <c r="AB1694" s="31">
        <v>6160.3289414817582</v>
      </c>
      <c r="AC1694" s="31">
        <v>6240.4132177210213</v>
      </c>
      <c r="AD1694" s="31">
        <v>6514.6127794801205</v>
      </c>
      <c r="AE1694" s="31">
        <v>6794.8869000111617</v>
      </c>
      <c r="AF1694" s="31">
        <v>6883.2204297113058</v>
      </c>
      <c r="AG1694" s="31">
        <v>6972.7022952975522</v>
      </c>
      <c r="AH1694" s="31">
        <v>7063.3474251364196</v>
      </c>
      <c r="AI1694" s="31">
        <v>7155.1709416631929</v>
      </c>
      <c r="AJ1694" s="31">
        <v>7248.1881639048142</v>
      </c>
      <c r="AK1694" s="31">
        <v>7342.4146100355765</v>
      </c>
      <c r="AL1694" s="31">
        <v>7437.8659999660385</v>
      </c>
      <c r="AM1694" s="31">
        <v>7534.5582579655957</v>
      </c>
      <c r="AN1694" s="31">
        <v>7632.5075153191474</v>
      </c>
      <c r="AO1694" s="31">
        <v>7731.7301130182968</v>
      </c>
      <c r="AP1694" s="31">
        <v>7832.2426044875338</v>
      </c>
      <c r="AQ1694" s="31">
        <v>7832.2426044875338</v>
      </c>
      <c r="AR1694" s="31">
        <v>7832.2426044875338</v>
      </c>
      <c r="AS1694" s="31">
        <v>7832.2426044875338</v>
      </c>
      <c r="AT1694" s="2"/>
      <c r="AU1694" s="2"/>
    </row>
    <row r="1695" spans="1:47" hidden="1" outlineLevel="1">
      <c r="A1695" s="298"/>
      <c r="B1695" s="2" t="s">
        <v>374</v>
      </c>
      <c r="C1695" s="18" t="s">
        <v>733</v>
      </c>
      <c r="D1695" s="18"/>
      <c r="E1695" s="18"/>
      <c r="F1695" s="18"/>
      <c r="G1695" s="18"/>
      <c r="H1695" s="18"/>
      <c r="I1695" s="18"/>
      <c r="J1695" s="18"/>
      <c r="K1695" s="29">
        <v>0</v>
      </c>
      <c r="L1695" s="29">
        <v>0.54847286200640577</v>
      </c>
      <c r="M1695" s="29">
        <v>0.46327869847748748</v>
      </c>
      <c r="N1695" s="29">
        <v>0.41415656153417396</v>
      </c>
      <c r="O1695" s="29">
        <v>0.42296787683785614</v>
      </c>
      <c r="P1695" s="29">
        <v>0.46773891781343346</v>
      </c>
      <c r="Q1695" s="29">
        <v>0.49947907555982884</v>
      </c>
      <c r="R1695" s="29">
        <v>0.48986919898901482</v>
      </c>
      <c r="S1695" s="29">
        <v>0.46599114352200582</v>
      </c>
      <c r="T1695" s="29">
        <v>0.43755993467103177</v>
      </c>
      <c r="U1695" s="29">
        <v>0.42393461994517506</v>
      </c>
      <c r="V1695" s="29">
        <v>0.44217946196725127</v>
      </c>
      <c r="W1695" s="29">
        <v>0.46751593071772118</v>
      </c>
      <c r="X1695" s="29">
        <v>0.48602207051681579</v>
      </c>
      <c r="Y1695" s="29">
        <v>0.48602207051681579</v>
      </c>
      <c r="Z1695" s="29">
        <v>0.52</v>
      </c>
      <c r="AA1695" s="29">
        <v>0.52</v>
      </c>
      <c r="AB1695" s="29">
        <v>0.52</v>
      </c>
      <c r="AC1695" s="29">
        <v>0.52</v>
      </c>
      <c r="AD1695" s="29">
        <v>0.53</v>
      </c>
      <c r="AE1695" s="29">
        <v>0.53</v>
      </c>
      <c r="AF1695" s="29">
        <v>0.53</v>
      </c>
      <c r="AG1695" s="29">
        <v>0.53</v>
      </c>
      <c r="AH1695" s="29">
        <v>0.53</v>
      </c>
      <c r="AI1695" s="29">
        <v>0.53</v>
      </c>
      <c r="AJ1695" s="29">
        <v>0.53</v>
      </c>
      <c r="AK1695" s="29">
        <v>0.53</v>
      </c>
      <c r="AL1695" s="29">
        <v>0.53</v>
      </c>
      <c r="AM1695" s="29">
        <v>0.53</v>
      </c>
      <c r="AN1695" s="29">
        <v>0.53</v>
      </c>
      <c r="AO1695" s="29">
        <v>0.53</v>
      </c>
      <c r="AP1695" s="29">
        <v>0.53</v>
      </c>
      <c r="AQ1695" s="29">
        <v>0.53</v>
      </c>
      <c r="AR1695" s="29">
        <v>0.53</v>
      </c>
      <c r="AS1695" s="29">
        <v>0.53</v>
      </c>
      <c r="AT1695" s="2"/>
      <c r="AU1695" s="2"/>
    </row>
    <row r="1696" spans="1:47" hidden="1" outlineLevel="1">
      <c r="A1696" s="298"/>
      <c r="B1696" s="2" t="s">
        <v>240</v>
      </c>
      <c r="C1696" s="18" t="s">
        <v>733</v>
      </c>
      <c r="D1696" s="18"/>
      <c r="E1696" s="18"/>
      <c r="F1696" s="18"/>
      <c r="G1696" s="18"/>
      <c r="H1696" s="18"/>
      <c r="I1696" s="18"/>
      <c r="J1696" s="18"/>
      <c r="K1696" s="7">
        <v>0</v>
      </c>
      <c r="L1696" s="7">
        <v>0</v>
      </c>
      <c r="M1696" s="7">
        <v>0</v>
      </c>
      <c r="N1696" s="7">
        <v>0</v>
      </c>
      <c r="O1696" s="7">
        <v>0</v>
      </c>
      <c r="P1696" s="7">
        <v>2.1505237600617632E-2</v>
      </c>
      <c r="Q1696" s="7">
        <v>4.1594371316571455E-2</v>
      </c>
      <c r="R1696" s="7">
        <v>6.1297768878730133E-2</v>
      </c>
      <c r="S1696" s="7">
        <v>0.10895178910208388</v>
      </c>
      <c r="T1696" s="7">
        <v>0.13430819454722084</v>
      </c>
      <c r="U1696" s="7">
        <v>0.15769456990798589</v>
      </c>
      <c r="V1696" s="7">
        <v>0.18473357321753694</v>
      </c>
      <c r="W1696" s="7">
        <v>0.2086642861225689</v>
      </c>
      <c r="X1696" s="7">
        <v>0.23178974647302686</v>
      </c>
      <c r="Y1696" s="102">
        <v>0.25327111055899465</v>
      </c>
      <c r="Z1696" s="557">
        <v>0.26</v>
      </c>
      <c r="AA1696" s="557">
        <v>0.27</v>
      </c>
      <c r="AB1696" s="230">
        <v>0.26</v>
      </c>
      <c r="AC1696" s="230">
        <v>0.25</v>
      </c>
      <c r="AD1696" s="230">
        <v>0.24</v>
      </c>
      <c r="AE1696" s="230">
        <v>0.22999999999999998</v>
      </c>
      <c r="AF1696" s="230">
        <v>0.21999999999999997</v>
      </c>
      <c r="AG1696" s="230">
        <v>0.20999999999999996</v>
      </c>
      <c r="AH1696" s="230">
        <v>0.19999999999999996</v>
      </c>
      <c r="AI1696" s="230">
        <v>0.18999999999999995</v>
      </c>
      <c r="AJ1696" s="230">
        <v>0.17999999999999994</v>
      </c>
      <c r="AK1696" s="230">
        <v>0.16999999999999993</v>
      </c>
      <c r="AL1696" s="230">
        <v>0.15999999999999992</v>
      </c>
      <c r="AM1696" s="230">
        <v>0.14999999999999991</v>
      </c>
      <c r="AN1696" s="230">
        <v>0.1399999999999999</v>
      </c>
      <c r="AO1696" s="231">
        <v>0.12999999999999989</v>
      </c>
      <c r="AP1696" s="231">
        <v>0.1199999999999999</v>
      </c>
      <c r="AQ1696" s="231">
        <v>0.1199999999999999</v>
      </c>
      <c r="AR1696" s="231">
        <v>0.1199999999999999</v>
      </c>
      <c r="AS1696" s="231">
        <v>0.1199999999999999</v>
      </c>
      <c r="AT1696" s="2"/>
      <c r="AU1696" s="2"/>
    </row>
    <row r="1697" spans="1:47" hidden="1" outlineLevel="1">
      <c r="A1697" s="298"/>
      <c r="B1697" s="2"/>
      <c r="C1697" s="18"/>
      <c r="D1697" s="18"/>
      <c r="E1697" s="18"/>
      <c r="F1697" s="18"/>
      <c r="G1697" s="18"/>
      <c r="H1697" s="18"/>
      <c r="I1697" s="18"/>
      <c r="J1697" s="18"/>
      <c r="K1697" s="7"/>
      <c r="L1697" s="7"/>
      <c r="M1697" s="7"/>
      <c r="N1697" s="7"/>
      <c r="O1697" s="7"/>
      <c r="P1697" s="7"/>
      <c r="Q1697" s="7"/>
      <c r="R1697" s="7"/>
      <c r="S1697" s="7"/>
      <c r="T1697" s="7"/>
      <c r="U1697" s="7"/>
      <c r="V1697" s="7"/>
      <c r="W1697" s="7"/>
      <c r="X1697" s="7"/>
      <c r="Y1697" s="7"/>
      <c r="Z1697" s="7"/>
      <c r="AA1697" s="7"/>
      <c r="AB1697" s="7"/>
      <c r="AC1697" s="7"/>
      <c r="AD1697" s="7"/>
      <c r="AE1697" s="7"/>
      <c r="AF1697" s="7"/>
      <c r="AG1697" s="7"/>
      <c r="AH1697" s="7"/>
      <c r="AI1697" s="7"/>
      <c r="AJ1697" s="7"/>
      <c r="AK1697" s="7"/>
      <c r="AL1697" s="7"/>
      <c r="AM1697" s="7"/>
      <c r="AN1697" s="7"/>
      <c r="AO1697" s="7"/>
      <c r="AP1697" s="7"/>
      <c r="AQ1697" s="7"/>
      <c r="AR1697" s="7"/>
      <c r="AS1697" s="7"/>
      <c r="AT1697" s="2"/>
      <c r="AU1697" s="2"/>
    </row>
    <row r="1698" spans="1:47" hidden="1" outlineLevel="1">
      <c r="A1698" s="298"/>
      <c r="B1698" s="2" t="s">
        <v>697</v>
      </c>
      <c r="C1698" s="18" t="s">
        <v>846</v>
      </c>
      <c r="D1698" s="18"/>
      <c r="E1698" s="18"/>
      <c r="F1698" s="18"/>
      <c r="G1698" s="18"/>
      <c r="H1698" s="18"/>
      <c r="I1698" s="18"/>
      <c r="J1698" s="18"/>
      <c r="K1698" s="7"/>
      <c r="L1698" s="7"/>
      <c r="M1698" s="7"/>
      <c r="N1698" s="7"/>
      <c r="O1698" s="7"/>
      <c r="P1698" s="532">
        <v>40</v>
      </c>
      <c r="Q1698" s="532">
        <v>120</v>
      </c>
      <c r="R1698" s="532">
        <v>239</v>
      </c>
      <c r="S1698" s="532">
        <v>527</v>
      </c>
      <c r="T1698" s="532">
        <v>698</v>
      </c>
      <c r="U1698" s="532">
        <v>831</v>
      </c>
      <c r="V1698" s="532">
        <v>1001</v>
      </c>
      <c r="W1698" s="536">
        <v>1160</v>
      </c>
      <c r="X1698" s="536">
        <v>1322</v>
      </c>
      <c r="Y1698" s="536">
        <v>1482</v>
      </c>
      <c r="Z1698" s="536">
        <v>1563</v>
      </c>
      <c r="AA1698" s="31">
        <v>1692.0922446245877</v>
      </c>
      <c r="AB1698" s="31">
        <v>1601.6855247852573</v>
      </c>
      <c r="AC1698" s="31">
        <v>1560.1033044302553</v>
      </c>
      <c r="AD1698" s="31">
        <v>1563.5070670752289</v>
      </c>
      <c r="AE1698" s="31">
        <v>1562.823987002567</v>
      </c>
      <c r="AF1698" s="31">
        <v>1514.3084945364872</v>
      </c>
      <c r="AG1698" s="31">
        <v>1464.2674820124857</v>
      </c>
      <c r="AH1698" s="31">
        <v>1412.6694850272836</v>
      </c>
      <c r="AI1698" s="31">
        <v>1359.4824789160064</v>
      </c>
      <c r="AJ1698" s="31">
        <v>1304.6738695028662</v>
      </c>
      <c r="AK1698" s="31">
        <v>1248.2104837060474</v>
      </c>
      <c r="AL1698" s="31">
        <v>1190.0585599945655</v>
      </c>
      <c r="AM1698" s="31">
        <v>1130.1837386948387</v>
      </c>
      <c r="AN1698" s="31">
        <v>1068.5510521446799</v>
      </c>
      <c r="AO1698" s="31">
        <v>1005.1249146923777</v>
      </c>
      <c r="AP1698" s="31">
        <v>939.86911253850326</v>
      </c>
      <c r="AQ1698" s="31">
        <v>939.86911253850326</v>
      </c>
      <c r="AR1698" s="31">
        <v>939.86911253850326</v>
      </c>
      <c r="AS1698" s="31">
        <v>939.86911253850326</v>
      </c>
      <c r="AT1698" s="2"/>
      <c r="AU1698" s="2"/>
    </row>
    <row r="1699" spans="1:47" hidden="1" outlineLevel="1">
      <c r="A1699" s="298"/>
      <c r="B1699" s="241" t="s">
        <v>1099</v>
      </c>
      <c r="C1699" s="18" t="s">
        <v>733</v>
      </c>
      <c r="D1699" s="18"/>
      <c r="E1699" s="18"/>
      <c r="F1699" s="18"/>
      <c r="G1699" s="18"/>
      <c r="H1699" s="18"/>
      <c r="I1699" s="18"/>
      <c r="J1699" s="18"/>
      <c r="K1699" s="7"/>
      <c r="L1699" s="7"/>
      <c r="M1699" s="7"/>
      <c r="N1699" s="7"/>
      <c r="O1699" s="7"/>
      <c r="P1699" s="7"/>
      <c r="Q1699" s="7">
        <v>2</v>
      </c>
      <c r="R1699" s="7">
        <v>0.9916666666666667</v>
      </c>
      <c r="S1699" s="7">
        <v>1.2050209205020921</v>
      </c>
      <c r="T1699" s="7">
        <v>0.32447817836812143</v>
      </c>
      <c r="U1699" s="7">
        <v>0.19054441260744981</v>
      </c>
      <c r="V1699" s="7">
        <v>0.20457280385078214</v>
      </c>
      <c r="W1699" s="7">
        <v>0.1588411588411589</v>
      </c>
      <c r="X1699" s="7">
        <v>0.1396551724137931</v>
      </c>
      <c r="Y1699" s="7">
        <v>0.12102874432677768</v>
      </c>
      <c r="Z1699" s="7">
        <v>5.4655870445344146E-2</v>
      </c>
      <c r="AA1699" s="7">
        <v>8.2592606925520062E-2</v>
      </c>
      <c r="AB1699" s="7">
        <v>-5.3428954672260387E-2</v>
      </c>
      <c r="AC1699" s="7">
        <v>-2.596153846153848E-2</v>
      </c>
      <c r="AD1699" s="7">
        <v>2.1817546538795973E-3</v>
      </c>
      <c r="AE1699" s="7">
        <v>-4.3688966109989291E-4</v>
      </c>
      <c r="AF1699" s="7">
        <v>-3.1043478260869728E-2</v>
      </c>
      <c r="AG1699" s="7">
        <v>-3.3045454545454711E-2</v>
      </c>
      <c r="AH1699" s="7">
        <v>-3.5238095238095402E-2</v>
      </c>
      <c r="AI1699" s="7">
        <v>-3.7649999999999961E-2</v>
      </c>
      <c r="AJ1699" s="7">
        <v>-4.0315789473684305E-2</v>
      </c>
      <c r="AK1699" s="7">
        <v>-4.327777777777797E-2</v>
      </c>
      <c r="AL1699" s="7">
        <v>-4.6588235294117819E-2</v>
      </c>
      <c r="AM1699" s="7">
        <v>-5.0312500000000204E-2</v>
      </c>
      <c r="AN1699" s="7">
        <v>-5.4533333333333545E-2</v>
      </c>
      <c r="AO1699" s="7">
        <v>-5.9357142857142997E-2</v>
      </c>
      <c r="AP1699" s="7">
        <v>-6.4923076923076972E-2</v>
      </c>
      <c r="AQ1699" s="7">
        <v>-6.4923076923076972E-2</v>
      </c>
      <c r="AR1699" s="7">
        <v>-6.4923076923076972E-2</v>
      </c>
      <c r="AS1699" s="7">
        <v>-6.4923076923076972E-2</v>
      </c>
      <c r="AT1699" s="2"/>
      <c r="AU1699" s="2"/>
    </row>
    <row r="1700" spans="1:47" hidden="1" outlineLevel="1">
      <c r="A1700" s="298"/>
      <c r="B1700" s="2" t="s">
        <v>698</v>
      </c>
      <c r="C1700" s="18" t="s">
        <v>846</v>
      </c>
      <c r="D1700" s="18"/>
      <c r="E1700" s="18"/>
      <c r="F1700" s="18"/>
      <c r="G1700" s="18"/>
      <c r="H1700" s="18"/>
      <c r="I1700" s="18"/>
      <c r="J1700" s="18"/>
      <c r="K1700" s="7"/>
      <c r="L1700" s="7"/>
      <c r="M1700" s="7"/>
      <c r="N1700" s="7"/>
      <c r="O1700" s="7"/>
      <c r="P1700" s="7">
        <v>40</v>
      </c>
      <c r="Q1700" s="31">
        <v>80</v>
      </c>
      <c r="R1700" s="31">
        <v>179.5</v>
      </c>
      <c r="S1700" s="31">
        <v>383</v>
      </c>
      <c r="T1700" s="31">
        <v>612.5</v>
      </c>
      <c r="U1700" s="31">
        <v>764.5</v>
      </c>
      <c r="V1700" s="7">
        <v>916</v>
      </c>
      <c r="W1700" s="31">
        <v>1080.5</v>
      </c>
      <c r="X1700" s="31">
        <v>1241</v>
      </c>
      <c r="Y1700" s="31">
        <v>1402</v>
      </c>
      <c r="Z1700" s="31">
        <v>1522.5</v>
      </c>
      <c r="AA1700" s="31">
        <v>1627.5461223122938</v>
      </c>
      <c r="AB1700" s="31">
        <v>1646.8888847049225</v>
      </c>
      <c r="AC1700" s="31">
        <v>1580.8944146077563</v>
      </c>
      <c r="AD1700" s="31">
        <v>1561.8051857527421</v>
      </c>
      <c r="AE1700" s="31">
        <v>1563.1655270388978</v>
      </c>
      <c r="AF1700" s="31">
        <v>1538.5662407695272</v>
      </c>
      <c r="AG1700" s="31">
        <v>1489.2879882744865</v>
      </c>
      <c r="AH1700" s="31">
        <v>1438.4684835198846</v>
      </c>
      <c r="AI1700" s="31">
        <v>1386.075981971645</v>
      </c>
      <c r="AJ1700" s="31">
        <v>1332.0781742094364</v>
      </c>
      <c r="AK1700" s="31">
        <v>1276.4421766044568</v>
      </c>
      <c r="AL1700" s="31">
        <v>1219.1345218503066</v>
      </c>
      <c r="AM1700" s="31">
        <v>1160.1211493447022</v>
      </c>
      <c r="AN1700" s="31">
        <v>1099.3673954197593</v>
      </c>
      <c r="AO1700" s="31">
        <v>1036.8379834185289</v>
      </c>
      <c r="AP1700" s="31">
        <v>972.49701361544044</v>
      </c>
      <c r="AQ1700" s="31">
        <v>972.49701361544044</v>
      </c>
      <c r="AR1700" s="31">
        <v>972.49701361544044</v>
      </c>
      <c r="AS1700" s="31">
        <v>972.49701361544044</v>
      </c>
      <c r="AT1700" s="2"/>
      <c r="AU1700" s="2"/>
    </row>
    <row r="1701" spans="1:47" hidden="1" outlineLevel="1">
      <c r="A1701" s="298"/>
      <c r="B1701" s="2"/>
      <c r="C1701" s="18"/>
      <c r="D1701" s="18"/>
      <c r="E1701" s="18"/>
      <c r="F1701" s="18"/>
      <c r="G1701" s="18"/>
      <c r="H1701" s="18"/>
      <c r="I1701" s="18"/>
      <c r="J1701" s="18"/>
      <c r="K1701" s="7"/>
      <c r="L1701" s="7"/>
      <c r="M1701" s="7"/>
      <c r="N1701" s="7"/>
      <c r="O1701" s="7"/>
      <c r="P1701" s="7"/>
      <c r="Q1701" s="7"/>
      <c r="R1701" s="7"/>
      <c r="S1701" s="7"/>
      <c r="T1701" s="7"/>
      <c r="U1701" s="7"/>
      <c r="V1701" s="7"/>
      <c r="W1701" s="7"/>
      <c r="X1701" s="7"/>
      <c r="Y1701" s="7"/>
      <c r="Z1701" s="7"/>
      <c r="AA1701" s="7"/>
      <c r="AB1701" s="7"/>
      <c r="AC1701" s="7"/>
      <c r="AD1701" s="7"/>
      <c r="AE1701" s="7"/>
      <c r="AF1701" s="7"/>
      <c r="AG1701" s="7"/>
      <c r="AH1701" s="7"/>
      <c r="AI1701" s="7"/>
      <c r="AJ1701" s="7"/>
      <c r="AK1701" s="7"/>
      <c r="AL1701" s="7"/>
      <c r="AM1701" s="7"/>
      <c r="AN1701" s="7"/>
      <c r="AO1701" s="7"/>
      <c r="AP1701" s="7"/>
      <c r="AQ1701" s="7"/>
      <c r="AR1701" s="7"/>
      <c r="AS1701" s="7"/>
      <c r="AT1701" s="2"/>
      <c r="AU1701" s="2"/>
    </row>
    <row r="1702" spans="1:47" hidden="1" outlineLevel="1">
      <c r="A1702" s="298"/>
      <c r="B1702" s="6" t="s">
        <v>684</v>
      </c>
      <c r="C1702" s="21"/>
      <c r="D1702" s="21"/>
      <c r="E1702" s="21"/>
      <c r="F1702" s="21"/>
      <c r="G1702" s="21"/>
      <c r="H1702" s="21"/>
      <c r="I1702" s="21"/>
      <c r="J1702" s="21"/>
      <c r="K1702" s="7"/>
      <c r="L1702" s="7"/>
      <c r="M1702" s="7"/>
      <c r="N1702" s="7"/>
      <c r="O1702" s="7"/>
      <c r="P1702" s="7"/>
      <c r="Q1702" s="7"/>
      <c r="R1702" s="7"/>
      <c r="S1702" s="7"/>
      <c r="T1702" s="7"/>
      <c r="U1702" s="7"/>
      <c r="V1702" s="7"/>
      <c r="W1702" s="7"/>
      <c r="X1702" s="7"/>
      <c r="Y1702" s="7"/>
      <c r="Z1702" s="7"/>
      <c r="AA1702" s="7"/>
      <c r="AB1702" s="7"/>
      <c r="AC1702" s="7"/>
      <c r="AD1702" s="7"/>
      <c r="AE1702" s="7"/>
      <c r="AF1702" s="7"/>
      <c r="AG1702" s="7"/>
      <c r="AH1702" s="7"/>
      <c r="AI1702" s="7"/>
      <c r="AJ1702" s="7"/>
      <c r="AK1702" s="7"/>
      <c r="AL1702" s="7"/>
      <c r="AM1702" s="7"/>
      <c r="AN1702" s="7"/>
      <c r="AO1702" s="7"/>
      <c r="AP1702" s="7"/>
      <c r="AQ1702" s="7"/>
      <c r="AR1702" s="7"/>
      <c r="AS1702" s="7"/>
      <c r="AT1702" s="2"/>
      <c r="AU1702" s="2"/>
    </row>
    <row r="1703" spans="1:47" hidden="1" outlineLevel="1">
      <c r="A1703" s="298"/>
      <c r="B1703" s="55" t="s">
        <v>241</v>
      </c>
      <c r="C1703" s="18" t="s">
        <v>306</v>
      </c>
      <c r="D1703" s="18"/>
      <c r="E1703" s="18"/>
      <c r="F1703" s="18"/>
      <c r="G1703" s="18"/>
      <c r="H1703" s="18"/>
      <c r="I1703" s="18"/>
      <c r="J1703" s="18"/>
      <c r="K1703" s="7"/>
      <c r="L1703" s="7"/>
      <c r="M1703" s="7"/>
      <c r="N1703" s="7"/>
      <c r="O1703" s="7"/>
      <c r="P1703" s="42">
        <v>279.16666666666669</v>
      </c>
      <c r="Q1703" s="42">
        <v>181.25</v>
      </c>
      <c r="R1703" s="42">
        <v>85.886722376973083</v>
      </c>
      <c r="S1703" s="42">
        <v>56.788511749347258</v>
      </c>
      <c r="T1703" s="42">
        <v>48.027210884353742</v>
      </c>
      <c r="U1703" s="42">
        <v>43.492478744277307</v>
      </c>
      <c r="V1703" s="42">
        <v>40.756914119359536</v>
      </c>
      <c r="W1703" s="42">
        <v>37.791146074348298</v>
      </c>
      <c r="X1703" s="42">
        <v>44.789148536126781</v>
      </c>
      <c r="Y1703" s="42">
        <v>40.240133143128858</v>
      </c>
      <c r="Z1703" s="42">
        <v>33.93541324575807</v>
      </c>
      <c r="AA1703" s="42">
        <v>29.594655417958375</v>
      </c>
      <c r="AB1703" s="42">
        <v>27.931453316136711</v>
      </c>
      <c r="AC1703" s="42">
        <v>26.361722187111891</v>
      </c>
      <c r="AD1703" s="42">
        <v>24.880209017587443</v>
      </c>
      <c r="AE1703" s="42">
        <v>23.481956010502135</v>
      </c>
      <c r="AF1703" s="42">
        <v>22.162283994052441</v>
      </c>
      <c r="AG1703" s="42">
        <v>20.916776763118122</v>
      </c>
      <c r="AH1703" s="42">
        <v>19.741266300690423</v>
      </c>
      <c r="AI1703" s="42">
        <v>18.631818829847237</v>
      </c>
      <c r="AJ1703" s="42">
        <v>17.584721649599</v>
      </c>
      <c r="AK1703" s="42">
        <v>16.596470710552261</v>
      </c>
      <c r="AL1703" s="42">
        <v>15.663758888813588</v>
      </c>
      <c r="AM1703" s="42">
        <v>14.783464918893131</v>
      </c>
      <c r="AN1703" s="42">
        <v>13.952642948572446</v>
      </c>
      <c r="AO1703" s="42">
        <v>13.168512680782566</v>
      </c>
      <c r="AP1703" s="42">
        <v>12.428450069502675</v>
      </c>
      <c r="AQ1703" s="42">
        <v>12.428450069502675</v>
      </c>
      <c r="AR1703" s="42">
        <v>12.428450069502675</v>
      </c>
      <c r="AS1703" s="42">
        <v>12.428450069502675</v>
      </c>
      <c r="AT1703" s="2"/>
      <c r="AU1703" s="2"/>
    </row>
    <row r="1704" spans="1:47" hidden="1" outlineLevel="1">
      <c r="A1704" s="298"/>
      <c r="B1704" s="241" t="s">
        <v>1099</v>
      </c>
      <c r="C1704" s="18" t="s">
        <v>733</v>
      </c>
      <c r="D1704" s="18"/>
      <c r="E1704" s="18"/>
      <c r="F1704" s="18"/>
      <c r="G1704" s="18"/>
      <c r="H1704" s="18"/>
      <c r="I1704" s="18"/>
      <c r="J1704" s="18"/>
      <c r="K1704" s="7"/>
      <c r="L1704" s="7"/>
      <c r="M1704" s="7"/>
      <c r="N1704" s="7"/>
      <c r="O1704" s="7"/>
      <c r="P1704" s="7"/>
      <c r="Q1704" s="7">
        <v>-0.35074626865671643</v>
      </c>
      <c r="R1704" s="7">
        <v>-0.52614222136842437</v>
      </c>
      <c r="S1704" s="7">
        <v>-0.33879754428057307</v>
      </c>
      <c r="T1704" s="7">
        <v>-0.15427945891000072</v>
      </c>
      <c r="U1704" s="7">
        <v>-9.4420060140401718E-2</v>
      </c>
      <c r="V1704" s="7">
        <v>-6.2897418218034185E-2</v>
      </c>
      <c r="W1704" s="7">
        <v>-7.2767237390097161E-2</v>
      </c>
      <c r="X1704" s="7">
        <v>0.18517571412126488</v>
      </c>
      <c r="Y1704" s="7">
        <v>-0.10156512328714407</v>
      </c>
      <c r="Z1704" s="7">
        <v>-0.15667741145253489</v>
      </c>
      <c r="AA1704" s="7">
        <v>-0.12791233147403303</v>
      </c>
      <c r="AB1704" s="102">
        <v>-5.6199407573180094E-2</v>
      </c>
      <c r="AC1704" s="233">
        <v>-5.6199407573180094E-2</v>
      </c>
      <c r="AD1704" s="233">
        <v>-5.6199407573180094E-2</v>
      </c>
      <c r="AE1704" s="233">
        <v>-5.6199407573180094E-2</v>
      </c>
      <c r="AF1704" s="233">
        <v>-5.6199407573180094E-2</v>
      </c>
      <c r="AG1704" s="233">
        <v>-5.6199407573180094E-2</v>
      </c>
      <c r="AH1704" s="233">
        <v>-5.6199407573180094E-2</v>
      </c>
      <c r="AI1704" s="233">
        <v>-5.6199407573180094E-2</v>
      </c>
      <c r="AJ1704" s="233">
        <v>-5.6199407573180094E-2</v>
      </c>
      <c r="AK1704" s="233">
        <v>-5.6199407573180094E-2</v>
      </c>
      <c r="AL1704" s="233">
        <v>-5.6199407573180094E-2</v>
      </c>
      <c r="AM1704" s="233">
        <v>-5.6199407573180094E-2</v>
      </c>
      <c r="AN1704" s="233">
        <v>-5.6199407573180094E-2</v>
      </c>
      <c r="AO1704" s="234">
        <v>-5.6199407573180094E-2</v>
      </c>
      <c r="AP1704" s="234">
        <v>-5.6199407573180094E-2</v>
      </c>
      <c r="AQ1704" s="234">
        <v>-5.6199407573180094E-2</v>
      </c>
      <c r="AR1704" s="234">
        <v>-5.6199407573180094E-2</v>
      </c>
      <c r="AS1704" s="234">
        <v>-5.6199407573180094E-2</v>
      </c>
      <c r="AT1704" s="2"/>
      <c r="AU1704" s="2"/>
    </row>
    <row r="1705" spans="1:47" hidden="1" outlineLevel="1">
      <c r="A1705" s="298"/>
      <c r="B1705" s="2"/>
      <c r="C1705" s="18"/>
      <c r="D1705" s="18"/>
      <c r="E1705" s="18"/>
      <c r="F1705" s="18"/>
      <c r="G1705" s="18"/>
      <c r="H1705" s="18"/>
      <c r="I1705" s="18"/>
      <c r="J1705" s="18"/>
      <c r="K1705" s="7"/>
      <c r="L1705" s="7"/>
      <c r="M1705" s="7"/>
      <c r="N1705" s="7"/>
      <c r="O1705" s="7"/>
      <c r="P1705" s="7"/>
      <c r="Q1705" s="7"/>
      <c r="R1705" s="7"/>
      <c r="S1705" s="7"/>
      <c r="T1705" s="7"/>
      <c r="U1705" s="7"/>
      <c r="V1705" s="7"/>
      <c r="W1705" s="7"/>
      <c r="X1705" s="7"/>
      <c r="Y1705" s="7"/>
      <c r="Z1705" s="7"/>
      <c r="AA1705" s="7"/>
      <c r="AB1705" s="7"/>
      <c r="AC1705" s="7"/>
      <c r="AD1705" s="7"/>
      <c r="AE1705" s="7"/>
      <c r="AF1705" s="7"/>
      <c r="AG1705" s="7"/>
      <c r="AH1705" s="7"/>
      <c r="AI1705" s="7"/>
      <c r="AJ1705" s="7"/>
      <c r="AK1705" s="7"/>
      <c r="AL1705" s="7"/>
      <c r="AM1705" s="7"/>
      <c r="AN1705" s="7"/>
      <c r="AO1705" s="7"/>
      <c r="AP1705" s="7"/>
      <c r="AQ1705" s="7"/>
      <c r="AR1705" s="7"/>
      <c r="AS1705" s="7"/>
      <c r="AT1705" s="2"/>
      <c r="AU1705" s="2"/>
    </row>
    <row r="1706" spans="1:47" hidden="1" outlineLevel="1">
      <c r="A1706" s="298"/>
      <c r="B1706" s="215" t="s">
        <v>242</v>
      </c>
      <c r="C1706" s="169" t="s">
        <v>732</v>
      </c>
      <c r="D1706" s="169"/>
      <c r="E1706" s="169"/>
      <c r="F1706" s="169"/>
      <c r="G1706" s="169"/>
      <c r="H1706" s="169"/>
      <c r="I1706" s="169"/>
      <c r="J1706" s="169"/>
      <c r="K1706" s="555">
        <v>828</v>
      </c>
      <c r="L1706" s="555">
        <v>1133</v>
      </c>
      <c r="M1706" s="555">
        <v>1124</v>
      </c>
      <c r="N1706" s="555">
        <v>100</v>
      </c>
      <c r="O1706" s="555">
        <v>93</v>
      </c>
      <c r="P1706" s="555">
        <v>134</v>
      </c>
      <c r="Q1706" s="555">
        <v>174</v>
      </c>
      <c r="R1706" s="555">
        <v>185</v>
      </c>
      <c r="S1706" s="555">
        <v>261</v>
      </c>
      <c r="T1706" s="555">
        <v>353</v>
      </c>
      <c r="U1706" s="555">
        <v>399</v>
      </c>
      <c r="V1706" s="555">
        <v>448</v>
      </c>
      <c r="W1706" s="554">
        <v>490</v>
      </c>
      <c r="X1706" s="554">
        <v>667</v>
      </c>
      <c r="Y1706" s="554">
        <v>677</v>
      </c>
      <c r="Z1706" s="554">
        <v>620</v>
      </c>
      <c r="AA1706" s="554">
        <v>578</v>
      </c>
      <c r="AB1706" s="554">
        <v>552</v>
      </c>
      <c r="AC1706" s="214">
        <v>500.10119238055864</v>
      </c>
      <c r="AD1706" s="214">
        <v>466.2964735953625</v>
      </c>
      <c r="AE1706" s="214">
        <v>440.47420971672938</v>
      </c>
      <c r="AF1706" s="214">
        <v>409.17770365915112</v>
      </c>
      <c r="AG1706" s="214">
        <v>373.81325264076855</v>
      </c>
      <c r="AH1706" s="214">
        <v>340.76627277979628</v>
      </c>
      <c r="AI1706" s="214">
        <v>309.90139896597958</v>
      </c>
      <c r="AJ1706" s="214">
        <v>281.09068690774779</v>
      </c>
      <c r="AK1706" s="214">
        <v>254.21322237275331</v>
      </c>
      <c r="AL1706" s="214">
        <v>229.1547504395069</v>
      </c>
      <c r="AM1706" s="214">
        <v>205.8073237560406</v>
      </c>
      <c r="AN1706" s="214">
        <v>184.06896885112752</v>
      </c>
      <c r="AO1706" s="214">
        <v>163.84336959076708</v>
      </c>
      <c r="AP1706" s="214">
        <v>145.03956691751958</v>
      </c>
      <c r="AQ1706" s="214">
        <v>145.03956691751958</v>
      </c>
      <c r="AR1706" s="214">
        <v>145.03956691751958</v>
      </c>
      <c r="AS1706" s="214">
        <v>145.03956691751958</v>
      </c>
      <c r="AT1706" s="2"/>
      <c r="AU1706" s="2"/>
    </row>
    <row r="1707" spans="1:47" hidden="1" outlineLevel="1">
      <c r="A1707" s="298"/>
      <c r="B1707" s="241" t="s">
        <v>1099</v>
      </c>
      <c r="C1707" s="18" t="s">
        <v>733</v>
      </c>
      <c r="D1707" s="18"/>
      <c r="E1707" s="18"/>
      <c r="F1707" s="18"/>
      <c r="G1707" s="18"/>
      <c r="H1707" s="18"/>
      <c r="I1707" s="18"/>
      <c r="J1707" s="18"/>
      <c r="K1707" s="7"/>
      <c r="L1707" s="7">
        <v>0.3683574879227054</v>
      </c>
      <c r="M1707" s="7">
        <v>-7.9435127978817466E-3</v>
      </c>
      <c r="N1707" s="7">
        <v>-0.91103202846975084</v>
      </c>
      <c r="O1707" s="7">
        <v>-6.9999999999999951E-2</v>
      </c>
      <c r="P1707" s="7">
        <v>0.44086021505376349</v>
      </c>
      <c r="Q1707" s="7">
        <v>0.29850746268656714</v>
      </c>
      <c r="R1707" s="7">
        <v>6.321839080459779E-2</v>
      </c>
      <c r="S1707" s="7">
        <v>0.41081081081081083</v>
      </c>
      <c r="T1707" s="7">
        <v>0.35249042145593878</v>
      </c>
      <c r="U1707" s="7">
        <v>0.13031161473087827</v>
      </c>
      <c r="V1707" s="7">
        <v>0.12280701754385959</v>
      </c>
      <c r="W1707" s="7">
        <v>9.375E-2</v>
      </c>
      <c r="X1707" s="7">
        <v>0.36122448979591826</v>
      </c>
      <c r="Y1707" s="7">
        <v>1.4992503748125996E-2</v>
      </c>
      <c r="Z1707" s="7">
        <v>-8.4194977843426888E-2</v>
      </c>
      <c r="AA1707" s="7">
        <v>-6.7741935483870974E-2</v>
      </c>
      <c r="AB1707" s="7">
        <v>-4.4982698961937739E-2</v>
      </c>
      <c r="AC1707" s="7">
        <v>-9.4019579020727106E-2</v>
      </c>
      <c r="AD1707" s="7">
        <v>-6.7595757219214958E-2</v>
      </c>
      <c r="AE1707" s="7">
        <v>-5.5377351836979338E-2</v>
      </c>
      <c r="AF1707" s="7">
        <v>-7.1051846776012506E-2</v>
      </c>
      <c r="AG1707" s="7">
        <v>-8.6428098848322144E-2</v>
      </c>
      <c r="AH1707" s="7">
        <v>-8.8405051526437295E-2</v>
      </c>
      <c r="AI1707" s="7">
        <v>-9.0574908021374578E-2</v>
      </c>
      <c r="AJ1707" s="7">
        <v>-9.2967350758537792E-2</v>
      </c>
      <c r="AK1707" s="7">
        <v>-9.5618481105407493E-2</v>
      </c>
      <c r="AL1707" s="7">
        <v>-9.8572653693453915E-2</v>
      </c>
      <c r="AM1707" s="7">
        <v>-0.10188497789675821</v>
      </c>
      <c r="AN1707" s="7">
        <v>-0.10562478782670159</v>
      </c>
      <c r="AO1707" s="7">
        <v>-0.10988054850635165</v>
      </c>
      <c r="AP1707" s="7">
        <v>-0.11476694308847479</v>
      </c>
      <c r="AQ1707" s="7">
        <v>-0.11476694308847479</v>
      </c>
      <c r="AR1707" s="7">
        <v>-0.11476694308847479</v>
      </c>
      <c r="AS1707" s="7">
        <v>-0.11476694308847479</v>
      </c>
      <c r="AT1707" s="2"/>
      <c r="AU1707" s="2"/>
    </row>
    <row r="1708" spans="1:47" hidden="1" outlineLevel="1">
      <c r="A1708" s="298"/>
      <c r="B1708" s="55"/>
      <c r="C1708" s="18"/>
      <c r="D1708" s="18"/>
      <c r="E1708" s="18"/>
      <c r="F1708" s="18"/>
      <c r="G1708" s="18"/>
      <c r="H1708" s="18"/>
      <c r="I1708" s="18"/>
      <c r="J1708" s="18"/>
      <c r="K1708" s="7"/>
      <c r="L1708" s="7"/>
      <c r="M1708" s="7"/>
      <c r="N1708" s="7"/>
      <c r="O1708" s="7"/>
      <c r="P1708" s="7"/>
      <c r="Q1708" s="7"/>
      <c r="R1708" s="7"/>
      <c r="S1708" s="7"/>
      <c r="T1708" s="7"/>
      <c r="U1708" s="7"/>
      <c r="V1708" s="7"/>
      <c r="W1708" s="7"/>
      <c r="X1708" s="7"/>
      <c r="Y1708" s="7"/>
      <c r="Z1708" s="7"/>
      <c r="AA1708" s="7"/>
      <c r="AB1708" s="7"/>
      <c r="AC1708" s="7"/>
      <c r="AD1708" s="7"/>
      <c r="AE1708" s="7"/>
      <c r="AF1708" s="7"/>
      <c r="AG1708" s="7"/>
      <c r="AH1708" s="7"/>
      <c r="AI1708" s="7"/>
      <c r="AJ1708" s="7"/>
      <c r="AK1708" s="7"/>
      <c r="AL1708" s="7"/>
      <c r="AM1708" s="7"/>
      <c r="AN1708" s="7"/>
      <c r="AO1708" s="7"/>
      <c r="AP1708" s="7"/>
      <c r="AQ1708" s="7"/>
      <c r="AR1708" s="7"/>
      <c r="AS1708" s="7"/>
      <c r="AT1708" s="2"/>
      <c r="AU1708" s="2"/>
    </row>
    <row r="1709" spans="1:47" ht="15.6" hidden="1" outlineLevel="1">
      <c r="A1709" s="298"/>
      <c r="B1709" s="237" t="s">
        <v>1007</v>
      </c>
      <c r="C1709" s="238"/>
      <c r="D1709" s="239"/>
      <c r="E1709" s="239"/>
      <c r="F1709" s="239"/>
      <c r="G1709" s="239"/>
      <c r="H1709" s="239"/>
      <c r="I1709" s="239"/>
      <c r="J1709" s="239"/>
      <c r="K1709" s="239"/>
      <c r="L1709" s="239"/>
      <c r="M1709" s="239"/>
      <c r="N1709" s="239"/>
      <c r="O1709" s="239"/>
      <c r="P1709" s="239"/>
      <c r="Q1709" s="239"/>
      <c r="R1709" s="239"/>
      <c r="S1709" s="239"/>
      <c r="T1709" s="239"/>
      <c r="U1709" s="239"/>
      <c r="V1709" s="239"/>
      <c r="W1709" s="239"/>
      <c r="X1709" s="239"/>
      <c r="Y1709" s="239"/>
      <c r="Z1709" s="239"/>
      <c r="AA1709" s="239"/>
      <c r="AB1709" s="239"/>
      <c r="AC1709" s="239"/>
      <c r="AD1709" s="239"/>
      <c r="AE1709" s="239"/>
      <c r="AF1709" s="239"/>
      <c r="AG1709" s="239"/>
      <c r="AH1709" s="239"/>
      <c r="AI1709" s="239"/>
      <c r="AJ1709" s="239"/>
      <c r="AK1709" s="239"/>
      <c r="AL1709" s="239"/>
      <c r="AM1709" s="239"/>
      <c r="AN1709" s="239"/>
      <c r="AO1709" s="270"/>
      <c r="AP1709" s="240"/>
      <c r="AQ1709" s="240"/>
      <c r="AR1709" s="240"/>
      <c r="AS1709" s="240"/>
      <c r="AT1709" s="2"/>
      <c r="AU1709" s="2"/>
    </row>
    <row r="1710" spans="1:47" hidden="1" outlineLevel="1">
      <c r="A1710" s="298"/>
      <c r="B1710" s="55"/>
      <c r="C1710" s="18"/>
      <c r="D1710" s="18"/>
      <c r="E1710" s="18"/>
      <c r="F1710" s="18"/>
      <c r="G1710" s="18"/>
      <c r="H1710" s="18"/>
      <c r="I1710" s="18"/>
      <c r="J1710" s="18"/>
      <c r="K1710" s="7"/>
      <c r="L1710" s="7"/>
      <c r="M1710" s="7"/>
      <c r="N1710" s="7"/>
      <c r="O1710" s="7"/>
      <c r="P1710" s="7"/>
      <c r="Q1710" s="7"/>
      <c r="R1710" s="7"/>
      <c r="S1710" s="7"/>
      <c r="T1710" s="7"/>
      <c r="U1710" s="7"/>
      <c r="V1710" s="7"/>
      <c r="W1710" s="7"/>
      <c r="X1710" s="7"/>
      <c r="Y1710" s="7"/>
      <c r="Z1710" s="7"/>
      <c r="AA1710" s="7"/>
      <c r="AB1710" s="7"/>
      <c r="AC1710" s="7"/>
      <c r="AD1710" s="7"/>
      <c r="AE1710" s="7"/>
      <c r="AF1710" s="7"/>
      <c r="AG1710" s="7"/>
      <c r="AH1710" s="7"/>
      <c r="AI1710" s="7"/>
      <c r="AJ1710" s="7"/>
      <c r="AK1710" s="7"/>
      <c r="AL1710" s="7"/>
      <c r="AM1710" s="7"/>
      <c r="AN1710" s="7"/>
      <c r="AO1710" s="7"/>
      <c r="AP1710" s="7"/>
      <c r="AQ1710" s="7"/>
      <c r="AR1710" s="7"/>
      <c r="AS1710" s="7"/>
      <c r="AT1710" s="2"/>
      <c r="AU1710" s="2"/>
    </row>
    <row r="1711" spans="1:47" hidden="1" outlineLevel="1">
      <c r="A1711" s="298"/>
      <c r="B1711" s="241" t="s">
        <v>1099</v>
      </c>
      <c r="C1711" s="18" t="s">
        <v>733</v>
      </c>
      <c r="D1711" s="18"/>
      <c r="E1711" s="18"/>
      <c r="F1711" s="18"/>
      <c r="G1711" s="18"/>
      <c r="H1711" s="18"/>
      <c r="I1711" s="18"/>
      <c r="J1711" s="18"/>
      <c r="K1711" s="7"/>
      <c r="L1711" s="7"/>
      <c r="M1711" s="7"/>
      <c r="N1711" s="7"/>
      <c r="O1711" s="7"/>
      <c r="P1711" s="7"/>
      <c r="Q1711" s="7"/>
      <c r="R1711" s="7"/>
      <c r="S1711" s="7"/>
      <c r="T1711" s="7"/>
      <c r="U1711" s="7"/>
      <c r="V1711" s="7"/>
      <c r="W1711" s="7"/>
      <c r="X1711" s="7"/>
      <c r="Y1711" s="7"/>
      <c r="Z1711" s="7"/>
      <c r="AA1711" s="7">
        <v>-3.0150753768844241E-2</v>
      </c>
      <c r="AB1711" s="7">
        <v>-8.2901554404145039E-2</v>
      </c>
      <c r="AC1711" s="7">
        <v>-0.28870056497175134</v>
      </c>
      <c r="AD1711" s="233">
        <v>-0.29870056497175135</v>
      </c>
      <c r="AE1711" s="233">
        <v>-0.30870056497175136</v>
      </c>
      <c r="AF1711" s="233">
        <v>-0.31870056497175137</v>
      </c>
      <c r="AG1711" s="233">
        <v>-0.32870056497175137</v>
      </c>
      <c r="AH1711" s="233">
        <v>-0.33870056497175138</v>
      </c>
      <c r="AI1711" s="233">
        <v>-0.34870056497175139</v>
      </c>
      <c r="AJ1711" s="233">
        <v>-0.3587005649717514</v>
      </c>
      <c r="AK1711" s="233">
        <v>-0.36870056497175141</v>
      </c>
      <c r="AL1711" s="233">
        <v>-0.37870056497175142</v>
      </c>
      <c r="AM1711" s="233">
        <v>-0.38870056497175143</v>
      </c>
      <c r="AN1711" s="233">
        <v>-0.39870056497175144</v>
      </c>
      <c r="AO1711" s="233">
        <v>-0.40870056497175145</v>
      </c>
      <c r="AP1711" s="233">
        <v>-0.41870056497175145</v>
      </c>
      <c r="AQ1711" s="233">
        <v>-0.41870056497175145</v>
      </c>
      <c r="AR1711" s="233">
        <v>-0.41870056497175145</v>
      </c>
      <c r="AS1711" s="233">
        <v>-0.41870056497175145</v>
      </c>
      <c r="AT1711" s="2"/>
      <c r="AU1711" s="2"/>
    </row>
    <row r="1712" spans="1:47" hidden="1" outlineLevel="1">
      <c r="A1712" s="298"/>
      <c r="B1712" s="55"/>
      <c r="C1712" s="18"/>
      <c r="D1712" s="18"/>
      <c r="E1712" s="18"/>
      <c r="F1712" s="18"/>
      <c r="G1712" s="18"/>
      <c r="H1712" s="18"/>
      <c r="I1712" s="18"/>
      <c r="J1712" s="18"/>
      <c r="K1712" s="7"/>
      <c r="L1712" s="7"/>
      <c r="M1712" s="7"/>
      <c r="N1712" s="7"/>
      <c r="O1712" s="7"/>
      <c r="P1712" s="7"/>
      <c r="Q1712" s="7"/>
      <c r="R1712" s="7"/>
      <c r="S1712" s="7"/>
      <c r="T1712" s="7"/>
      <c r="U1712" s="7"/>
      <c r="V1712" s="7"/>
      <c r="W1712" s="7"/>
      <c r="X1712" s="7"/>
      <c r="Y1712" s="7"/>
      <c r="Z1712" s="7"/>
      <c r="AA1712" s="7"/>
      <c r="AB1712" s="7"/>
      <c r="AC1712" s="7"/>
      <c r="AD1712" s="7"/>
      <c r="AE1712" s="7"/>
      <c r="AF1712" s="7"/>
      <c r="AG1712" s="7"/>
      <c r="AH1712" s="7"/>
      <c r="AI1712" s="7"/>
      <c r="AJ1712" s="7"/>
      <c r="AK1712" s="7"/>
      <c r="AL1712" s="7"/>
      <c r="AM1712" s="7"/>
      <c r="AN1712" s="7"/>
      <c r="AO1712" s="7"/>
      <c r="AP1712" s="7"/>
      <c r="AQ1712" s="7"/>
      <c r="AR1712" s="7"/>
      <c r="AS1712" s="7"/>
      <c r="AT1712" s="2"/>
      <c r="AU1712" s="2"/>
    </row>
    <row r="1713" spans="1:47" hidden="1" outlineLevel="1">
      <c r="A1713" s="298"/>
      <c r="B1713" s="215" t="s">
        <v>1007</v>
      </c>
      <c r="C1713" s="169"/>
      <c r="D1713" s="169"/>
      <c r="E1713" s="169"/>
      <c r="F1713" s="169"/>
      <c r="G1713" s="169"/>
      <c r="H1713" s="169"/>
      <c r="I1713" s="169"/>
      <c r="J1713" s="169"/>
      <c r="K1713" s="27"/>
      <c r="L1713" s="27"/>
      <c r="M1713" s="27"/>
      <c r="N1713" s="27"/>
      <c r="O1713" s="27"/>
      <c r="P1713" s="27"/>
      <c r="Q1713" s="27"/>
      <c r="R1713" s="27"/>
      <c r="S1713" s="27"/>
      <c r="T1713" s="27"/>
      <c r="U1713" s="27"/>
      <c r="V1713" s="27"/>
      <c r="W1713" s="214"/>
      <c r="X1713" s="214"/>
      <c r="Y1713" s="214"/>
      <c r="Z1713" s="554">
        <v>199</v>
      </c>
      <c r="AA1713" s="554">
        <v>193</v>
      </c>
      <c r="AB1713" s="554">
        <v>177</v>
      </c>
      <c r="AC1713" s="554">
        <v>125.9</v>
      </c>
      <c r="AD1713" s="214">
        <v>88.293598870056513</v>
      </c>
      <c r="AE1713" s="214">
        <v>61.037315015480878</v>
      </c>
      <c r="AF1713" s="214">
        <v>41.584688235688361</v>
      </c>
      <c r="AG1713" s="214">
        <v>27.915777718443454</v>
      </c>
      <c r="AH1713" s="214">
        <v>18.460688033580826</v>
      </c>
      <c r="AI1713" s="214">
        <v>12.023435686503943</v>
      </c>
      <c r="AJ1713" s="214">
        <v>7.7106225128534609</v>
      </c>
      <c r="AK1713" s="214">
        <v>4.8677116360804842</v>
      </c>
      <c r="AL1713" s="214">
        <v>3.0243064893772362</v>
      </c>
      <c r="AM1713" s="214">
        <v>1.8487568483085703</v>
      </c>
      <c r="AN1713" s="214">
        <v>1.1116564483925488</v>
      </c>
      <c r="AO1713" s="214">
        <v>0.65732182988002352</v>
      </c>
      <c r="AP1713" s="214">
        <v>0.38210080834099219</v>
      </c>
      <c r="AQ1713" s="214">
        <v>0.38210080834099219</v>
      </c>
      <c r="AR1713" s="214">
        <v>0.38210080834099219</v>
      </c>
      <c r="AS1713" s="214">
        <v>0.38210080834099219</v>
      </c>
      <c r="AT1713" s="2"/>
      <c r="AU1713" s="2"/>
    </row>
    <row r="1714" spans="1:47" ht="14.4" hidden="1" outlineLevel="1" thickBot="1">
      <c r="A1714" s="298"/>
      <c r="B1714" s="76"/>
      <c r="C1714" s="78"/>
      <c r="D1714" s="78"/>
      <c r="E1714" s="78"/>
      <c r="F1714" s="78"/>
      <c r="G1714" s="78"/>
      <c r="H1714" s="78"/>
      <c r="I1714" s="78"/>
      <c r="J1714" s="78"/>
      <c r="K1714" s="108"/>
      <c r="L1714" s="108"/>
      <c r="M1714" s="108"/>
      <c r="N1714" s="108"/>
      <c r="O1714" s="108"/>
      <c r="P1714" s="108"/>
      <c r="Q1714" s="108"/>
      <c r="R1714" s="108"/>
      <c r="S1714" s="108"/>
      <c r="T1714" s="108"/>
      <c r="U1714" s="108"/>
      <c r="V1714" s="108"/>
      <c r="W1714" s="108"/>
      <c r="X1714" s="108"/>
      <c r="Y1714" s="110"/>
      <c r="Z1714" s="108"/>
      <c r="AA1714" s="108"/>
      <c r="AB1714" s="108"/>
      <c r="AC1714" s="108"/>
      <c r="AD1714" s="108"/>
      <c r="AE1714" s="108"/>
      <c r="AF1714" s="108"/>
      <c r="AG1714" s="108"/>
      <c r="AH1714" s="108"/>
      <c r="AI1714" s="108"/>
      <c r="AJ1714" s="108"/>
      <c r="AK1714" s="108"/>
      <c r="AL1714" s="108"/>
      <c r="AM1714" s="108"/>
      <c r="AN1714" s="108"/>
      <c r="AO1714" s="108"/>
      <c r="AP1714" s="108"/>
      <c r="AQ1714" s="108"/>
      <c r="AR1714" s="108"/>
      <c r="AS1714" s="108"/>
      <c r="AT1714" s="2"/>
      <c r="AU1714" s="2"/>
    </row>
    <row r="1715" spans="1:47" hidden="1" outlineLevel="1">
      <c r="A1715" s="298"/>
      <c r="B1715" s="2"/>
      <c r="C1715" s="18"/>
      <c r="D1715" s="18"/>
      <c r="E1715" s="18"/>
      <c r="F1715" s="18"/>
      <c r="G1715" s="18"/>
      <c r="H1715" s="18"/>
      <c r="I1715" s="18"/>
      <c r="J1715" s="18"/>
      <c r="K1715" s="7"/>
      <c r="L1715" s="7"/>
      <c r="M1715" s="7"/>
      <c r="N1715" s="7"/>
      <c r="O1715" s="7"/>
      <c r="P1715" s="7"/>
      <c r="Q1715" s="7"/>
      <c r="R1715" s="7"/>
      <c r="S1715" s="7"/>
      <c r="T1715" s="7"/>
      <c r="U1715" s="7"/>
      <c r="V1715" s="7"/>
      <c r="W1715" s="7"/>
      <c r="X1715" s="7"/>
      <c r="Y1715" s="7"/>
      <c r="Z1715" s="7"/>
      <c r="AA1715" s="7"/>
      <c r="AB1715" s="7"/>
      <c r="AC1715" s="7"/>
      <c r="AD1715" s="7"/>
      <c r="AE1715" s="7"/>
      <c r="AF1715" s="7"/>
      <c r="AG1715" s="7"/>
      <c r="AH1715" s="7"/>
      <c r="AI1715" s="7"/>
      <c r="AJ1715" s="7"/>
      <c r="AK1715" s="7"/>
      <c r="AL1715" s="7"/>
      <c r="AM1715" s="7"/>
      <c r="AN1715" s="7"/>
      <c r="AO1715" s="7"/>
      <c r="AP1715" s="7"/>
      <c r="AQ1715" s="7"/>
      <c r="AR1715" s="7"/>
      <c r="AS1715" s="7"/>
      <c r="AT1715" s="2"/>
      <c r="AU1715" s="2"/>
    </row>
    <row r="1716" spans="1:47" hidden="1" outlineLevel="1">
      <c r="A1716" s="298"/>
      <c r="B1716" s="2"/>
      <c r="C1716" s="18"/>
      <c r="D1716" s="18"/>
      <c r="E1716" s="18"/>
      <c r="F1716" s="18"/>
      <c r="G1716" s="18"/>
      <c r="H1716" s="18"/>
      <c r="I1716" s="18"/>
      <c r="J1716" s="18"/>
      <c r="K1716" s="7"/>
      <c r="L1716" s="7"/>
      <c r="M1716" s="7"/>
      <c r="N1716" s="7"/>
      <c r="O1716" s="7"/>
      <c r="P1716" s="7"/>
      <c r="Q1716" s="7"/>
      <c r="R1716" s="7"/>
      <c r="S1716" s="7"/>
      <c r="T1716" s="7"/>
      <c r="U1716" s="7"/>
      <c r="V1716" s="7"/>
      <c r="W1716" s="7"/>
      <c r="X1716" s="7"/>
      <c r="Y1716" s="7"/>
      <c r="Z1716" s="7"/>
      <c r="AA1716" s="7"/>
      <c r="AB1716" s="7"/>
      <c r="AC1716" s="7"/>
      <c r="AD1716" s="7"/>
      <c r="AE1716" s="7"/>
      <c r="AF1716" s="7"/>
      <c r="AG1716" s="7"/>
      <c r="AH1716" s="7"/>
      <c r="AI1716" s="7"/>
      <c r="AJ1716" s="7"/>
      <c r="AK1716" s="7"/>
      <c r="AL1716" s="7"/>
      <c r="AM1716" s="7"/>
      <c r="AN1716" s="7"/>
      <c r="AO1716" s="7"/>
      <c r="AP1716" s="7"/>
      <c r="AQ1716" s="7"/>
      <c r="AR1716" s="7"/>
      <c r="AS1716" s="7"/>
      <c r="AT1716" s="2"/>
      <c r="AU1716" s="2"/>
    </row>
    <row r="1717" spans="1:47" ht="15.6" hidden="1" outlineLevel="1">
      <c r="A1717" s="298"/>
      <c r="B1717" s="237" t="s">
        <v>62</v>
      </c>
      <c r="C1717" s="238"/>
      <c r="D1717" s="239"/>
      <c r="E1717" s="239"/>
      <c r="F1717" s="239"/>
      <c r="G1717" s="239"/>
      <c r="H1717" s="239"/>
      <c r="I1717" s="239"/>
      <c r="J1717" s="239"/>
      <c r="K1717" s="239"/>
      <c r="L1717" s="239"/>
      <c r="M1717" s="239"/>
      <c r="N1717" s="239"/>
      <c r="O1717" s="239"/>
      <c r="P1717" s="239"/>
      <c r="Q1717" s="239"/>
      <c r="R1717" s="239"/>
      <c r="S1717" s="239"/>
      <c r="T1717" s="239"/>
      <c r="U1717" s="239"/>
      <c r="V1717" s="239"/>
      <c r="W1717" s="239"/>
      <c r="X1717" s="239"/>
      <c r="Y1717" s="239"/>
      <c r="Z1717" s="239"/>
      <c r="AA1717" s="239"/>
      <c r="AB1717" s="239"/>
      <c r="AC1717" s="239"/>
      <c r="AD1717" s="239"/>
      <c r="AE1717" s="239"/>
      <c r="AF1717" s="239"/>
      <c r="AG1717" s="239"/>
      <c r="AH1717" s="239"/>
      <c r="AI1717" s="239"/>
      <c r="AJ1717" s="239"/>
      <c r="AK1717" s="239"/>
      <c r="AL1717" s="239"/>
      <c r="AM1717" s="239"/>
      <c r="AN1717" s="239"/>
      <c r="AO1717" s="270"/>
      <c r="AP1717" s="240"/>
      <c r="AQ1717" s="240"/>
      <c r="AR1717" s="240"/>
      <c r="AS1717" s="240"/>
      <c r="AT1717" s="2"/>
      <c r="AU1717" s="2"/>
    </row>
    <row r="1718" spans="1:47" hidden="1" outlineLevel="1">
      <c r="A1718" s="298"/>
      <c r="B1718" s="2"/>
      <c r="C1718" s="18"/>
      <c r="D1718" s="18"/>
      <c r="E1718" s="18"/>
      <c r="F1718" s="18"/>
      <c r="G1718" s="18"/>
      <c r="H1718" s="18"/>
      <c r="I1718" s="18"/>
      <c r="J1718" s="18"/>
      <c r="K1718" s="2"/>
      <c r="L1718" s="2"/>
      <c r="M1718" s="2"/>
      <c r="N1718" s="2"/>
      <c r="O1718" s="2"/>
      <c r="P1718" s="2"/>
      <c r="Q1718" s="2"/>
      <c r="R1718" s="2"/>
      <c r="S1718" s="2"/>
      <c r="T1718" s="2"/>
      <c r="U1718" s="2"/>
      <c r="V1718" s="2"/>
      <c r="W1718" s="2"/>
      <c r="X1718" s="2"/>
      <c r="Y1718" s="2"/>
      <c r="Z1718" s="2"/>
      <c r="AA1718" s="2"/>
      <c r="AB1718" s="2"/>
      <c r="AC1718" s="2"/>
      <c r="AD1718" s="2"/>
      <c r="AE1718" s="2"/>
      <c r="AF1718" s="2"/>
      <c r="AG1718" s="2"/>
      <c r="AH1718" s="2"/>
      <c r="AI1718" s="2"/>
      <c r="AJ1718" s="2"/>
      <c r="AK1718" s="2"/>
      <c r="AL1718" s="2"/>
      <c r="AM1718" s="2"/>
      <c r="AN1718" s="2"/>
      <c r="AO1718" s="2"/>
      <c r="AP1718" s="2"/>
      <c r="AQ1718" s="2"/>
      <c r="AR1718" s="2"/>
      <c r="AS1718" s="2"/>
      <c r="AT1718" s="2"/>
      <c r="AU1718" s="2"/>
    </row>
    <row r="1719" spans="1:47" hidden="1" outlineLevel="1">
      <c r="A1719" s="298"/>
      <c r="B1719" s="268" t="s">
        <v>63</v>
      </c>
      <c r="C1719" s="18"/>
      <c r="D1719" s="18"/>
      <c r="E1719" s="18"/>
      <c r="F1719" s="18"/>
      <c r="G1719" s="18"/>
      <c r="H1719" s="18"/>
      <c r="I1719" s="18"/>
      <c r="J1719" s="18"/>
      <c r="K1719" s="7"/>
      <c r="L1719" s="7"/>
      <c r="M1719" s="7"/>
      <c r="N1719" s="7"/>
      <c r="O1719" s="7"/>
      <c r="P1719" s="7"/>
      <c r="Q1719" s="7"/>
      <c r="R1719" s="7"/>
      <c r="S1719" s="7"/>
      <c r="T1719" s="7"/>
      <c r="U1719" s="7"/>
      <c r="V1719" s="7"/>
      <c r="W1719" s="7"/>
      <c r="X1719" s="7"/>
      <c r="Y1719" s="7"/>
      <c r="Z1719" s="7"/>
      <c r="AA1719" s="7"/>
      <c r="AB1719" s="7"/>
      <c r="AC1719" s="7"/>
      <c r="AD1719" s="7"/>
      <c r="AE1719" s="7"/>
      <c r="AF1719" s="7"/>
      <c r="AG1719" s="7"/>
      <c r="AH1719" s="7"/>
      <c r="AI1719" s="7"/>
      <c r="AJ1719" s="7"/>
      <c r="AK1719" s="7"/>
      <c r="AL1719" s="7"/>
      <c r="AM1719" s="7"/>
      <c r="AN1719" s="7"/>
      <c r="AO1719" s="7"/>
      <c r="AP1719" s="7"/>
      <c r="AQ1719" s="7"/>
      <c r="AR1719" s="7"/>
      <c r="AS1719" s="7"/>
      <c r="AT1719" s="2"/>
      <c r="AU1719" s="2"/>
    </row>
    <row r="1720" spans="1:47" hidden="1" outlineLevel="1">
      <c r="A1720" s="298"/>
      <c r="B1720" s="268" t="s">
        <v>823</v>
      </c>
      <c r="C1720" s="18"/>
      <c r="D1720" s="18"/>
      <c r="E1720" s="18"/>
      <c r="F1720" s="18"/>
      <c r="G1720" s="18"/>
      <c r="H1720" s="18"/>
      <c r="I1720" s="18"/>
      <c r="J1720" s="18"/>
      <c r="K1720" s="2"/>
      <c r="L1720" s="2"/>
      <c r="M1720" s="2"/>
      <c r="N1720" s="2"/>
      <c r="O1720" s="2"/>
      <c r="P1720" s="2"/>
      <c r="Q1720" s="2"/>
      <c r="R1720" s="2"/>
      <c r="S1720" s="2"/>
      <c r="T1720" s="2"/>
      <c r="U1720" s="2"/>
      <c r="V1720" s="2"/>
      <c r="W1720" s="2"/>
      <c r="X1720" s="2"/>
      <c r="Y1720" s="2"/>
      <c r="Z1720" s="2"/>
      <c r="AA1720" s="2"/>
      <c r="AB1720" s="2"/>
      <c r="AC1720" s="2"/>
      <c r="AD1720" s="2"/>
      <c r="AE1720" s="2"/>
      <c r="AF1720" s="2"/>
      <c r="AG1720" s="2"/>
      <c r="AH1720" s="2"/>
      <c r="AI1720" s="2"/>
      <c r="AJ1720" s="2"/>
      <c r="AK1720" s="2"/>
      <c r="AL1720" s="2"/>
      <c r="AM1720" s="2"/>
      <c r="AN1720" s="2"/>
      <c r="AO1720" s="2"/>
      <c r="AP1720" s="2"/>
      <c r="AQ1720" s="2"/>
      <c r="AR1720" s="2"/>
      <c r="AS1720" s="2"/>
      <c r="AT1720" s="2"/>
      <c r="AU1720" s="2"/>
    </row>
    <row r="1721" spans="1:47" hidden="1" outlineLevel="1">
      <c r="A1721" s="298"/>
      <c r="B1721" s="2"/>
      <c r="C1721" s="18"/>
      <c r="D1721" s="18"/>
      <c r="E1721" s="18"/>
      <c r="F1721" s="18"/>
      <c r="G1721" s="18"/>
      <c r="H1721" s="18"/>
      <c r="I1721" s="18"/>
      <c r="J1721" s="18"/>
      <c r="K1721" s="2"/>
      <c r="L1721" s="2"/>
      <c r="M1721" s="2"/>
      <c r="N1721" s="2"/>
      <c r="O1721" s="2"/>
      <c r="P1721" s="2"/>
      <c r="Q1721" s="2"/>
      <c r="R1721" s="2"/>
      <c r="S1721" s="2"/>
      <c r="T1721" s="2"/>
      <c r="U1721" s="2"/>
      <c r="V1721" s="2"/>
      <c r="W1721" s="2"/>
      <c r="X1721" s="2"/>
      <c r="Y1721" s="2"/>
      <c r="Z1721" s="2"/>
      <c r="AA1721" s="2"/>
      <c r="AB1721" s="2"/>
      <c r="AC1721" s="2"/>
      <c r="AD1721" s="2"/>
      <c r="AE1721" s="2"/>
      <c r="AF1721" s="2"/>
      <c r="AG1721" s="2"/>
      <c r="AH1721" s="2"/>
      <c r="AI1721" s="2"/>
      <c r="AJ1721" s="2"/>
      <c r="AK1721" s="2"/>
      <c r="AL1721" s="2"/>
      <c r="AM1721" s="2"/>
      <c r="AN1721" s="2"/>
      <c r="AO1721" s="2"/>
      <c r="AP1721" s="2"/>
      <c r="AQ1721" s="2"/>
      <c r="AR1721" s="2"/>
      <c r="AS1721" s="2"/>
      <c r="AT1721" s="2"/>
      <c r="AU1721" s="2"/>
    </row>
    <row r="1722" spans="1:47" hidden="1" outlineLevel="1">
      <c r="A1722" s="298"/>
      <c r="B1722" s="6" t="s">
        <v>367</v>
      </c>
      <c r="C1722" s="18"/>
      <c r="D1722" s="18"/>
      <c r="E1722" s="18"/>
      <c r="F1722" s="18"/>
      <c r="G1722" s="18"/>
      <c r="H1722" s="18"/>
      <c r="I1722" s="18"/>
      <c r="J1722" s="18"/>
      <c r="K1722" s="2"/>
      <c r="L1722" s="2"/>
      <c r="M1722" s="2"/>
      <c r="N1722" s="2"/>
      <c r="O1722" s="2"/>
      <c r="P1722" s="2"/>
      <c r="Q1722" s="2"/>
      <c r="R1722" s="2"/>
      <c r="S1722" s="2"/>
      <c r="T1722" s="2"/>
      <c r="U1722" s="2"/>
      <c r="V1722" s="2"/>
      <c r="W1722" s="2"/>
      <c r="X1722" s="2"/>
      <c r="Y1722" s="2"/>
      <c r="Z1722" s="2"/>
      <c r="AA1722" s="2"/>
      <c r="AB1722" s="2"/>
      <c r="AC1722" s="2"/>
      <c r="AD1722" s="2"/>
      <c r="AE1722" s="2"/>
      <c r="AF1722" s="2"/>
      <c r="AG1722" s="2"/>
      <c r="AH1722" s="2"/>
      <c r="AI1722" s="2"/>
      <c r="AJ1722" s="2"/>
      <c r="AK1722" s="2"/>
      <c r="AL1722" s="2"/>
      <c r="AM1722" s="2"/>
      <c r="AN1722" s="2"/>
      <c r="AO1722" s="2"/>
      <c r="AP1722" s="2"/>
      <c r="AQ1722" s="2"/>
      <c r="AR1722" s="2"/>
      <c r="AS1722" s="2"/>
      <c r="AT1722" s="2"/>
      <c r="AU1722" s="2"/>
    </row>
    <row r="1723" spans="1:47" hidden="1" outlineLevel="1">
      <c r="A1723" s="298"/>
      <c r="B1723" s="55" t="s">
        <v>377</v>
      </c>
      <c r="C1723" s="18" t="s">
        <v>846</v>
      </c>
      <c r="D1723" s="18"/>
      <c r="E1723" s="18"/>
      <c r="F1723" s="18"/>
      <c r="G1723" s="18"/>
      <c r="H1723" s="18"/>
      <c r="I1723" s="18"/>
      <c r="J1723" s="18"/>
      <c r="K1723" s="530">
        <v>0</v>
      </c>
      <c r="L1723" s="530">
        <v>877</v>
      </c>
      <c r="M1723" s="530">
        <v>1075</v>
      </c>
      <c r="N1723" s="530">
        <v>1158</v>
      </c>
      <c r="O1723" s="530">
        <v>1194</v>
      </c>
      <c r="P1723" s="530">
        <v>1205</v>
      </c>
      <c r="Q1723" s="530">
        <v>1027</v>
      </c>
      <c r="R1723" s="530">
        <v>654</v>
      </c>
      <c r="S1723" s="530">
        <v>530</v>
      </c>
      <c r="T1723" s="530">
        <v>375</v>
      </c>
      <c r="U1723" s="530">
        <v>270</v>
      </c>
      <c r="V1723" s="530">
        <v>203</v>
      </c>
      <c r="W1723" s="19">
        <v>152.25</v>
      </c>
      <c r="X1723" s="19">
        <v>114.1875</v>
      </c>
      <c r="Y1723" s="19">
        <v>85.640625</v>
      </c>
      <c r="Z1723" s="19">
        <v>0</v>
      </c>
      <c r="AA1723" s="19">
        <v>0</v>
      </c>
      <c r="AB1723" s="19">
        <v>0</v>
      </c>
      <c r="AC1723" s="19">
        <v>0</v>
      </c>
      <c r="AD1723" s="19">
        <v>0</v>
      </c>
      <c r="AE1723" s="19">
        <v>0</v>
      </c>
      <c r="AF1723" s="19">
        <v>0</v>
      </c>
      <c r="AG1723" s="19">
        <v>0</v>
      </c>
      <c r="AH1723" s="19">
        <v>0</v>
      </c>
      <c r="AI1723" s="19">
        <v>0</v>
      </c>
      <c r="AJ1723" s="19">
        <v>0</v>
      </c>
      <c r="AK1723" s="19">
        <v>0</v>
      </c>
      <c r="AL1723" s="19">
        <v>0</v>
      </c>
      <c r="AM1723" s="19">
        <v>0</v>
      </c>
      <c r="AN1723" s="19">
        <v>0</v>
      </c>
      <c r="AO1723" s="19">
        <v>0</v>
      </c>
      <c r="AP1723" s="19">
        <v>0</v>
      </c>
      <c r="AQ1723" s="19">
        <v>0</v>
      </c>
      <c r="AR1723" s="19">
        <v>0</v>
      </c>
      <c r="AS1723" s="19">
        <v>0</v>
      </c>
      <c r="AT1723" s="2"/>
      <c r="AU1723" s="2"/>
    </row>
    <row r="1724" spans="1:47" hidden="1" outlineLevel="1">
      <c r="A1724" s="298"/>
      <c r="B1724" s="241" t="s">
        <v>1099</v>
      </c>
      <c r="C1724" s="18" t="s">
        <v>733</v>
      </c>
      <c r="D1724" s="18"/>
      <c r="E1724" s="18"/>
      <c r="F1724" s="18"/>
      <c r="G1724" s="18"/>
      <c r="H1724" s="18"/>
      <c r="I1724" s="18"/>
      <c r="J1724" s="18"/>
      <c r="K1724" s="2"/>
      <c r="L1724" s="2"/>
      <c r="M1724" s="2">
        <v>0.22576966932725195</v>
      </c>
      <c r="N1724" s="2">
        <v>7.7209302325581319E-2</v>
      </c>
      <c r="O1724" s="2">
        <v>3.1088082901554515E-2</v>
      </c>
      <c r="P1724" s="2">
        <v>9.2127303182578668E-3</v>
      </c>
      <c r="Q1724" s="2">
        <v>-0.14771784232365148</v>
      </c>
      <c r="R1724" s="2">
        <v>-0.3631937682570594</v>
      </c>
      <c r="S1724" s="2">
        <v>-0.18960244648318048</v>
      </c>
      <c r="T1724" s="2">
        <v>-0.29245283018867929</v>
      </c>
      <c r="U1724" s="2">
        <v>-0.28000000000000003</v>
      </c>
      <c r="V1724" s="2">
        <v>-0.24814814814814812</v>
      </c>
      <c r="W1724" s="587">
        <v>-0.25</v>
      </c>
      <c r="X1724" s="587">
        <v>-0.25</v>
      </c>
      <c r="Y1724" s="587">
        <v>-0.25</v>
      </c>
      <c r="Z1724" s="587">
        <v>-1</v>
      </c>
      <c r="AA1724" s="587">
        <v>0</v>
      </c>
      <c r="AB1724" s="235"/>
      <c r="AC1724" s="235"/>
      <c r="AD1724" s="235"/>
      <c r="AE1724" s="235"/>
      <c r="AF1724" s="235"/>
      <c r="AG1724" s="235"/>
      <c r="AH1724" s="235"/>
      <c r="AI1724" s="235"/>
      <c r="AJ1724" s="235"/>
      <c r="AK1724" s="235"/>
      <c r="AL1724" s="235"/>
      <c r="AM1724" s="235"/>
      <c r="AN1724" s="235"/>
      <c r="AO1724" s="235"/>
      <c r="AP1724" s="235"/>
      <c r="AQ1724" s="235"/>
      <c r="AR1724" s="235"/>
      <c r="AS1724" s="235"/>
      <c r="AT1724" s="2"/>
      <c r="AU1724" s="2"/>
    </row>
    <row r="1725" spans="1:47" hidden="1" outlineLevel="1">
      <c r="A1725" s="298"/>
      <c r="B1725" s="55" t="s">
        <v>378</v>
      </c>
      <c r="C1725" s="18" t="s">
        <v>846</v>
      </c>
      <c r="D1725" s="18"/>
      <c r="E1725" s="18"/>
      <c r="F1725" s="18"/>
      <c r="G1725" s="18"/>
      <c r="H1725" s="18"/>
      <c r="I1725" s="18"/>
      <c r="J1725" s="18"/>
      <c r="K1725" s="2"/>
      <c r="L1725" s="19">
        <v>438.5</v>
      </c>
      <c r="M1725" s="19">
        <v>976</v>
      </c>
      <c r="N1725" s="19">
        <v>1116.5</v>
      </c>
      <c r="O1725" s="19">
        <v>1176</v>
      </c>
      <c r="P1725" s="19">
        <v>1199.5</v>
      </c>
      <c r="Q1725" s="19">
        <v>1116</v>
      </c>
      <c r="R1725" s="19">
        <v>840.5</v>
      </c>
      <c r="S1725" s="19">
        <v>592</v>
      </c>
      <c r="T1725" s="19">
        <v>452.5</v>
      </c>
      <c r="U1725" s="19">
        <v>322.5</v>
      </c>
      <c r="V1725" s="19">
        <v>236.5</v>
      </c>
      <c r="W1725" s="19">
        <v>177.625</v>
      </c>
      <c r="X1725" s="19">
        <v>133.21875</v>
      </c>
      <c r="Y1725" s="19">
        <v>99.9140625</v>
      </c>
      <c r="Z1725" s="19">
        <v>42.8203125</v>
      </c>
      <c r="AA1725" s="19">
        <v>0</v>
      </c>
      <c r="AB1725" s="19">
        <v>0</v>
      </c>
      <c r="AC1725" s="19">
        <v>0</v>
      </c>
      <c r="AD1725" s="19">
        <v>0</v>
      </c>
      <c r="AE1725" s="19">
        <v>0</v>
      </c>
      <c r="AF1725" s="19">
        <v>0</v>
      </c>
      <c r="AG1725" s="19">
        <v>0</v>
      </c>
      <c r="AH1725" s="19">
        <v>0</v>
      </c>
      <c r="AI1725" s="19">
        <v>0</v>
      </c>
      <c r="AJ1725" s="19">
        <v>0</v>
      </c>
      <c r="AK1725" s="19">
        <v>0</v>
      </c>
      <c r="AL1725" s="19">
        <v>0</v>
      </c>
      <c r="AM1725" s="19">
        <v>0</v>
      </c>
      <c r="AN1725" s="19">
        <v>0</v>
      </c>
      <c r="AO1725" s="19">
        <v>0</v>
      </c>
      <c r="AP1725" s="19">
        <v>0</v>
      </c>
      <c r="AQ1725" s="19">
        <v>0</v>
      </c>
      <c r="AR1725" s="19">
        <v>0</v>
      </c>
      <c r="AS1725" s="19">
        <v>0</v>
      </c>
      <c r="AT1725" s="2"/>
      <c r="AU1725" s="2"/>
    </row>
    <row r="1726" spans="1:47" hidden="1" outlineLevel="1">
      <c r="A1726" s="298"/>
      <c r="B1726" s="2"/>
      <c r="C1726" s="18"/>
      <c r="D1726" s="18"/>
      <c r="E1726" s="18"/>
      <c r="F1726" s="18"/>
      <c r="G1726" s="18"/>
      <c r="H1726" s="18"/>
      <c r="I1726" s="18"/>
      <c r="J1726" s="18"/>
      <c r="K1726" s="2"/>
      <c r="L1726" s="2"/>
      <c r="M1726" s="2"/>
      <c r="N1726" s="2"/>
      <c r="O1726" s="2"/>
      <c r="P1726" s="2"/>
      <c r="Q1726" s="2"/>
      <c r="R1726" s="2"/>
      <c r="S1726" s="2"/>
      <c r="T1726" s="2"/>
      <c r="U1726" s="2"/>
      <c r="V1726" s="2"/>
      <c r="W1726" s="2"/>
      <c r="X1726" s="2"/>
      <c r="Y1726" s="2"/>
      <c r="Z1726" s="2"/>
      <c r="AA1726" s="2"/>
      <c r="AB1726" s="2"/>
      <c r="AC1726" s="2"/>
      <c r="AD1726" s="2"/>
      <c r="AE1726" s="2"/>
      <c r="AF1726" s="2"/>
      <c r="AG1726" s="2"/>
      <c r="AH1726" s="2"/>
      <c r="AI1726" s="2"/>
      <c r="AJ1726" s="2"/>
      <c r="AK1726" s="2"/>
      <c r="AL1726" s="2"/>
      <c r="AM1726" s="2"/>
      <c r="AN1726" s="2"/>
      <c r="AO1726" s="2"/>
      <c r="AP1726" s="2"/>
      <c r="AQ1726" s="2"/>
      <c r="AR1726" s="2"/>
      <c r="AS1726" s="2"/>
      <c r="AT1726" s="2"/>
      <c r="AU1726" s="2"/>
    </row>
    <row r="1727" spans="1:47" hidden="1" outlineLevel="1">
      <c r="A1727" s="298"/>
      <c r="B1727" s="6" t="s">
        <v>684</v>
      </c>
      <c r="C1727" s="18"/>
      <c r="D1727" s="18"/>
      <c r="E1727" s="18"/>
      <c r="F1727" s="18"/>
      <c r="G1727" s="18"/>
      <c r="H1727" s="18"/>
      <c r="I1727" s="18"/>
      <c r="J1727" s="18"/>
      <c r="K1727" s="2"/>
      <c r="L1727" s="2"/>
      <c r="M1727" s="2"/>
      <c r="N1727" s="2"/>
      <c r="O1727" s="2"/>
      <c r="P1727" s="2"/>
      <c r="Q1727" s="2"/>
      <c r="R1727" s="2"/>
      <c r="S1727" s="2"/>
      <c r="T1727" s="2"/>
      <c r="U1727" s="2"/>
      <c r="V1727" s="2"/>
      <c r="W1727" s="2"/>
      <c r="X1727" s="2"/>
      <c r="Y1727" s="2"/>
      <c r="Z1727" s="2"/>
      <c r="AA1727" s="2"/>
      <c r="AB1727" s="2"/>
      <c r="AC1727" s="2"/>
      <c r="AD1727" s="2"/>
      <c r="AE1727" s="2"/>
      <c r="AF1727" s="2"/>
      <c r="AG1727" s="2"/>
      <c r="AH1727" s="2"/>
      <c r="AI1727" s="2"/>
      <c r="AJ1727" s="2"/>
      <c r="AK1727" s="2"/>
      <c r="AL1727" s="2"/>
      <c r="AM1727" s="2"/>
      <c r="AN1727" s="2"/>
      <c r="AO1727" s="2"/>
      <c r="AP1727" s="2"/>
      <c r="AQ1727" s="2"/>
      <c r="AR1727" s="2"/>
      <c r="AS1727" s="2"/>
      <c r="AT1727" s="2"/>
      <c r="AU1727" s="2"/>
    </row>
    <row r="1728" spans="1:47" hidden="1" outlineLevel="1">
      <c r="A1728" s="298"/>
      <c r="B1728" s="55" t="s">
        <v>442</v>
      </c>
      <c r="C1728" s="18" t="s">
        <v>306</v>
      </c>
      <c r="D1728" s="18"/>
      <c r="E1728" s="18"/>
      <c r="F1728" s="18"/>
      <c r="G1728" s="18"/>
      <c r="H1728" s="18"/>
      <c r="I1728" s="18"/>
      <c r="J1728" s="18"/>
      <c r="K1728" s="2"/>
      <c r="L1728" s="3">
        <v>29.266438616495627</v>
      </c>
      <c r="M1728" s="3">
        <v>27.829457364341089</v>
      </c>
      <c r="N1728" s="3">
        <v>22.242125690401554</v>
      </c>
      <c r="O1728" s="3">
        <v>20.904195011337865</v>
      </c>
      <c r="P1728" s="3">
        <v>19.105182715020149</v>
      </c>
      <c r="Q1728" s="3">
        <v>16.427718040621269</v>
      </c>
      <c r="R1728" s="3">
        <v>14.277215942891136</v>
      </c>
      <c r="S1728" s="3">
        <v>13.091216216216216</v>
      </c>
      <c r="T1728" s="3">
        <v>10.865561694290976</v>
      </c>
      <c r="U1728" s="3">
        <v>8.7855297157622747</v>
      </c>
      <c r="V1728" s="3">
        <v>7.3995771670190278</v>
      </c>
      <c r="W1728" s="3">
        <v>6.6596194503171251</v>
      </c>
      <c r="X1728" s="3">
        <v>5.9936575052854124</v>
      </c>
      <c r="Y1728" s="3">
        <v>5.9936575052854124</v>
      </c>
      <c r="Z1728" s="3">
        <v>5.9936575052854124</v>
      </c>
      <c r="AA1728" s="3">
        <v>5.9936575052854124</v>
      </c>
      <c r="AB1728" s="3">
        <v>5.9936575052854124</v>
      </c>
      <c r="AC1728" s="3">
        <v>5.9936575052854124</v>
      </c>
      <c r="AD1728" s="3">
        <v>5.9936575052854124</v>
      </c>
      <c r="AE1728" s="3">
        <v>5.9936575052854124</v>
      </c>
      <c r="AF1728" s="3">
        <v>5.9936575052854124</v>
      </c>
      <c r="AG1728" s="3">
        <v>5.9936575052854124</v>
      </c>
      <c r="AH1728" s="3">
        <v>5.9936575052854124</v>
      </c>
      <c r="AI1728" s="3">
        <v>5.9936575052854124</v>
      </c>
      <c r="AJ1728" s="3">
        <v>5.9936575052854124</v>
      </c>
      <c r="AK1728" s="3">
        <v>5.9936575052854124</v>
      </c>
      <c r="AL1728" s="3">
        <v>5.9936575052854124</v>
      </c>
      <c r="AM1728" s="3">
        <v>5.9936575052854124</v>
      </c>
      <c r="AN1728" s="3">
        <v>5.9936575052854124</v>
      </c>
      <c r="AO1728" s="3">
        <v>5.9936575052854124</v>
      </c>
      <c r="AP1728" s="3">
        <v>5.9936575052854124</v>
      </c>
      <c r="AQ1728" s="3">
        <v>5.9936575052854124</v>
      </c>
      <c r="AR1728" s="3">
        <v>5.9936575052854124</v>
      </c>
      <c r="AS1728" s="3">
        <v>5.9936575052854124</v>
      </c>
      <c r="AT1728" s="2"/>
      <c r="AU1728" s="2"/>
    </row>
    <row r="1729" spans="1:47" hidden="1" outlineLevel="1">
      <c r="A1729" s="298"/>
      <c r="B1729" s="241" t="s">
        <v>1099</v>
      </c>
      <c r="C1729" s="18" t="s">
        <v>733</v>
      </c>
      <c r="D1729" s="18"/>
      <c r="E1729" s="18"/>
      <c r="F1729" s="18"/>
      <c r="G1729" s="18"/>
      <c r="H1729" s="18"/>
      <c r="I1729" s="18"/>
      <c r="J1729" s="18"/>
      <c r="K1729" s="2"/>
      <c r="L1729" s="2"/>
      <c r="M1729" s="2">
        <v>-4.9099969797644083E-2</v>
      </c>
      <c r="N1729" s="2">
        <v>-0.2007704139103621</v>
      </c>
      <c r="O1729" s="2">
        <v>-6.0153004154682277E-2</v>
      </c>
      <c r="P1729" s="2">
        <v>-8.6059869578425818E-2</v>
      </c>
      <c r="Q1729" s="2">
        <v>-0.1401433691756272</v>
      </c>
      <c r="R1729" s="2">
        <v>-0.13090692769455425</v>
      </c>
      <c r="S1729" s="2">
        <v>-8.3069397522522515E-2</v>
      </c>
      <c r="T1729" s="2">
        <v>-0.1700112873522247</v>
      </c>
      <c r="U1729" s="2">
        <v>-0.19143345158323477</v>
      </c>
      <c r="V1729" s="2">
        <v>-0.15775401069518724</v>
      </c>
      <c r="W1729" s="587">
        <v>-0.1</v>
      </c>
      <c r="X1729" s="587">
        <v>-0.1</v>
      </c>
      <c r="Y1729" s="587">
        <v>0</v>
      </c>
      <c r="Z1729" s="587">
        <v>0</v>
      </c>
      <c r="AA1729" s="587">
        <v>0</v>
      </c>
      <c r="AB1729" s="587">
        <v>0</v>
      </c>
      <c r="AC1729" s="587">
        <v>0</v>
      </c>
      <c r="AD1729" s="587">
        <v>0</v>
      </c>
      <c r="AE1729" s="235">
        <v>0</v>
      </c>
      <c r="AF1729" s="235">
        <v>0</v>
      </c>
      <c r="AG1729" s="235">
        <v>0</v>
      </c>
      <c r="AH1729" s="235">
        <v>0</v>
      </c>
      <c r="AI1729" s="235">
        <v>0</v>
      </c>
      <c r="AJ1729" s="235">
        <v>0</v>
      </c>
      <c r="AK1729" s="235">
        <v>0</v>
      </c>
      <c r="AL1729" s="235">
        <v>0</v>
      </c>
      <c r="AM1729" s="235">
        <v>0</v>
      </c>
      <c r="AN1729" s="235">
        <v>0</v>
      </c>
      <c r="AO1729" s="235">
        <v>0</v>
      </c>
      <c r="AP1729" s="235">
        <v>0</v>
      </c>
      <c r="AQ1729" s="235">
        <v>0</v>
      </c>
      <c r="AR1729" s="235">
        <v>0</v>
      </c>
      <c r="AS1729" s="235">
        <v>0</v>
      </c>
      <c r="AT1729" s="2"/>
      <c r="AU1729" s="2"/>
    </row>
    <row r="1730" spans="1:47" hidden="1" outlineLevel="1">
      <c r="A1730" s="298"/>
      <c r="B1730" s="2"/>
      <c r="C1730" s="18"/>
      <c r="D1730" s="18"/>
      <c r="E1730" s="18"/>
      <c r="F1730" s="18"/>
      <c r="G1730" s="18"/>
      <c r="H1730" s="18"/>
      <c r="I1730" s="18"/>
      <c r="J1730" s="18"/>
      <c r="K1730" s="2"/>
      <c r="L1730" s="2"/>
      <c r="M1730" s="2"/>
      <c r="N1730" s="2"/>
      <c r="O1730" s="2"/>
      <c r="P1730" s="2"/>
      <c r="Q1730" s="2"/>
      <c r="R1730" s="2"/>
      <c r="S1730" s="2"/>
      <c r="T1730" s="2"/>
      <c r="U1730" s="2"/>
      <c r="V1730" s="2"/>
      <c r="W1730" s="2"/>
      <c r="X1730" s="2"/>
      <c r="Y1730" s="2"/>
      <c r="Z1730" s="2"/>
      <c r="AA1730" s="2"/>
      <c r="AB1730" s="2"/>
      <c r="AC1730" s="2"/>
      <c r="AD1730" s="2"/>
      <c r="AE1730" s="2"/>
      <c r="AF1730" s="2"/>
      <c r="AG1730" s="2"/>
      <c r="AH1730" s="2"/>
      <c r="AI1730" s="2"/>
      <c r="AJ1730" s="2"/>
      <c r="AK1730" s="2"/>
      <c r="AL1730" s="2"/>
      <c r="AM1730" s="2"/>
      <c r="AN1730" s="2"/>
      <c r="AO1730" s="2"/>
      <c r="AP1730" s="2"/>
      <c r="AQ1730" s="2"/>
      <c r="AR1730" s="2"/>
      <c r="AS1730" s="2"/>
      <c r="AT1730" s="2"/>
      <c r="AU1730" s="2"/>
    </row>
    <row r="1731" spans="1:47" hidden="1" outlineLevel="1">
      <c r="A1731" s="298"/>
      <c r="B1731" s="173" t="s">
        <v>443</v>
      </c>
      <c r="C1731" s="169" t="s">
        <v>732</v>
      </c>
      <c r="D1731" s="169"/>
      <c r="E1731" s="169"/>
      <c r="F1731" s="169"/>
      <c r="G1731" s="169"/>
      <c r="H1731" s="169"/>
      <c r="I1731" s="169"/>
      <c r="J1731" s="169"/>
      <c r="K1731" s="591">
        <v>0</v>
      </c>
      <c r="L1731" s="591">
        <v>308</v>
      </c>
      <c r="M1731" s="591">
        <v>359</v>
      </c>
      <c r="N1731" s="591">
        <v>298</v>
      </c>
      <c r="O1731" s="591">
        <v>295</v>
      </c>
      <c r="P1731" s="591">
        <v>275</v>
      </c>
      <c r="Q1731" s="591">
        <v>220</v>
      </c>
      <c r="R1731" s="591">
        <v>144</v>
      </c>
      <c r="S1731" s="591">
        <v>93</v>
      </c>
      <c r="T1731" s="591">
        <v>59</v>
      </c>
      <c r="U1731" s="591">
        <v>34</v>
      </c>
      <c r="V1731" s="591">
        <v>21</v>
      </c>
      <c r="W1731" s="215">
        <v>14.19497885835095</v>
      </c>
      <c r="X1731" s="215">
        <v>9.5816107293868917</v>
      </c>
      <c r="Y1731" s="215">
        <v>7.1862080470401688</v>
      </c>
      <c r="Z1731" s="215">
        <v>3.0798034487315009</v>
      </c>
      <c r="AA1731" s="215">
        <v>0</v>
      </c>
      <c r="AB1731" s="215">
        <v>0</v>
      </c>
      <c r="AC1731" s="215">
        <v>0</v>
      </c>
      <c r="AD1731" s="215">
        <v>0</v>
      </c>
      <c r="AE1731" s="215">
        <v>0</v>
      </c>
      <c r="AF1731" s="215">
        <v>0</v>
      </c>
      <c r="AG1731" s="215">
        <v>0</v>
      </c>
      <c r="AH1731" s="215">
        <v>0</v>
      </c>
      <c r="AI1731" s="215">
        <v>0</v>
      </c>
      <c r="AJ1731" s="215">
        <v>0</v>
      </c>
      <c r="AK1731" s="215">
        <v>0</v>
      </c>
      <c r="AL1731" s="215">
        <v>0</v>
      </c>
      <c r="AM1731" s="215">
        <v>0</v>
      </c>
      <c r="AN1731" s="215">
        <v>0</v>
      </c>
      <c r="AO1731" s="215">
        <v>0</v>
      </c>
      <c r="AP1731" s="215">
        <v>0</v>
      </c>
      <c r="AQ1731" s="215">
        <v>0</v>
      </c>
      <c r="AR1731" s="215">
        <v>0</v>
      </c>
      <c r="AS1731" s="215">
        <v>0</v>
      </c>
      <c r="AT1731" s="2"/>
      <c r="AU1731" s="2"/>
    </row>
    <row r="1732" spans="1:47" hidden="1" outlineLevel="1">
      <c r="A1732" s="298"/>
      <c r="B1732" s="241" t="s">
        <v>1099</v>
      </c>
      <c r="C1732" s="18" t="s">
        <v>733</v>
      </c>
      <c r="D1732" s="18"/>
      <c r="E1732" s="18"/>
      <c r="F1732" s="18"/>
      <c r="G1732" s="18"/>
      <c r="H1732" s="18"/>
      <c r="I1732" s="18"/>
      <c r="J1732" s="18"/>
      <c r="K1732" s="2"/>
      <c r="L1732" s="2"/>
      <c r="M1732" s="2">
        <v>0.1655844155844155</v>
      </c>
      <c r="N1732" s="2">
        <v>-0.16991643454038996</v>
      </c>
      <c r="O1732" s="2">
        <v>-1.0067114093959773E-2</v>
      </c>
      <c r="P1732" s="2">
        <v>-6.7796610169491567E-2</v>
      </c>
      <c r="Q1732" s="2">
        <v>-0.19999999999999996</v>
      </c>
      <c r="R1732" s="2">
        <v>-0.34545454545454546</v>
      </c>
      <c r="S1732" s="2">
        <v>-0.35416666666666663</v>
      </c>
      <c r="T1732" s="2">
        <v>-0.36559139784946237</v>
      </c>
      <c r="U1732" s="2">
        <v>-0.42372881355932202</v>
      </c>
      <c r="V1732" s="2">
        <v>-0.38235294117647056</v>
      </c>
      <c r="W1732" s="2">
        <v>-0.32404862579281191</v>
      </c>
      <c r="X1732" s="2">
        <v>-0.32499999999999996</v>
      </c>
      <c r="Y1732" s="2">
        <v>-0.25</v>
      </c>
      <c r="Z1732" s="2">
        <v>-0.5714285714285714</v>
      </c>
      <c r="AA1732" s="2">
        <v>-1</v>
      </c>
      <c r="AB1732" s="2"/>
      <c r="AC1732" s="2"/>
      <c r="AD1732" s="2"/>
      <c r="AE1732" s="2"/>
      <c r="AF1732" s="2"/>
      <c r="AG1732" s="2"/>
      <c r="AH1732" s="2"/>
      <c r="AI1732" s="2"/>
      <c r="AJ1732" s="2"/>
      <c r="AK1732" s="2"/>
      <c r="AL1732" s="2"/>
      <c r="AM1732" s="2"/>
      <c r="AN1732" s="2"/>
      <c r="AO1732" s="2"/>
      <c r="AP1732" s="2"/>
      <c r="AQ1732" s="2"/>
      <c r="AR1732" s="2"/>
      <c r="AS1732" s="2"/>
      <c r="AT1732" s="2"/>
      <c r="AU1732" s="2"/>
    </row>
    <row r="1733" spans="1:47" hidden="1" outlineLevel="1">
      <c r="A1733" s="298"/>
      <c r="B1733" s="6"/>
      <c r="C1733" s="18"/>
      <c r="D1733" s="18"/>
      <c r="E1733" s="18"/>
      <c r="F1733" s="18"/>
      <c r="G1733" s="18"/>
      <c r="H1733" s="18"/>
      <c r="I1733" s="18"/>
      <c r="J1733" s="18"/>
      <c r="K1733" s="7"/>
      <c r="L1733" s="7"/>
      <c r="M1733" s="7"/>
      <c r="N1733" s="7"/>
      <c r="O1733" s="7"/>
      <c r="P1733" s="7"/>
      <c r="Q1733" s="7"/>
      <c r="R1733" s="7"/>
      <c r="S1733" s="7"/>
      <c r="T1733" s="7"/>
      <c r="U1733" s="7"/>
      <c r="V1733" s="7"/>
      <c r="W1733" s="7"/>
      <c r="X1733" s="7"/>
      <c r="Y1733" s="7"/>
      <c r="Z1733" s="7"/>
      <c r="AA1733" s="7"/>
      <c r="AB1733" s="7"/>
      <c r="AC1733" s="7"/>
      <c r="AD1733" s="7"/>
      <c r="AE1733" s="7"/>
      <c r="AF1733" s="7"/>
      <c r="AG1733" s="7"/>
      <c r="AH1733" s="7"/>
      <c r="AI1733" s="7"/>
      <c r="AJ1733" s="7"/>
      <c r="AK1733" s="7"/>
      <c r="AL1733" s="7"/>
      <c r="AM1733" s="7"/>
      <c r="AN1733" s="7"/>
      <c r="AO1733" s="7"/>
      <c r="AP1733" s="7"/>
      <c r="AQ1733" s="7"/>
      <c r="AR1733" s="7"/>
      <c r="AS1733" s="7"/>
      <c r="AT1733" s="2"/>
      <c r="AU1733" s="2"/>
    </row>
    <row r="1734" spans="1:47" hidden="1" outlineLevel="1">
      <c r="A1734" s="298"/>
      <c r="B1734" s="215" t="s">
        <v>243</v>
      </c>
      <c r="C1734" s="169" t="s">
        <v>732</v>
      </c>
      <c r="D1734" s="169"/>
      <c r="E1734" s="169"/>
      <c r="F1734" s="169"/>
      <c r="G1734" s="169"/>
      <c r="H1734" s="169"/>
      <c r="I1734" s="169"/>
      <c r="J1734" s="169"/>
      <c r="K1734" s="27"/>
      <c r="L1734" s="27"/>
      <c r="M1734" s="27"/>
      <c r="N1734" s="555">
        <v>370</v>
      </c>
      <c r="O1734" s="555">
        <v>346</v>
      </c>
      <c r="P1734" s="555">
        <v>247</v>
      </c>
      <c r="Q1734" s="555">
        <v>210</v>
      </c>
      <c r="R1734" s="555">
        <v>196</v>
      </c>
      <c r="S1734" s="555">
        <v>129</v>
      </c>
      <c r="T1734" s="555">
        <v>86</v>
      </c>
      <c r="U1734" s="555">
        <v>53</v>
      </c>
      <c r="V1734" s="555">
        <v>35</v>
      </c>
      <c r="W1734" s="554">
        <v>24</v>
      </c>
      <c r="X1734" s="554">
        <v>0</v>
      </c>
      <c r="Y1734" s="214">
        <v>0</v>
      </c>
      <c r="Z1734" s="554">
        <v>199</v>
      </c>
      <c r="AA1734" s="214">
        <v>465.5</v>
      </c>
      <c r="AB1734" s="214">
        <v>418.95</v>
      </c>
      <c r="AC1734" s="214">
        <v>377.05500000000001</v>
      </c>
      <c r="AD1734" s="214">
        <v>339.34950000000003</v>
      </c>
      <c r="AE1734" s="214">
        <v>305.41455000000002</v>
      </c>
      <c r="AF1734" s="214">
        <v>274.87309500000003</v>
      </c>
      <c r="AG1734" s="214">
        <v>247.38578550000003</v>
      </c>
      <c r="AH1734" s="214">
        <v>222.64720695000003</v>
      </c>
      <c r="AI1734" s="214">
        <v>200.38248625500003</v>
      </c>
      <c r="AJ1734" s="214">
        <v>180.34423762950004</v>
      </c>
      <c r="AK1734" s="214">
        <v>162.30981386655003</v>
      </c>
      <c r="AL1734" s="214">
        <v>146.07883247989503</v>
      </c>
      <c r="AM1734" s="214">
        <v>131.47094923190554</v>
      </c>
      <c r="AN1734" s="214">
        <v>118.32385430871498</v>
      </c>
      <c r="AO1734" s="214">
        <v>106.49146887784349</v>
      </c>
      <c r="AP1734" s="214">
        <v>95.842321990059148</v>
      </c>
      <c r="AQ1734" s="214">
        <v>95.842321990059148</v>
      </c>
      <c r="AR1734" s="214">
        <v>95.842321990059148</v>
      </c>
      <c r="AS1734" s="214">
        <v>95.842321990059148</v>
      </c>
      <c r="AT1734" s="2"/>
      <c r="AU1734" s="2"/>
    </row>
    <row r="1735" spans="1:47" hidden="1" outlineLevel="1">
      <c r="A1735" s="298"/>
      <c r="B1735" s="241" t="s">
        <v>1099</v>
      </c>
      <c r="C1735" s="18" t="s">
        <v>733</v>
      </c>
      <c r="D1735" s="18"/>
      <c r="E1735" s="18"/>
      <c r="F1735" s="18"/>
      <c r="G1735" s="18"/>
      <c r="H1735" s="18"/>
      <c r="I1735" s="18"/>
      <c r="J1735" s="18"/>
      <c r="K1735" s="7"/>
      <c r="L1735" s="7"/>
      <c r="M1735" s="7"/>
      <c r="N1735" s="7"/>
      <c r="O1735" s="7">
        <v>-6.4864864864864868E-2</v>
      </c>
      <c r="P1735" s="7">
        <v>-0.28612716763005785</v>
      </c>
      <c r="Q1735" s="7">
        <v>-0.1497975708502024</v>
      </c>
      <c r="R1735" s="7">
        <v>-6.6666666666666652E-2</v>
      </c>
      <c r="S1735" s="7">
        <v>-0.34183673469387754</v>
      </c>
      <c r="T1735" s="7">
        <v>-0.33333333333333337</v>
      </c>
      <c r="U1735" s="7">
        <v>-0.38372093023255816</v>
      </c>
      <c r="V1735" s="7">
        <v>-0.339622641509434</v>
      </c>
      <c r="W1735" s="7">
        <v>-0.31428571428571428</v>
      </c>
      <c r="X1735" s="559">
        <v>-0.25</v>
      </c>
      <c r="Y1735" s="557">
        <v>-0.2</v>
      </c>
      <c r="Z1735" s="557">
        <v>-0.15</v>
      </c>
      <c r="AA1735" s="230"/>
      <c r="AB1735" s="557">
        <v>-0.1</v>
      </c>
      <c r="AC1735" s="230">
        <v>-0.1</v>
      </c>
      <c r="AD1735" s="230">
        <v>-0.1</v>
      </c>
      <c r="AE1735" s="230">
        <v>-0.1</v>
      </c>
      <c r="AF1735" s="230">
        <v>-0.1</v>
      </c>
      <c r="AG1735" s="230">
        <v>-0.1</v>
      </c>
      <c r="AH1735" s="230">
        <v>-0.1</v>
      </c>
      <c r="AI1735" s="230">
        <v>-0.1</v>
      </c>
      <c r="AJ1735" s="230">
        <v>-0.1</v>
      </c>
      <c r="AK1735" s="230">
        <v>-0.1</v>
      </c>
      <c r="AL1735" s="230">
        <v>-0.1</v>
      </c>
      <c r="AM1735" s="230">
        <v>-0.1</v>
      </c>
      <c r="AN1735" s="230">
        <v>-0.1</v>
      </c>
      <c r="AO1735" s="231">
        <v>-0.1</v>
      </c>
      <c r="AP1735" s="231">
        <v>-0.1</v>
      </c>
      <c r="AQ1735" s="231">
        <v>-0.1</v>
      </c>
      <c r="AR1735" s="231">
        <v>-0.1</v>
      </c>
      <c r="AS1735" s="231">
        <v>-0.1</v>
      </c>
      <c r="AT1735" s="2"/>
      <c r="AU1735" s="2"/>
    </row>
    <row r="1736" spans="1:47" hidden="1" outlineLevel="1">
      <c r="A1736" s="298"/>
      <c r="B1736" s="2"/>
      <c r="C1736" s="18"/>
      <c r="D1736" s="18"/>
      <c r="E1736" s="18"/>
      <c r="F1736" s="18"/>
      <c r="G1736" s="18"/>
      <c r="H1736" s="18"/>
      <c r="I1736" s="18"/>
      <c r="J1736" s="18"/>
      <c r="K1736" s="7"/>
      <c r="L1736" s="7"/>
      <c r="M1736" s="7"/>
      <c r="N1736" s="7"/>
      <c r="O1736" s="7"/>
      <c r="P1736" s="7"/>
      <c r="Q1736" s="7"/>
      <c r="R1736" s="7"/>
      <c r="S1736" s="7"/>
      <c r="T1736" s="7"/>
      <c r="U1736" s="7"/>
      <c r="V1736" s="7"/>
      <c r="W1736" s="7"/>
      <c r="X1736" s="7"/>
      <c r="Y1736" s="7"/>
      <c r="Z1736" s="7"/>
      <c r="AA1736" s="7"/>
      <c r="AB1736" s="7"/>
      <c r="AC1736" s="7"/>
      <c r="AD1736" s="7"/>
      <c r="AE1736" s="7"/>
      <c r="AF1736" s="7"/>
      <c r="AG1736" s="7"/>
      <c r="AH1736" s="7"/>
      <c r="AI1736" s="7"/>
      <c r="AJ1736" s="7"/>
      <c r="AK1736" s="7"/>
      <c r="AL1736" s="7"/>
      <c r="AM1736" s="7"/>
      <c r="AN1736" s="7"/>
      <c r="AO1736" s="7"/>
      <c r="AP1736" s="7"/>
      <c r="AQ1736" s="7"/>
      <c r="AR1736" s="7"/>
      <c r="AS1736" s="7"/>
      <c r="AT1736" s="2"/>
      <c r="AU1736" s="2"/>
    </row>
    <row r="1737" spans="1:47" ht="18" hidden="1" outlineLevel="1">
      <c r="A1737" s="299" t="s">
        <v>1163</v>
      </c>
      <c r="B1737" s="740" t="s">
        <v>1101</v>
      </c>
      <c r="C1737" s="741"/>
      <c r="D1737" s="742"/>
      <c r="E1737" s="742"/>
      <c r="F1737" s="742"/>
      <c r="G1737" s="742"/>
      <c r="H1737" s="742"/>
      <c r="I1737" s="742"/>
      <c r="J1737" s="742"/>
      <c r="K1737" s="742"/>
      <c r="L1737" s="742"/>
      <c r="M1737" s="742"/>
      <c r="N1737" s="742"/>
      <c r="O1737" s="742"/>
      <c r="P1737" s="742"/>
      <c r="Q1737" s="742"/>
      <c r="R1737" s="742"/>
      <c r="S1737" s="742"/>
      <c r="T1737" s="742"/>
      <c r="U1737" s="742"/>
      <c r="V1737" s="742"/>
      <c r="W1737" s="742"/>
      <c r="X1737" s="742"/>
      <c r="Y1737" s="742"/>
      <c r="Z1737" s="742"/>
      <c r="AA1737" s="742"/>
      <c r="AB1737" s="742"/>
      <c r="AC1737" s="742"/>
      <c r="AD1737" s="742"/>
      <c r="AE1737" s="742"/>
      <c r="AF1737" s="742"/>
      <c r="AG1737" s="742"/>
      <c r="AH1737" s="742"/>
      <c r="AI1737" s="742"/>
      <c r="AJ1737" s="742"/>
      <c r="AK1737" s="742"/>
      <c r="AL1737" s="742"/>
      <c r="AM1737" s="742"/>
      <c r="AN1737" s="742"/>
      <c r="AO1737" s="742"/>
      <c r="AP1737" s="742"/>
      <c r="AQ1737" s="742"/>
      <c r="AR1737" s="742"/>
      <c r="AS1737" s="742"/>
      <c r="AT1737" s="2"/>
      <c r="AU1737" s="2"/>
    </row>
    <row r="1738" spans="1:47" hidden="1" outlineLevel="1">
      <c r="A1738" s="298"/>
      <c r="B1738" s="55"/>
      <c r="C1738" s="18"/>
      <c r="D1738" s="18"/>
      <c r="E1738" s="18"/>
      <c r="F1738" s="18"/>
      <c r="G1738" s="18"/>
      <c r="H1738" s="18"/>
      <c r="I1738" s="18"/>
      <c r="J1738" s="18"/>
      <c r="K1738" s="7"/>
      <c r="L1738" s="7"/>
      <c r="M1738" s="7"/>
      <c r="N1738" s="7"/>
      <c r="O1738" s="7"/>
      <c r="P1738" s="7"/>
      <c r="Q1738" s="7"/>
      <c r="R1738" s="7"/>
      <c r="S1738" s="7"/>
      <c r="T1738" s="7"/>
      <c r="U1738" s="7"/>
      <c r="V1738" s="7"/>
      <c r="W1738" s="7"/>
      <c r="X1738" s="7"/>
      <c r="Y1738" s="7"/>
      <c r="Z1738" s="7"/>
      <c r="AA1738" s="7"/>
      <c r="AB1738" s="111"/>
      <c r="AC1738" s="111"/>
      <c r="AD1738" s="111"/>
      <c r="AE1738" s="111"/>
      <c r="AF1738" s="111"/>
      <c r="AG1738" s="111"/>
      <c r="AH1738" s="7"/>
      <c r="AI1738" s="7"/>
      <c r="AJ1738" s="7"/>
      <c r="AK1738" s="7"/>
      <c r="AL1738" s="7"/>
      <c r="AM1738" s="7"/>
      <c r="AN1738" s="7"/>
      <c r="AO1738" s="7"/>
      <c r="AP1738" s="7"/>
      <c r="AQ1738" s="7"/>
      <c r="AR1738" s="7"/>
      <c r="AS1738" s="7"/>
      <c r="AT1738" s="2"/>
      <c r="AU1738" s="2"/>
    </row>
    <row r="1739" spans="1:47" hidden="1" outlineLevel="1">
      <c r="A1739" s="298"/>
      <c r="B1739" s="55" t="s">
        <v>73</v>
      </c>
      <c r="C1739" s="18" t="s">
        <v>281</v>
      </c>
      <c r="D1739" s="18"/>
      <c r="E1739" s="18"/>
      <c r="F1739" s="18"/>
      <c r="G1739" s="18"/>
      <c r="H1739" s="18"/>
      <c r="I1739" s="18"/>
      <c r="J1739" s="18"/>
      <c r="K1739" s="7"/>
      <c r="L1739" s="19">
        <v>492</v>
      </c>
      <c r="M1739" s="19">
        <v>1080</v>
      </c>
      <c r="N1739" s="19">
        <v>908</v>
      </c>
      <c r="O1739" s="19">
        <v>726</v>
      </c>
      <c r="P1739" s="19">
        <v>734</v>
      </c>
      <c r="Q1739" s="19">
        <v>830</v>
      </c>
      <c r="R1739" s="19">
        <v>1000</v>
      </c>
      <c r="S1739" s="19">
        <v>917</v>
      </c>
      <c r="T1739" s="19">
        <v>989</v>
      </c>
      <c r="U1739" s="19">
        <v>770</v>
      </c>
      <c r="V1739" s="19">
        <v>814</v>
      </c>
      <c r="W1739" s="19">
        <v>860</v>
      </c>
      <c r="X1739" s="19">
        <v>1011</v>
      </c>
      <c r="Y1739" s="19">
        <v>1045</v>
      </c>
      <c r="Z1739" s="19"/>
      <c r="AA1739" s="19"/>
      <c r="AB1739" s="19"/>
      <c r="AC1739" s="19"/>
      <c r="AD1739" s="19"/>
      <c r="AE1739" s="19"/>
      <c r="AF1739" s="19"/>
      <c r="AG1739" s="19"/>
      <c r="AH1739" s="19"/>
      <c r="AI1739" s="19"/>
      <c r="AJ1739" s="19"/>
      <c r="AK1739" s="19"/>
      <c r="AL1739" s="19"/>
      <c r="AM1739" s="19"/>
      <c r="AN1739" s="19"/>
      <c r="AO1739" s="19"/>
      <c r="AP1739" s="19"/>
      <c r="AQ1739" s="19"/>
      <c r="AR1739" s="19"/>
      <c r="AS1739" s="19"/>
      <c r="AT1739" s="2"/>
      <c r="AU1739" s="2"/>
    </row>
    <row r="1740" spans="1:47" hidden="1" outlineLevel="1">
      <c r="A1740" s="298"/>
      <c r="B1740" s="241" t="s">
        <v>1099</v>
      </c>
      <c r="C1740" s="18" t="s">
        <v>733</v>
      </c>
      <c r="D1740" s="18"/>
      <c r="E1740" s="18"/>
      <c r="F1740" s="18"/>
      <c r="G1740" s="18"/>
      <c r="H1740" s="18"/>
      <c r="I1740" s="18"/>
      <c r="J1740" s="18"/>
      <c r="K1740" s="7"/>
      <c r="L1740" s="7"/>
      <c r="M1740" s="7">
        <v>1.1951219512195124</v>
      </c>
      <c r="N1740" s="7">
        <v>-0.15925925925925921</v>
      </c>
      <c r="O1740" s="7">
        <v>-0.20044052863436124</v>
      </c>
      <c r="P1740" s="7">
        <v>1.1019283746556363E-2</v>
      </c>
      <c r="Q1740" s="7">
        <v>0.13079019073569476</v>
      </c>
      <c r="R1740" s="7">
        <v>0.20481927710843384</v>
      </c>
      <c r="S1740" s="7">
        <v>-8.2999999999999963E-2</v>
      </c>
      <c r="T1740" s="7">
        <v>7.8516902944383959E-2</v>
      </c>
      <c r="U1740" s="7">
        <v>-0.2214357937310415</v>
      </c>
      <c r="V1740" s="7">
        <v>5.7142857142857162E-2</v>
      </c>
      <c r="W1740" s="7">
        <v>5.6511056511056479E-2</v>
      </c>
      <c r="X1740" s="7">
        <v>0.17558139534883721</v>
      </c>
      <c r="Y1740" s="7">
        <v>3.3630069238377747E-2</v>
      </c>
      <c r="Z1740" s="7"/>
      <c r="AA1740" s="7"/>
      <c r="AB1740" s="7"/>
      <c r="AC1740" s="7"/>
      <c r="AD1740" s="7"/>
      <c r="AE1740" s="7"/>
      <c r="AF1740" s="7"/>
      <c r="AG1740" s="7"/>
      <c r="AH1740" s="7"/>
      <c r="AI1740" s="7"/>
      <c r="AJ1740" s="7"/>
      <c r="AK1740" s="7"/>
      <c r="AL1740" s="7"/>
      <c r="AM1740" s="7"/>
      <c r="AN1740" s="7"/>
      <c r="AO1740" s="7"/>
      <c r="AP1740" s="7"/>
      <c r="AQ1740" s="7"/>
      <c r="AR1740" s="7"/>
      <c r="AS1740" s="7"/>
      <c r="AT1740" s="2"/>
      <c r="AU1740" s="2"/>
    </row>
    <row r="1741" spans="1:47" hidden="1" outlineLevel="1">
      <c r="A1741" s="298"/>
      <c r="B1741" s="55" t="s">
        <v>766</v>
      </c>
      <c r="C1741" s="18" t="s">
        <v>281</v>
      </c>
      <c r="D1741" s="18"/>
      <c r="E1741" s="18"/>
      <c r="F1741" s="18"/>
      <c r="G1741" s="18"/>
      <c r="H1741" s="18"/>
      <c r="I1741" s="18"/>
      <c r="J1741" s="18"/>
      <c r="K1741" s="7"/>
      <c r="L1741" s="2">
        <v>0</v>
      </c>
      <c r="M1741" s="2">
        <v>0</v>
      </c>
      <c r="N1741" s="2">
        <v>64</v>
      </c>
      <c r="O1741" s="2">
        <v>150</v>
      </c>
      <c r="P1741" s="2">
        <v>252</v>
      </c>
      <c r="Q1741" s="2">
        <v>295</v>
      </c>
      <c r="R1741" s="2">
        <v>348</v>
      </c>
      <c r="S1741" s="2">
        <v>346</v>
      </c>
      <c r="T1741" s="2">
        <v>390</v>
      </c>
      <c r="U1741" s="2">
        <v>293</v>
      </c>
      <c r="V1741" s="19">
        <v>299</v>
      </c>
      <c r="W1741" s="19">
        <v>304.98</v>
      </c>
      <c r="X1741" s="19">
        <v>335.47800000000007</v>
      </c>
      <c r="Y1741" s="19">
        <v>397</v>
      </c>
      <c r="Z1741" s="19">
        <v>456.54999999999995</v>
      </c>
      <c r="AA1741" s="19">
        <v>502.20499999999998</v>
      </c>
      <c r="AB1741" s="19">
        <v>527.31524999999999</v>
      </c>
      <c r="AC1741" s="19">
        <v>543.13470749999999</v>
      </c>
      <c r="AD1741" s="19">
        <v>559.42874872499999</v>
      </c>
      <c r="AE1741" s="19">
        <v>576.21161118675002</v>
      </c>
      <c r="AF1741" s="19">
        <v>593.49795952235252</v>
      </c>
      <c r="AG1741" s="19">
        <v>611.30289830802315</v>
      </c>
      <c r="AH1741" s="19">
        <v>629.64198525726385</v>
      </c>
      <c r="AI1741" s="19">
        <v>648.53124481498173</v>
      </c>
      <c r="AJ1741" s="19">
        <v>667.9871821594312</v>
      </c>
      <c r="AK1741" s="19">
        <v>688.02679762421417</v>
      </c>
      <c r="AL1741" s="19">
        <v>708.6676015529406</v>
      </c>
      <c r="AM1741" s="19">
        <v>729.92762959952881</v>
      </c>
      <c r="AN1741" s="19">
        <v>751.82545848751465</v>
      </c>
      <c r="AO1741" s="19">
        <v>774.38022224214012</v>
      </c>
      <c r="AP1741" s="19">
        <v>797.61162890940432</v>
      </c>
      <c r="AQ1741" s="19">
        <v>797.61162890940432</v>
      </c>
      <c r="AR1741" s="19">
        <v>797.61162890940432</v>
      </c>
      <c r="AS1741" s="19">
        <v>797.61162890940432</v>
      </c>
      <c r="AT1741" s="2"/>
      <c r="AU1741" s="2"/>
    </row>
    <row r="1742" spans="1:47" hidden="1" outlineLevel="1">
      <c r="A1742" s="298"/>
      <c r="B1742" s="241" t="s">
        <v>1099</v>
      </c>
      <c r="C1742" s="18" t="s">
        <v>733</v>
      </c>
      <c r="D1742" s="18"/>
      <c r="E1742" s="18"/>
      <c r="F1742" s="18"/>
      <c r="G1742" s="18"/>
      <c r="H1742" s="18"/>
      <c r="I1742" s="18"/>
      <c r="J1742" s="18"/>
      <c r="K1742" s="7"/>
      <c r="L1742" s="7"/>
      <c r="M1742" s="7"/>
      <c r="N1742" s="7"/>
      <c r="O1742" s="7">
        <v>1.34375</v>
      </c>
      <c r="P1742" s="7">
        <v>0.67999999999999994</v>
      </c>
      <c r="Q1742" s="7">
        <v>0.17063492063492069</v>
      </c>
      <c r="R1742" s="7">
        <v>0.1796610169491526</v>
      </c>
      <c r="S1742" s="7">
        <v>-5.7471264367816577E-3</v>
      </c>
      <c r="T1742" s="7">
        <v>0.12716763005780352</v>
      </c>
      <c r="U1742" s="7">
        <v>-0.24871794871794872</v>
      </c>
      <c r="V1742" s="7">
        <v>2.0477815699658786E-2</v>
      </c>
      <c r="W1742" s="7">
        <v>2.0000000000000018E-2</v>
      </c>
      <c r="X1742" s="7">
        <v>0.10000000000000009</v>
      </c>
      <c r="Y1742" s="7">
        <v>0.18338609387202709</v>
      </c>
      <c r="Z1742" s="7">
        <v>0.14999999999999991</v>
      </c>
      <c r="AA1742" s="7">
        <v>0.10000000000000009</v>
      </c>
      <c r="AB1742" s="7">
        <v>5.0000000000000044E-2</v>
      </c>
      <c r="AC1742" s="7">
        <v>3.0000000000000027E-2</v>
      </c>
      <c r="AD1742" s="7">
        <v>3.0000000000000027E-2</v>
      </c>
      <c r="AE1742" s="7">
        <v>3.0000000000000027E-2</v>
      </c>
      <c r="AF1742" s="7">
        <v>3.0000000000000027E-2</v>
      </c>
      <c r="AG1742" s="7">
        <v>3.0000000000000027E-2</v>
      </c>
      <c r="AH1742" s="7">
        <v>3.0000000000000027E-2</v>
      </c>
      <c r="AI1742" s="7">
        <v>3.0000000000000027E-2</v>
      </c>
      <c r="AJ1742" s="7">
        <v>3.0000000000000027E-2</v>
      </c>
      <c r="AK1742" s="7">
        <v>3.0000000000000027E-2</v>
      </c>
      <c r="AL1742" s="7">
        <v>3.0000000000000027E-2</v>
      </c>
      <c r="AM1742" s="7">
        <v>3.0000000000000027E-2</v>
      </c>
      <c r="AN1742" s="7">
        <v>3.0000000000000027E-2</v>
      </c>
      <c r="AO1742" s="7">
        <v>3.0000000000000027E-2</v>
      </c>
      <c r="AP1742" s="7">
        <v>3.0000000000000027E-2</v>
      </c>
      <c r="AQ1742" s="7">
        <v>3.0000000000000027E-2</v>
      </c>
      <c r="AR1742" s="7">
        <v>3.0000000000000027E-2</v>
      </c>
      <c r="AS1742" s="7">
        <v>3.0000000000000027E-2</v>
      </c>
      <c r="AT1742" s="2"/>
      <c r="AU1742" s="2"/>
    </row>
    <row r="1743" spans="1:47" hidden="1" outlineLevel="1">
      <c r="A1743" s="298"/>
      <c r="B1743" s="55" t="s">
        <v>966</v>
      </c>
      <c r="C1743" s="18" t="s">
        <v>281</v>
      </c>
      <c r="D1743" s="18"/>
      <c r="E1743" s="18"/>
      <c r="F1743" s="18"/>
      <c r="G1743" s="18"/>
      <c r="H1743" s="18"/>
      <c r="I1743" s="18"/>
      <c r="J1743" s="18"/>
      <c r="K1743" s="7"/>
      <c r="L1743" s="7"/>
      <c r="M1743" s="7"/>
      <c r="N1743" s="7"/>
      <c r="O1743" s="7"/>
      <c r="P1743" s="7"/>
      <c r="Q1743" s="7"/>
      <c r="R1743" s="532">
        <v>49</v>
      </c>
      <c r="S1743" s="532">
        <v>88</v>
      </c>
      <c r="T1743" s="532">
        <v>201</v>
      </c>
      <c r="U1743" s="532">
        <v>234</v>
      </c>
      <c r="V1743" s="532">
        <v>141</v>
      </c>
      <c r="W1743" s="532">
        <v>128</v>
      </c>
      <c r="X1743" s="532">
        <v>162</v>
      </c>
      <c r="Y1743" s="536">
        <v>278</v>
      </c>
      <c r="Z1743" s="536">
        <v>504</v>
      </c>
      <c r="AA1743" s="536">
        <v>827</v>
      </c>
      <c r="AB1743" s="536">
        <v>0</v>
      </c>
      <c r="AC1743" s="31">
        <v>0</v>
      </c>
      <c r="AD1743" s="31">
        <v>0</v>
      </c>
      <c r="AE1743" s="31">
        <v>0</v>
      </c>
      <c r="AF1743" s="31">
        <v>0</v>
      </c>
      <c r="AG1743" s="31">
        <v>0</v>
      </c>
      <c r="AH1743" s="31">
        <v>0</v>
      </c>
      <c r="AI1743" s="31">
        <v>0</v>
      </c>
      <c r="AJ1743" s="31">
        <v>0</v>
      </c>
      <c r="AK1743" s="31">
        <v>0</v>
      </c>
      <c r="AL1743" s="31">
        <v>0</v>
      </c>
      <c r="AM1743" s="31">
        <v>0</v>
      </c>
      <c r="AN1743" s="31">
        <v>0</v>
      </c>
      <c r="AO1743" s="31">
        <v>0</v>
      </c>
      <c r="AP1743" s="31">
        <v>0</v>
      </c>
      <c r="AQ1743" s="31">
        <v>0</v>
      </c>
      <c r="AR1743" s="31">
        <v>0</v>
      </c>
      <c r="AS1743" s="31">
        <v>0</v>
      </c>
      <c r="AT1743" s="2"/>
      <c r="AU1743" s="2"/>
    </row>
    <row r="1744" spans="1:47" hidden="1" outlineLevel="1">
      <c r="A1744" s="298"/>
      <c r="B1744" s="241" t="s">
        <v>1099</v>
      </c>
      <c r="C1744" s="18" t="s">
        <v>733</v>
      </c>
      <c r="D1744" s="18"/>
      <c r="E1744" s="18"/>
      <c r="F1744" s="18"/>
      <c r="G1744" s="18"/>
      <c r="H1744" s="18"/>
      <c r="I1744" s="18"/>
      <c r="J1744" s="18"/>
      <c r="K1744" s="7"/>
      <c r="L1744" s="7"/>
      <c r="M1744" s="7"/>
      <c r="N1744" s="7"/>
      <c r="O1744" s="7"/>
      <c r="P1744" s="7"/>
      <c r="Q1744" s="7"/>
      <c r="R1744" s="7"/>
      <c r="S1744" s="7"/>
      <c r="T1744" s="7"/>
      <c r="U1744" s="7"/>
      <c r="V1744" s="2"/>
      <c r="W1744" s="2">
        <v>-9.219858156028371E-2</v>
      </c>
      <c r="X1744" s="2">
        <v>0.265625</v>
      </c>
      <c r="Y1744" s="2">
        <v>0.71604938271604945</v>
      </c>
      <c r="Z1744" s="2">
        <v>0.81294964028776984</v>
      </c>
      <c r="AA1744" s="831">
        <v>0.64087301587301582</v>
      </c>
      <c r="AB1744" s="557">
        <v>0.2</v>
      </c>
      <c r="AC1744" s="557">
        <v>0.1</v>
      </c>
      <c r="AD1744" s="557">
        <v>0.05</v>
      </c>
      <c r="AE1744" s="557">
        <v>0.05</v>
      </c>
      <c r="AF1744" s="557">
        <v>0.05</v>
      </c>
      <c r="AG1744" s="557">
        <v>0.05</v>
      </c>
      <c r="AH1744" s="557">
        <v>0.05</v>
      </c>
      <c r="AI1744" s="557">
        <v>0.05</v>
      </c>
      <c r="AJ1744" s="557">
        <v>0.05</v>
      </c>
      <c r="AK1744" s="557">
        <v>0.05</v>
      </c>
      <c r="AL1744" s="557">
        <v>0.05</v>
      </c>
      <c r="AM1744" s="557">
        <v>0.05</v>
      </c>
      <c r="AN1744" s="557">
        <v>0.05</v>
      </c>
      <c r="AO1744" s="575">
        <v>0.05</v>
      </c>
      <c r="AP1744" s="575">
        <v>0.05</v>
      </c>
      <c r="AQ1744" s="575">
        <v>0.05</v>
      </c>
      <c r="AR1744" s="575">
        <v>0.05</v>
      </c>
      <c r="AS1744" s="575">
        <v>0.05</v>
      </c>
      <c r="AT1744" s="2"/>
      <c r="AU1744" s="2"/>
    </row>
    <row r="1745" spans="1:47" hidden="1" outlineLevel="1">
      <c r="A1745" s="298"/>
      <c r="B1745" s="55" t="s">
        <v>771</v>
      </c>
      <c r="C1745" s="18" t="s">
        <v>281</v>
      </c>
      <c r="D1745" s="18"/>
      <c r="E1745" s="18"/>
      <c r="F1745" s="18"/>
      <c r="G1745" s="18"/>
      <c r="H1745" s="18"/>
      <c r="I1745" s="18"/>
      <c r="J1745" s="18"/>
      <c r="K1745" s="7"/>
      <c r="L1745" s="7"/>
      <c r="M1745" s="7"/>
      <c r="N1745" s="7"/>
      <c r="O1745" s="7"/>
      <c r="P1745" s="7"/>
      <c r="Q1745" s="7"/>
      <c r="R1745" s="7"/>
      <c r="S1745" s="19">
        <v>102</v>
      </c>
      <c r="T1745" s="19">
        <v>182</v>
      </c>
      <c r="U1745" s="19">
        <v>239</v>
      </c>
      <c r="V1745" s="19">
        <v>144</v>
      </c>
      <c r="W1745" s="19">
        <v>203.01999999999998</v>
      </c>
      <c r="X1745" s="31">
        <v>231.01999999999998</v>
      </c>
      <c r="Y1745" s="31">
        <v>281.02</v>
      </c>
      <c r="Z1745" s="31">
        <v>231.01999999999998</v>
      </c>
      <c r="AA1745" s="31">
        <v>181.01999999999998</v>
      </c>
      <c r="AB1745" s="31">
        <v>131.01999999999998</v>
      </c>
      <c r="AC1745" s="31">
        <v>81.019999999999982</v>
      </c>
      <c r="AD1745" s="31">
        <v>31.019999999999982</v>
      </c>
      <c r="AE1745" s="536">
        <v>0</v>
      </c>
      <c r="AF1745" s="536">
        <v>0</v>
      </c>
      <c r="AG1745" s="536">
        <v>0</v>
      </c>
      <c r="AH1745" s="536">
        <v>0</v>
      </c>
      <c r="AI1745" s="536">
        <v>0</v>
      </c>
      <c r="AJ1745" s="536">
        <v>0</v>
      </c>
      <c r="AK1745" s="536">
        <v>0</v>
      </c>
      <c r="AL1745" s="536">
        <v>0</v>
      </c>
      <c r="AM1745" s="536">
        <v>0</v>
      </c>
      <c r="AN1745" s="536">
        <v>0</v>
      </c>
      <c r="AO1745" s="536">
        <v>0</v>
      </c>
      <c r="AP1745" s="536">
        <v>0</v>
      </c>
      <c r="AQ1745" s="536">
        <v>0</v>
      </c>
      <c r="AR1745" s="536">
        <v>0</v>
      </c>
      <c r="AS1745" s="536">
        <v>0</v>
      </c>
      <c r="AT1745" s="2"/>
      <c r="AU1745" s="2"/>
    </row>
    <row r="1746" spans="1:47" hidden="1" outlineLevel="1">
      <c r="A1746" s="298"/>
      <c r="B1746" s="241" t="s">
        <v>1099</v>
      </c>
      <c r="C1746" s="18" t="s">
        <v>733</v>
      </c>
      <c r="D1746" s="18"/>
      <c r="E1746" s="18"/>
      <c r="F1746" s="18"/>
      <c r="G1746" s="18"/>
      <c r="H1746" s="18"/>
      <c r="I1746" s="18"/>
      <c r="J1746" s="18"/>
      <c r="K1746" s="7"/>
      <c r="L1746" s="7"/>
      <c r="M1746" s="7"/>
      <c r="N1746" s="7"/>
      <c r="O1746" s="7"/>
      <c r="P1746" s="7"/>
      <c r="Q1746" s="7"/>
      <c r="R1746" s="7"/>
      <c r="S1746" s="7"/>
      <c r="T1746" s="7"/>
      <c r="U1746" s="7"/>
      <c r="V1746" s="2"/>
      <c r="W1746" s="100"/>
      <c r="X1746" s="134"/>
      <c r="Y1746" s="134"/>
      <c r="Z1746" s="134"/>
      <c r="AA1746" s="134"/>
      <c r="AB1746" s="31">
        <v>992.4</v>
      </c>
      <c r="AC1746" s="31">
        <v>1091.6400000000001</v>
      </c>
      <c r="AD1746" s="31">
        <v>1146.2220000000002</v>
      </c>
      <c r="AE1746" s="31">
        <v>1203.5331000000003</v>
      </c>
      <c r="AF1746" s="31">
        <v>1263.7097550000003</v>
      </c>
      <c r="AG1746" s="31">
        <v>1326.8952427500003</v>
      </c>
      <c r="AH1746" s="31">
        <v>1393.2400048875004</v>
      </c>
      <c r="AI1746" s="31">
        <v>1462.9020051318755</v>
      </c>
      <c r="AJ1746" s="31">
        <v>1536.0471053884694</v>
      </c>
      <c r="AK1746" s="31">
        <v>1612.8494606578929</v>
      </c>
      <c r="AL1746" s="31">
        <v>1693.4919336907876</v>
      </c>
      <c r="AM1746" s="31">
        <v>1778.1665303753271</v>
      </c>
      <c r="AN1746" s="31">
        <v>1867.0748568940935</v>
      </c>
      <c r="AO1746" s="31">
        <v>1960.4285997387983</v>
      </c>
      <c r="AP1746" s="31">
        <v>2058.4500297257382</v>
      </c>
      <c r="AQ1746" s="31">
        <v>2058.4500297257382</v>
      </c>
      <c r="AR1746" s="31">
        <v>2058.4500297257382</v>
      </c>
      <c r="AS1746" s="31">
        <v>2058.4500297257382</v>
      </c>
      <c r="AT1746" s="2"/>
      <c r="AU1746" s="2"/>
    </row>
    <row r="1747" spans="1:47" hidden="1" outlineLevel="1">
      <c r="A1747" s="298"/>
      <c r="B1747" s="55"/>
      <c r="C1747" s="18"/>
      <c r="D1747" s="18"/>
      <c r="E1747" s="18"/>
      <c r="F1747" s="18"/>
      <c r="G1747" s="18"/>
      <c r="H1747" s="18"/>
      <c r="I1747" s="18"/>
      <c r="J1747" s="18"/>
      <c r="K1747" s="7"/>
      <c r="L1747" s="7"/>
      <c r="M1747" s="7"/>
      <c r="N1747" s="7"/>
      <c r="O1747" s="7"/>
      <c r="P1747" s="7"/>
      <c r="Q1747" s="7"/>
      <c r="R1747" s="7"/>
      <c r="S1747" s="7"/>
      <c r="T1747" s="7"/>
      <c r="U1747" s="7"/>
      <c r="V1747" s="2"/>
      <c r="W1747" s="134"/>
      <c r="X1747" s="134"/>
      <c r="Y1747" s="134"/>
      <c r="Z1747" s="134"/>
      <c r="AA1747" s="19"/>
      <c r="AB1747" s="19">
        <v>545.82000000000005</v>
      </c>
      <c r="AC1747" s="19">
        <v>654.98400000000004</v>
      </c>
      <c r="AD1747" s="19">
        <v>745.04430000000013</v>
      </c>
      <c r="AE1747" s="19">
        <v>782.29651500000023</v>
      </c>
      <c r="AF1747" s="19">
        <v>821.41134075000025</v>
      </c>
      <c r="AG1747" s="19">
        <v>862.48190778750018</v>
      </c>
      <c r="AH1747" s="19">
        <v>905.60600317687533</v>
      </c>
      <c r="AI1747" s="19">
        <v>950.88630333571916</v>
      </c>
      <c r="AJ1747" s="19">
        <v>998.43061850250513</v>
      </c>
      <c r="AK1747" s="19">
        <v>1048.3521494276304</v>
      </c>
      <c r="AL1747" s="19">
        <v>1100.769756899012</v>
      </c>
      <c r="AM1747" s="19">
        <v>1155.8082447439626</v>
      </c>
      <c r="AN1747" s="19">
        <v>1213.5986569811607</v>
      </c>
      <c r="AO1747" s="19">
        <v>1274.2785898302188</v>
      </c>
      <c r="AP1747" s="19">
        <v>1337.9925193217298</v>
      </c>
      <c r="AQ1747" s="19">
        <v>1337.9925193217298</v>
      </c>
      <c r="AR1747" s="19">
        <v>1337.9925193217298</v>
      </c>
      <c r="AS1747" s="19">
        <v>1337.9925193217298</v>
      </c>
      <c r="AT1747" s="2"/>
      <c r="AU1747" s="2"/>
    </row>
    <row r="1748" spans="1:47" hidden="1" outlineLevel="1">
      <c r="A1748" s="298"/>
      <c r="B1748" s="215" t="s">
        <v>768</v>
      </c>
      <c r="C1748" s="169" t="s">
        <v>732</v>
      </c>
      <c r="D1748" s="169"/>
      <c r="E1748" s="169"/>
      <c r="F1748" s="169"/>
      <c r="G1748" s="169"/>
      <c r="H1748" s="169"/>
      <c r="I1748" s="169"/>
      <c r="J1748" s="169"/>
      <c r="K1748" s="27"/>
      <c r="L1748" s="215">
        <v>492</v>
      </c>
      <c r="M1748" s="215">
        <v>1080</v>
      </c>
      <c r="N1748" s="215">
        <v>972</v>
      </c>
      <c r="O1748" s="215">
        <v>876</v>
      </c>
      <c r="P1748" s="215">
        <v>986</v>
      </c>
      <c r="Q1748" s="215">
        <v>1125</v>
      </c>
      <c r="R1748" s="215">
        <v>1397</v>
      </c>
      <c r="S1748" s="585">
        <v>1453</v>
      </c>
      <c r="T1748" s="585">
        <v>1762</v>
      </c>
      <c r="U1748" s="585">
        <v>1536</v>
      </c>
      <c r="V1748" s="585">
        <v>1398</v>
      </c>
      <c r="W1748" s="585">
        <v>1496</v>
      </c>
      <c r="X1748" s="215">
        <v>1739.498</v>
      </c>
      <c r="Y1748" s="215">
        <v>2001.02</v>
      </c>
      <c r="Z1748" s="215">
        <v>1191.57</v>
      </c>
      <c r="AA1748" s="215">
        <v>1510.2249999999999</v>
      </c>
      <c r="AB1748" s="215">
        <v>658.33524999999997</v>
      </c>
      <c r="AC1748" s="215">
        <v>624.15470749999997</v>
      </c>
      <c r="AD1748" s="215">
        <v>590.44874872499997</v>
      </c>
      <c r="AE1748" s="215">
        <v>576.21161118675002</v>
      </c>
      <c r="AF1748" s="215">
        <v>593.49795952235252</v>
      </c>
      <c r="AG1748" s="215">
        <v>611.30289830802315</v>
      </c>
      <c r="AH1748" s="215">
        <v>629.64198525726385</v>
      </c>
      <c r="AI1748" s="215">
        <v>648.53124481498173</v>
      </c>
      <c r="AJ1748" s="215">
        <v>667.9871821594312</v>
      </c>
      <c r="AK1748" s="215">
        <v>688.02679762421417</v>
      </c>
      <c r="AL1748" s="215">
        <v>708.6676015529406</v>
      </c>
      <c r="AM1748" s="215">
        <v>729.92762959952881</v>
      </c>
      <c r="AN1748" s="215">
        <v>751.82545848751465</v>
      </c>
      <c r="AO1748" s="215">
        <v>774.38022224214012</v>
      </c>
      <c r="AP1748" s="215">
        <v>797.61162890940432</v>
      </c>
      <c r="AQ1748" s="215">
        <v>797.61162890940432</v>
      </c>
      <c r="AR1748" s="215">
        <v>797.61162890940432</v>
      </c>
      <c r="AS1748" s="215">
        <v>797.61162890940432</v>
      </c>
      <c r="AT1748" s="2"/>
      <c r="AU1748" s="2"/>
    </row>
    <row r="1749" spans="1:47" hidden="1" outlineLevel="1">
      <c r="A1749" s="298"/>
      <c r="B1749" s="241" t="s">
        <v>1099</v>
      </c>
      <c r="C1749" s="18" t="s">
        <v>733</v>
      </c>
      <c r="D1749" s="18"/>
      <c r="E1749" s="18"/>
      <c r="F1749" s="18"/>
      <c r="G1749" s="18"/>
      <c r="H1749" s="18"/>
      <c r="I1749" s="18"/>
      <c r="J1749" s="18"/>
      <c r="K1749" s="7"/>
      <c r="L1749" s="7"/>
      <c r="M1749" s="7"/>
      <c r="N1749" s="7"/>
      <c r="O1749" s="7"/>
      <c r="P1749" s="7"/>
      <c r="Q1749" s="7"/>
      <c r="R1749" s="7"/>
      <c r="S1749" s="7"/>
      <c r="T1749" s="7">
        <v>0.21266345492085348</v>
      </c>
      <c r="U1749" s="7">
        <v>-0.12826333711691262</v>
      </c>
      <c r="V1749" s="7">
        <v>-8.984375E-2</v>
      </c>
      <c r="W1749" s="7">
        <v>7.0100143061516462E-2</v>
      </c>
      <c r="X1749" s="7">
        <v>0.16276604278074869</v>
      </c>
      <c r="Y1749" s="7">
        <v>0.15034337492770899</v>
      </c>
      <c r="Z1749" s="7">
        <v>-0.40451869546531272</v>
      </c>
      <c r="AA1749" s="7">
        <v>0.26742449037824056</v>
      </c>
      <c r="AB1749" s="7">
        <v>-0.56408134549487654</v>
      </c>
      <c r="AC1749" s="7">
        <v>-5.19196602339006E-2</v>
      </c>
      <c r="AD1749" s="7">
        <v>-5.4002570788909687E-2</v>
      </c>
      <c r="AE1749" s="7">
        <v>-2.4112401912940395E-2</v>
      </c>
      <c r="AF1749" s="7">
        <v>3.0000000000000027E-2</v>
      </c>
      <c r="AG1749" s="7">
        <v>3.0000000000000027E-2</v>
      </c>
      <c r="AH1749" s="7">
        <v>3.0000000000000027E-2</v>
      </c>
      <c r="AI1749" s="7">
        <v>3.0000000000000027E-2</v>
      </c>
      <c r="AJ1749" s="7">
        <v>3.0000000000000027E-2</v>
      </c>
      <c r="AK1749" s="7">
        <v>3.0000000000000027E-2</v>
      </c>
      <c r="AL1749" s="7">
        <v>3.0000000000000027E-2</v>
      </c>
      <c r="AM1749" s="7">
        <v>3.0000000000000027E-2</v>
      </c>
      <c r="AN1749" s="7">
        <v>3.0000000000000027E-2</v>
      </c>
      <c r="AO1749" s="7">
        <v>3.0000000000000027E-2</v>
      </c>
      <c r="AP1749" s="7">
        <v>3.0000000000000027E-2</v>
      </c>
      <c r="AQ1749" s="7">
        <v>3.0000000000000027E-2</v>
      </c>
      <c r="AR1749" s="7">
        <v>3.0000000000000027E-2</v>
      </c>
      <c r="AS1749" s="7">
        <v>3.0000000000000027E-2</v>
      </c>
      <c r="AT1749" s="2"/>
      <c r="AU1749" s="2"/>
    </row>
    <row r="1750" spans="1:47" hidden="1" outlineLevel="1">
      <c r="A1750" s="298"/>
      <c r="B1750" s="55"/>
      <c r="C1750" s="18"/>
      <c r="D1750" s="18"/>
      <c r="E1750" s="18"/>
      <c r="F1750" s="18"/>
      <c r="G1750" s="18"/>
      <c r="H1750" s="18"/>
      <c r="I1750" s="18"/>
      <c r="J1750" s="18"/>
      <c r="K1750" s="7"/>
      <c r="L1750" s="7"/>
      <c r="M1750" s="7"/>
      <c r="N1750" s="7"/>
      <c r="O1750" s="7"/>
      <c r="P1750" s="7"/>
      <c r="Q1750" s="7"/>
      <c r="R1750" s="7"/>
      <c r="S1750" s="7"/>
      <c r="T1750" s="7"/>
      <c r="U1750" s="7"/>
      <c r="V1750" s="2"/>
      <c r="W1750" s="134"/>
      <c r="X1750" s="134"/>
      <c r="Y1750" s="134"/>
      <c r="Z1750" s="134"/>
      <c r="AA1750" s="134"/>
      <c r="AB1750" s="134"/>
      <c r="AC1750" s="134"/>
      <c r="AD1750" s="134"/>
      <c r="AE1750" s="134"/>
      <c r="AF1750" s="134"/>
      <c r="AG1750" s="134"/>
      <c r="AH1750" s="134"/>
      <c r="AI1750" s="134"/>
      <c r="AJ1750" s="134"/>
      <c r="AK1750" s="134"/>
      <c r="AL1750" s="134"/>
      <c r="AM1750" s="134"/>
      <c r="AN1750" s="134"/>
      <c r="AO1750" s="134"/>
      <c r="AP1750" s="134"/>
      <c r="AQ1750" s="134"/>
      <c r="AR1750" s="134"/>
      <c r="AS1750" s="134"/>
      <c r="AT1750" s="2"/>
      <c r="AU1750" s="2"/>
    </row>
    <row r="1751" spans="1:47" ht="15.6" hidden="1" outlineLevel="1">
      <c r="A1751" s="298"/>
      <c r="B1751" s="237" t="s">
        <v>769</v>
      </c>
      <c r="C1751" s="238"/>
      <c r="D1751" s="239"/>
      <c r="E1751" s="239"/>
      <c r="F1751" s="239"/>
      <c r="G1751" s="239"/>
      <c r="H1751" s="239"/>
      <c r="I1751" s="239"/>
      <c r="J1751" s="239"/>
      <c r="K1751" s="239"/>
      <c r="L1751" s="239"/>
      <c r="M1751" s="239"/>
      <c r="N1751" s="239"/>
      <c r="O1751" s="239"/>
      <c r="P1751" s="239"/>
      <c r="Q1751" s="239"/>
      <c r="R1751" s="239"/>
      <c r="S1751" s="239"/>
      <c r="T1751" s="239"/>
      <c r="U1751" s="239"/>
      <c r="V1751" s="239"/>
      <c r="W1751" s="239"/>
      <c r="X1751" s="239"/>
      <c r="Y1751" s="239"/>
      <c r="Z1751" s="239"/>
      <c r="AA1751" s="239"/>
      <c r="AB1751" s="239"/>
      <c r="AC1751" s="239"/>
      <c r="AD1751" s="239"/>
      <c r="AE1751" s="239"/>
      <c r="AF1751" s="239"/>
      <c r="AG1751" s="239"/>
      <c r="AH1751" s="239"/>
      <c r="AI1751" s="239"/>
      <c r="AJ1751" s="239"/>
      <c r="AK1751" s="239"/>
      <c r="AL1751" s="239"/>
      <c r="AM1751" s="239"/>
      <c r="AN1751" s="239"/>
      <c r="AO1751" s="270"/>
      <c r="AP1751" s="240"/>
      <c r="AQ1751" s="240"/>
      <c r="AR1751" s="240"/>
      <c r="AS1751" s="240"/>
      <c r="AT1751" s="2"/>
      <c r="AU1751" s="2"/>
    </row>
    <row r="1752" spans="1:47" hidden="1" outlineLevel="1">
      <c r="A1752" s="298"/>
      <c r="B1752" s="2"/>
      <c r="C1752" s="18"/>
      <c r="D1752" s="18"/>
      <c r="E1752" s="18"/>
      <c r="F1752" s="18"/>
      <c r="G1752" s="18"/>
      <c r="H1752" s="18"/>
      <c r="I1752" s="18"/>
      <c r="J1752" s="18"/>
      <c r="K1752" s="7"/>
      <c r="L1752" s="7"/>
      <c r="M1752" s="7"/>
      <c r="N1752" s="7"/>
      <c r="O1752" s="7"/>
      <c r="P1752" s="7"/>
      <c r="Q1752" s="7"/>
      <c r="R1752" s="7"/>
      <c r="S1752" s="7"/>
      <c r="T1752" s="7"/>
      <c r="U1752" s="7"/>
      <c r="V1752" s="7"/>
      <c r="W1752" s="7"/>
      <c r="X1752" s="7"/>
      <c r="Y1752" s="7"/>
      <c r="Z1752" s="7"/>
      <c r="AA1752" s="7"/>
      <c r="AB1752" s="7"/>
      <c r="AC1752" s="7"/>
      <c r="AD1752" s="7"/>
      <c r="AE1752" s="7"/>
      <c r="AF1752" s="7"/>
      <c r="AG1752" s="7"/>
      <c r="AH1752" s="7"/>
      <c r="AI1752" s="7"/>
      <c r="AJ1752" s="7"/>
      <c r="AK1752" s="7"/>
      <c r="AL1752" s="7"/>
      <c r="AM1752" s="7"/>
      <c r="AN1752" s="7"/>
      <c r="AO1752" s="7"/>
      <c r="AP1752" s="7"/>
      <c r="AQ1752" s="7"/>
      <c r="AR1752" s="7"/>
      <c r="AS1752" s="7"/>
      <c r="AT1752" s="2"/>
      <c r="AU1752" s="2"/>
    </row>
    <row r="1753" spans="1:47" hidden="1" outlineLevel="1">
      <c r="A1753" s="298"/>
      <c r="B1753" s="6" t="s">
        <v>731</v>
      </c>
      <c r="C1753" s="18"/>
      <c r="D1753" s="18"/>
      <c r="E1753" s="18"/>
      <c r="F1753" s="18"/>
      <c r="G1753" s="18"/>
      <c r="H1753" s="18"/>
      <c r="I1753" s="18"/>
      <c r="J1753" s="18"/>
      <c r="K1753" s="7"/>
      <c r="L1753" s="7"/>
      <c r="M1753" s="7"/>
      <c r="N1753" s="7"/>
      <c r="O1753" s="7"/>
      <c r="P1753" s="7"/>
      <c r="Q1753" s="7"/>
      <c r="R1753" s="7"/>
      <c r="S1753" s="7"/>
      <c r="T1753" s="7"/>
      <c r="U1753" s="7"/>
      <c r="V1753" s="7"/>
      <c r="W1753" s="7"/>
      <c r="X1753" s="7"/>
      <c r="Y1753" s="7"/>
      <c r="Z1753" s="7"/>
      <c r="AA1753" s="7"/>
      <c r="AB1753" s="7"/>
      <c r="AC1753" s="7"/>
      <c r="AD1753" s="7"/>
      <c r="AE1753" s="7"/>
      <c r="AF1753" s="7"/>
      <c r="AG1753" s="7"/>
      <c r="AH1753" s="7"/>
      <c r="AI1753" s="7"/>
      <c r="AJ1753" s="7"/>
      <c r="AK1753" s="7"/>
      <c r="AL1753" s="7"/>
      <c r="AM1753" s="7"/>
      <c r="AN1753" s="7"/>
      <c r="AO1753" s="7"/>
      <c r="AP1753" s="7"/>
      <c r="AQ1753" s="7"/>
      <c r="AR1753" s="7"/>
      <c r="AS1753" s="7"/>
      <c r="AT1753" s="2"/>
      <c r="AU1753" s="2"/>
    </row>
    <row r="1754" spans="1:47" hidden="1" outlineLevel="1">
      <c r="A1754" s="298"/>
      <c r="B1754" s="55" t="s">
        <v>154</v>
      </c>
      <c r="C1754" s="18" t="s">
        <v>155</v>
      </c>
      <c r="D1754" s="18"/>
      <c r="E1754" s="18"/>
      <c r="F1754" s="18"/>
      <c r="G1754" s="18"/>
      <c r="H1754" s="18"/>
      <c r="I1754" s="18"/>
      <c r="J1754" s="18"/>
      <c r="K1754" s="7"/>
      <c r="L1754" s="7"/>
      <c r="M1754" s="532">
        <v>4433</v>
      </c>
      <c r="N1754" s="532">
        <v>4224</v>
      </c>
      <c r="O1754" s="532">
        <v>4022</v>
      </c>
      <c r="P1754" s="532">
        <v>4308</v>
      </c>
      <c r="Q1754" s="532">
        <v>4831</v>
      </c>
      <c r="R1754" s="532">
        <v>6109</v>
      </c>
      <c r="S1754" s="532">
        <v>6395</v>
      </c>
      <c r="T1754" s="532">
        <v>5675</v>
      </c>
      <c r="U1754" s="532">
        <v>5286</v>
      </c>
      <c r="V1754" s="532">
        <v>6297</v>
      </c>
      <c r="W1754" s="536">
        <v>6890</v>
      </c>
      <c r="X1754" s="536">
        <v>8052</v>
      </c>
      <c r="Y1754" s="536">
        <v>7421</v>
      </c>
      <c r="Z1754" s="31">
        <v>8165.6143074114661</v>
      </c>
      <c r="AA1754" s="31">
        <v>8660.0522117914552</v>
      </c>
      <c r="AB1754" s="31">
        <v>9008.6129142627051</v>
      </c>
      <c r="AC1754" s="31">
        <v>9280.6730242734411</v>
      </c>
      <c r="AD1754" s="31">
        <v>9560.949349606497</v>
      </c>
      <c r="AE1754" s="31">
        <v>9849.6900199646134</v>
      </c>
      <c r="AF1754" s="31">
        <v>10147.150658567543</v>
      </c>
      <c r="AG1754" s="31">
        <v>10453.594608456286</v>
      </c>
      <c r="AH1754" s="31">
        <v>10769.293165631663</v>
      </c>
      <c r="AI1754" s="31">
        <v>11094.525819233741</v>
      </c>
      <c r="AJ1754" s="31">
        <v>11429.580498974599</v>
      </c>
      <c r="AK1754" s="31">
        <v>11774.753830043632</v>
      </c>
      <c r="AL1754" s="31">
        <v>12130.351395710948</v>
      </c>
      <c r="AM1754" s="31">
        <v>12496.688007861421</v>
      </c>
      <c r="AN1754" s="31">
        <v>12874.087985698834</v>
      </c>
      <c r="AO1754" s="31">
        <v>13262.885442866938</v>
      </c>
      <c r="AP1754" s="31">
        <v>13663.42458324152</v>
      </c>
      <c r="AQ1754" s="31">
        <v>13663.42458324152</v>
      </c>
      <c r="AR1754" s="31">
        <v>13663.42458324152</v>
      </c>
      <c r="AS1754" s="31">
        <v>13663.42458324152</v>
      </c>
      <c r="AT1754" s="2"/>
      <c r="AU1754" s="2"/>
    </row>
    <row r="1755" spans="1:47" hidden="1" outlineLevel="1">
      <c r="A1755" s="298"/>
      <c r="B1755" s="241" t="s">
        <v>1099</v>
      </c>
      <c r="C1755" s="18" t="s">
        <v>733</v>
      </c>
      <c r="D1755" s="18"/>
      <c r="E1755" s="18"/>
      <c r="F1755" s="18"/>
      <c r="G1755" s="18"/>
      <c r="H1755" s="18"/>
      <c r="I1755" s="18"/>
      <c r="J1755" s="18"/>
      <c r="K1755" s="7"/>
      <c r="L1755" s="7"/>
      <c r="M1755" s="7"/>
      <c r="N1755" s="7">
        <v>-4.7146401985111663E-2</v>
      </c>
      <c r="O1755" s="7">
        <v>-4.7821969696969724E-2</v>
      </c>
      <c r="P1755" s="7">
        <v>7.1108901044256489E-2</v>
      </c>
      <c r="Q1755" s="7">
        <v>0.121402042711235</v>
      </c>
      <c r="R1755" s="7">
        <v>0.26454150279445243</v>
      </c>
      <c r="S1755" s="7">
        <v>4.6816172859715177E-2</v>
      </c>
      <c r="T1755" s="7">
        <v>-0.11258795934323695</v>
      </c>
      <c r="U1755" s="7">
        <v>-6.8546255506607978E-2</v>
      </c>
      <c r="V1755" s="7">
        <v>0.19125993189557322</v>
      </c>
      <c r="W1755" s="7">
        <v>9.4171827854533818E-2</v>
      </c>
      <c r="X1755" s="7">
        <v>0.16865021770682143</v>
      </c>
      <c r="Y1755" s="7">
        <v>-7.8365623447590682E-2</v>
      </c>
      <c r="Z1755" s="7">
        <v>0.1003388097845932</v>
      </c>
      <c r="AA1755" s="7">
        <v>6.0551219512194665E-2</v>
      </c>
      <c r="AB1755" s="7">
        <v>4.0249261083744159E-2</v>
      </c>
      <c r="AC1755" s="7">
        <v>3.0200000000000227E-2</v>
      </c>
      <c r="AD1755" s="7">
        <v>3.0199999999999783E-2</v>
      </c>
      <c r="AE1755" s="7">
        <v>3.0200000000000005E-2</v>
      </c>
      <c r="AF1755" s="7">
        <v>3.0199999999999783E-2</v>
      </c>
      <c r="AG1755" s="7">
        <v>3.0200000000000227E-2</v>
      </c>
      <c r="AH1755" s="7">
        <v>3.0199999999999783E-2</v>
      </c>
      <c r="AI1755" s="7">
        <v>3.0200000000000005E-2</v>
      </c>
      <c r="AJ1755" s="7">
        <v>3.0200000000000005E-2</v>
      </c>
      <c r="AK1755" s="7">
        <v>3.0200000000000005E-2</v>
      </c>
      <c r="AL1755" s="7">
        <v>3.0199999999999783E-2</v>
      </c>
      <c r="AM1755" s="7">
        <v>3.0200000000000227E-2</v>
      </c>
      <c r="AN1755" s="7">
        <v>3.0199999999999783E-2</v>
      </c>
      <c r="AO1755" s="7">
        <v>3.0200000000000005E-2</v>
      </c>
      <c r="AP1755" s="7">
        <v>3.0200000000000005E-2</v>
      </c>
      <c r="AQ1755" s="7">
        <v>3.0200000000000005E-2</v>
      </c>
      <c r="AR1755" s="7">
        <v>3.0200000000000005E-2</v>
      </c>
      <c r="AS1755" s="7">
        <v>3.0200000000000005E-2</v>
      </c>
      <c r="AT1755" s="2"/>
      <c r="AU1755" s="2"/>
    </row>
    <row r="1756" spans="1:47" hidden="1" outlineLevel="1">
      <c r="A1756" s="298"/>
      <c r="B1756" s="2"/>
      <c r="C1756" s="18"/>
      <c r="D1756" s="18"/>
      <c r="E1756" s="18"/>
      <c r="F1756" s="18"/>
      <c r="G1756" s="18"/>
      <c r="H1756" s="18"/>
      <c r="I1756" s="18"/>
      <c r="J1756" s="18"/>
      <c r="K1756" s="7"/>
      <c r="L1756" s="7"/>
      <c r="M1756" s="7"/>
      <c r="N1756" s="7"/>
      <c r="O1756" s="7"/>
      <c r="P1756" s="7"/>
      <c r="Q1756" s="7"/>
      <c r="R1756" s="7"/>
      <c r="S1756" s="7"/>
      <c r="T1756" s="7"/>
      <c r="U1756" s="7"/>
      <c r="V1756" s="7"/>
      <c r="W1756" s="7"/>
      <c r="X1756" s="7"/>
      <c r="Y1756" s="31"/>
      <c r="Z1756" s="7"/>
      <c r="AA1756" s="7"/>
      <c r="AB1756" s="7"/>
      <c r="AC1756" s="7"/>
      <c r="AD1756" s="7"/>
      <c r="AE1756" s="7"/>
      <c r="AF1756" s="7"/>
      <c r="AG1756" s="7"/>
      <c r="AH1756" s="7"/>
      <c r="AI1756" s="7"/>
      <c r="AJ1756" s="7"/>
      <c r="AK1756" s="7"/>
      <c r="AL1756" s="7"/>
      <c r="AM1756" s="7"/>
      <c r="AN1756" s="7"/>
      <c r="AO1756" s="7"/>
      <c r="AP1756" s="7"/>
      <c r="AQ1756" s="7"/>
      <c r="AR1756" s="7"/>
      <c r="AS1756" s="7"/>
      <c r="AT1756" s="2"/>
      <c r="AU1756" s="2"/>
    </row>
    <row r="1757" spans="1:47" hidden="1" outlineLevel="1">
      <c r="A1757" s="298"/>
      <c r="B1757" s="2" t="s">
        <v>156</v>
      </c>
      <c r="C1757" s="18" t="s">
        <v>846</v>
      </c>
      <c r="D1757" s="18"/>
      <c r="E1757" s="18"/>
      <c r="F1757" s="18"/>
      <c r="G1757" s="18"/>
      <c r="H1757" s="18"/>
      <c r="I1757" s="18"/>
      <c r="J1757" s="18"/>
      <c r="K1757" s="7"/>
      <c r="L1757" s="7"/>
      <c r="M1757" s="7"/>
      <c r="N1757" s="7"/>
      <c r="O1757" s="7"/>
      <c r="P1757" s="7"/>
      <c r="Q1757" s="7"/>
      <c r="R1757" s="7"/>
      <c r="S1757" s="7"/>
      <c r="T1757" s="532">
        <v>2450</v>
      </c>
      <c r="U1757" s="532">
        <v>2641</v>
      </c>
      <c r="V1757" s="532">
        <v>2993</v>
      </c>
      <c r="W1757" s="101">
        <v>3468</v>
      </c>
      <c r="X1757" s="536">
        <v>3893</v>
      </c>
      <c r="Y1757" s="536">
        <v>4324</v>
      </c>
      <c r="Z1757" s="31">
        <v>4540.2</v>
      </c>
      <c r="AA1757" s="31">
        <v>4676.4059999999999</v>
      </c>
      <c r="AB1757" s="31">
        <v>4723.1700600000004</v>
      </c>
      <c r="AC1757" s="31">
        <v>4770.4017606000007</v>
      </c>
      <c r="AD1757" s="31">
        <v>4818.1057782060007</v>
      </c>
      <c r="AE1757" s="31">
        <v>4866.2868359880604</v>
      </c>
      <c r="AF1757" s="31">
        <v>4914.9497043479414</v>
      </c>
      <c r="AG1757" s="31">
        <v>4964.099201391421</v>
      </c>
      <c r="AH1757" s="31">
        <v>5013.740193405335</v>
      </c>
      <c r="AI1757" s="31">
        <v>5063.8775953393888</v>
      </c>
      <c r="AJ1757" s="31">
        <v>5114.5163712927824</v>
      </c>
      <c r="AK1757" s="31">
        <v>5165.66153500571</v>
      </c>
      <c r="AL1757" s="31">
        <v>5217.3181503557671</v>
      </c>
      <c r="AM1757" s="31">
        <v>5269.4913318593244</v>
      </c>
      <c r="AN1757" s="31">
        <v>5322.186245177918</v>
      </c>
      <c r="AO1757" s="31">
        <v>5375.408107629697</v>
      </c>
      <c r="AP1757" s="31">
        <v>5429.1621887059937</v>
      </c>
      <c r="AQ1757" s="31">
        <v>5429.1621887059937</v>
      </c>
      <c r="AR1757" s="31">
        <v>5429.1621887059937</v>
      </c>
      <c r="AS1757" s="31">
        <v>5429.1621887059937</v>
      </c>
      <c r="AT1757" s="2"/>
      <c r="AU1757" s="2"/>
    </row>
    <row r="1758" spans="1:47" hidden="1" outlineLevel="1">
      <c r="A1758" s="298"/>
      <c r="B1758" s="241" t="s">
        <v>1099</v>
      </c>
      <c r="C1758" s="18" t="s">
        <v>733</v>
      </c>
      <c r="D1758" s="18"/>
      <c r="E1758" s="18"/>
      <c r="F1758" s="18"/>
      <c r="G1758" s="18"/>
      <c r="H1758" s="18"/>
      <c r="I1758" s="18"/>
      <c r="J1758" s="18"/>
      <c r="K1758" s="7"/>
      <c r="L1758" s="7"/>
      <c r="M1758" s="7"/>
      <c r="N1758" s="7"/>
      <c r="O1758" s="7"/>
      <c r="P1758" s="7"/>
      <c r="Q1758" s="7"/>
      <c r="R1758" s="7"/>
      <c r="S1758" s="7"/>
      <c r="T1758" s="7"/>
      <c r="U1758" s="7">
        <v>7.7959183673469434E-2</v>
      </c>
      <c r="V1758" s="7">
        <v>0.13328284740628549</v>
      </c>
      <c r="W1758" s="7">
        <v>0.15870364183093888</v>
      </c>
      <c r="X1758" s="7">
        <v>0.12254901960784315</v>
      </c>
      <c r="Y1758" s="102">
        <v>0.11071153352170571</v>
      </c>
      <c r="Z1758" s="557">
        <v>0.05</v>
      </c>
      <c r="AA1758" s="557">
        <v>0.03</v>
      </c>
      <c r="AB1758" s="557">
        <v>0.01</v>
      </c>
      <c r="AC1758" s="87">
        <v>0.01</v>
      </c>
      <c r="AD1758" s="87">
        <v>0.01</v>
      </c>
      <c r="AE1758" s="87">
        <v>0.01</v>
      </c>
      <c r="AF1758" s="87">
        <v>0.01</v>
      </c>
      <c r="AG1758" s="87">
        <v>0.01</v>
      </c>
      <c r="AH1758" s="87">
        <v>0.01</v>
      </c>
      <c r="AI1758" s="87">
        <v>0.01</v>
      </c>
      <c r="AJ1758" s="87">
        <v>0.01</v>
      </c>
      <c r="AK1758" s="87">
        <v>0.01</v>
      </c>
      <c r="AL1758" s="87">
        <v>0.01</v>
      </c>
      <c r="AM1758" s="87">
        <v>0.01</v>
      </c>
      <c r="AN1758" s="87">
        <v>0.01</v>
      </c>
      <c r="AO1758" s="88">
        <v>0.01</v>
      </c>
      <c r="AP1758" s="88">
        <v>0.01</v>
      </c>
      <c r="AQ1758" s="88">
        <v>0.01</v>
      </c>
      <c r="AR1758" s="88">
        <v>0.01</v>
      </c>
      <c r="AS1758" s="88">
        <v>0.01</v>
      </c>
      <c r="AT1758" s="2"/>
      <c r="AU1758" s="2"/>
    </row>
    <row r="1759" spans="1:47" hidden="1" outlineLevel="1">
      <c r="A1759" s="298"/>
      <c r="B1759" s="2" t="s">
        <v>157</v>
      </c>
      <c r="C1759" s="18" t="s">
        <v>846</v>
      </c>
      <c r="D1759" s="18"/>
      <c r="E1759" s="18"/>
      <c r="F1759" s="18"/>
      <c r="G1759" s="18"/>
      <c r="H1759" s="18"/>
      <c r="I1759" s="18"/>
      <c r="J1759" s="18"/>
      <c r="K1759" s="7"/>
      <c r="L1759" s="7"/>
      <c r="M1759" s="7"/>
      <c r="N1759" s="7"/>
      <c r="O1759" s="7"/>
      <c r="P1759" s="7"/>
      <c r="Q1759" s="7"/>
      <c r="R1759" s="7"/>
      <c r="S1759" s="7"/>
      <c r="T1759" s="31">
        <v>2450</v>
      </c>
      <c r="U1759" s="31">
        <v>2545.5</v>
      </c>
      <c r="V1759" s="31">
        <v>2817</v>
      </c>
      <c r="W1759" s="31">
        <v>3230.5</v>
      </c>
      <c r="X1759" s="31">
        <v>3680.5</v>
      </c>
      <c r="Y1759" s="31">
        <v>4108.5</v>
      </c>
      <c r="Z1759" s="31">
        <v>4432.1000000000004</v>
      </c>
      <c r="AA1759" s="31">
        <v>4608.3029999999999</v>
      </c>
      <c r="AB1759" s="31">
        <v>4699.7880299999997</v>
      </c>
      <c r="AC1759" s="31">
        <v>4746.785910300001</v>
      </c>
      <c r="AD1759" s="31">
        <v>4794.2537694030007</v>
      </c>
      <c r="AE1759" s="31">
        <v>4842.1963070970305</v>
      </c>
      <c r="AF1759" s="31">
        <v>4890.6182701680009</v>
      </c>
      <c r="AG1759" s="31">
        <v>4939.5244528696812</v>
      </c>
      <c r="AH1759" s="31">
        <v>4988.919697398378</v>
      </c>
      <c r="AI1759" s="31">
        <v>5038.8088943723615</v>
      </c>
      <c r="AJ1759" s="31">
        <v>5089.1969833160856</v>
      </c>
      <c r="AK1759" s="31">
        <v>5140.0889531492467</v>
      </c>
      <c r="AL1759" s="31">
        <v>5191.4898426807385</v>
      </c>
      <c r="AM1759" s="31">
        <v>5243.4047411075462</v>
      </c>
      <c r="AN1759" s="31">
        <v>5295.8387885186212</v>
      </c>
      <c r="AO1759" s="31">
        <v>5348.7971764038075</v>
      </c>
      <c r="AP1759" s="31">
        <v>5402.2851481678454</v>
      </c>
      <c r="AQ1759" s="31">
        <v>5402.2851481678454</v>
      </c>
      <c r="AR1759" s="31">
        <v>5402.2851481678454</v>
      </c>
      <c r="AS1759" s="31">
        <v>5402.2851481678454</v>
      </c>
      <c r="AT1759" s="2"/>
      <c r="AU1759" s="2"/>
    </row>
    <row r="1760" spans="1:47" hidden="1" outlineLevel="1">
      <c r="A1760" s="298"/>
      <c r="B1760" s="2"/>
      <c r="C1760" s="18"/>
      <c r="D1760" s="18"/>
      <c r="E1760" s="18"/>
      <c r="F1760" s="18"/>
      <c r="G1760" s="18"/>
      <c r="H1760" s="18"/>
      <c r="I1760" s="18"/>
      <c r="J1760" s="18"/>
      <c r="K1760" s="7"/>
      <c r="L1760" s="7"/>
      <c r="M1760" s="7"/>
      <c r="N1760" s="7"/>
      <c r="O1760" s="7"/>
      <c r="P1760" s="7"/>
      <c r="Q1760" s="7"/>
      <c r="R1760" s="7"/>
      <c r="S1760" s="7"/>
      <c r="T1760" s="7"/>
      <c r="U1760" s="7"/>
      <c r="V1760" s="7"/>
      <c r="W1760" s="7"/>
      <c r="X1760" s="7"/>
      <c r="Y1760" s="7"/>
      <c r="Z1760" s="7"/>
      <c r="AA1760" s="7"/>
      <c r="AB1760" s="7"/>
      <c r="AC1760" s="7"/>
      <c r="AD1760" s="7"/>
      <c r="AE1760" s="7"/>
      <c r="AF1760" s="7"/>
      <c r="AG1760" s="7"/>
      <c r="AH1760" s="7"/>
      <c r="AI1760" s="7"/>
      <c r="AJ1760" s="7"/>
      <c r="AK1760" s="7"/>
      <c r="AL1760" s="7"/>
      <c r="AM1760" s="7"/>
      <c r="AN1760" s="7"/>
      <c r="AO1760" s="7"/>
      <c r="AP1760" s="7"/>
      <c r="AQ1760" s="7"/>
      <c r="AR1760" s="7"/>
      <c r="AS1760" s="7"/>
      <c r="AT1760" s="2"/>
      <c r="AU1760" s="2"/>
    </row>
    <row r="1761" spans="1:47" hidden="1" outlineLevel="1">
      <c r="A1761" s="298"/>
      <c r="B1761" s="2" t="s">
        <v>684</v>
      </c>
      <c r="C1761" s="18" t="s">
        <v>158</v>
      </c>
      <c r="D1761" s="18"/>
      <c r="E1761" s="18"/>
      <c r="F1761" s="18"/>
      <c r="G1761" s="18"/>
      <c r="H1761" s="18"/>
      <c r="I1761" s="18"/>
      <c r="J1761" s="18"/>
      <c r="K1761" s="7"/>
      <c r="L1761" s="7"/>
      <c r="M1761" s="7"/>
      <c r="N1761" s="7"/>
      <c r="O1761" s="7"/>
      <c r="P1761" s="7"/>
      <c r="Q1761" s="7"/>
      <c r="R1761" s="7"/>
      <c r="S1761" s="7"/>
      <c r="T1761" s="31">
        <v>193.02721088435374</v>
      </c>
      <c r="U1761" s="31">
        <v>173.0504812414064</v>
      </c>
      <c r="V1761" s="31">
        <v>186.27973020944268</v>
      </c>
      <c r="W1761" s="31">
        <v>177.73306505700873</v>
      </c>
      <c r="X1761" s="31">
        <v>182.31218584431463</v>
      </c>
      <c r="Y1761" s="31">
        <v>150.52127702730112</v>
      </c>
      <c r="Z1761" s="31">
        <v>153.53170256784716</v>
      </c>
      <c r="AA1761" s="31">
        <v>156.6023366192041</v>
      </c>
      <c r="AB1761" s="31">
        <v>159.73438335158818</v>
      </c>
      <c r="AC1761" s="31">
        <v>162.92907101861994</v>
      </c>
      <c r="AD1761" s="31">
        <v>166.18765243899233</v>
      </c>
      <c r="AE1761" s="31">
        <v>169.51140548777218</v>
      </c>
      <c r="AF1761" s="31">
        <v>172.90163359752762</v>
      </c>
      <c r="AG1761" s="31">
        <v>176.35966626947817</v>
      </c>
      <c r="AH1761" s="31">
        <v>179.88685959486773</v>
      </c>
      <c r="AI1761" s="31">
        <v>183.48459678676508</v>
      </c>
      <c r="AJ1761" s="31">
        <v>187.15428872250038</v>
      </c>
      <c r="AK1761" s="31">
        <v>190.89737449695039</v>
      </c>
      <c r="AL1761" s="31">
        <v>194.71532198688939</v>
      </c>
      <c r="AM1761" s="31">
        <v>198.60962842662718</v>
      </c>
      <c r="AN1761" s="31">
        <v>202.58182099515972</v>
      </c>
      <c r="AO1761" s="31">
        <v>206.63345741506291</v>
      </c>
      <c r="AP1761" s="31">
        <v>210.76612656336417</v>
      </c>
      <c r="AQ1761" s="31">
        <v>210.76612656336417</v>
      </c>
      <c r="AR1761" s="31">
        <v>210.76612656336417</v>
      </c>
      <c r="AS1761" s="31">
        <v>210.76612656336417</v>
      </c>
      <c r="AT1761" s="2"/>
      <c r="AU1761" s="2"/>
    </row>
    <row r="1762" spans="1:47" hidden="1" outlineLevel="1">
      <c r="A1762" s="298"/>
      <c r="B1762" s="241" t="s">
        <v>1099</v>
      </c>
      <c r="C1762" s="18" t="s">
        <v>733</v>
      </c>
      <c r="D1762" s="18"/>
      <c r="E1762" s="18"/>
      <c r="F1762" s="18"/>
      <c r="G1762" s="18"/>
      <c r="H1762" s="18"/>
      <c r="I1762" s="18"/>
      <c r="J1762" s="18"/>
      <c r="K1762" s="7"/>
      <c r="L1762" s="7"/>
      <c r="M1762" s="7"/>
      <c r="N1762" s="7"/>
      <c r="O1762" s="7"/>
      <c r="P1762" s="7"/>
      <c r="Q1762" s="7"/>
      <c r="R1762" s="7"/>
      <c r="S1762" s="7"/>
      <c r="T1762" s="7"/>
      <c r="U1762" s="7">
        <v>-0.10349178000046722</v>
      </c>
      <c r="V1762" s="7">
        <v>7.6447339950366233E-2</v>
      </c>
      <c r="W1762" s="7">
        <v>-4.5880811309016556E-2</v>
      </c>
      <c r="X1762" s="7">
        <v>2.5764034316502205E-2</v>
      </c>
      <c r="Y1762" s="102">
        <v>-0.17437621445755325</v>
      </c>
      <c r="Z1762" s="557">
        <v>0.02</v>
      </c>
      <c r="AA1762" s="557">
        <v>0.02</v>
      </c>
      <c r="AB1762" s="557">
        <v>0.02</v>
      </c>
      <c r="AC1762" s="557">
        <v>0.02</v>
      </c>
      <c r="AD1762" s="557">
        <v>0.02</v>
      </c>
      <c r="AE1762" s="557">
        <v>0.02</v>
      </c>
      <c r="AF1762" s="557">
        <v>0.02</v>
      </c>
      <c r="AG1762" s="557">
        <v>0.02</v>
      </c>
      <c r="AH1762" s="557">
        <v>0.02</v>
      </c>
      <c r="AI1762" s="87">
        <v>0.02</v>
      </c>
      <c r="AJ1762" s="87">
        <v>0.02</v>
      </c>
      <c r="AK1762" s="87">
        <v>0.02</v>
      </c>
      <c r="AL1762" s="87">
        <v>0.02</v>
      </c>
      <c r="AM1762" s="87">
        <v>0.02</v>
      </c>
      <c r="AN1762" s="87">
        <v>0.02</v>
      </c>
      <c r="AO1762" s="88">
        <v>0.02</v>
      </c>
      <c r="AP1762" s="88">
        <v>0.02</v>
      </c>
      <c r="AQ1762" s="88">
        <v>0.02</v>
      </c>
      <c r="AR1762" s="88">
        <v>0.02</v>
      </c>
      <c r="AS1762" s="88">
        <v>0.02</v>
      </c>
      <c r="AT1762" s="2"/>
      <c r="AU1762" s="2"/>
    </row>
    <row r="1763" spans="1:47" hidden="1" outlineLevel="1">
      <c r="A1763" s="298"/>
      <c r="B1763" s="2"/>
      <c r="C1763" s="18"/>
      <c r="D1763" s="18"/>
      <c r="E1763" s="18"/>
      <c r="F1763" s="18"/>
      <c r="G1763" s="18"/>
      <c r="H1763" s="18"/>
      <c r="I1763" s="18"/>
      <c r="J1763" s="18"/>
      <c r="K1763" s="7"/>
      <c r="L1763" s="7"/>
      <c r="M1763" s="7"/>
      <c r="N1763" s="7"/>
      <c r="O1763" s="7"/>
      <c r="P1763" s="7"/>
      <c r="Q1763" s="7"/>
      <c r="R1763" s="7"/>
      <c r="S1763" s="7"/>
      <c r="T1763" s="7"/>
      <c r="U1763" s="7"/>
      <c r="V1763" s="7"/>
      <c r="W1763" s="7"/>
      <c r="X1763" s="7"/>
      <c r="Y1763" s="7"/>
      <c r="Z1763" s="7"/>
      <c r="AA1763" s="7"/>
      <c r="AB1763" s="7"/>
      <c r="AC1763" s="7"/>
      <c r="AD1763" s="7"/>
      <c r="AE1763" s="7"/>
      <c r="AF1763" s="7"/>
      <c r="AG1763" s="7"/>
      <c r="AH1763" s="7"/>
      <c r="AI1763" s="7"/>
      <c r="AJ1763" s="7"/>
      <c r="AK1763" s="7"/>
      <c r="AL1763" s="7"/>
      <c r="AM1763" s="7"/>
      <c r="AN1763" s="7"/>
      <c r="AO1763" s="7"/>
      <c r="AP1763" s="7"/>
      <c r="AQ1763" s="7"/>
      <c r="AR1763" s="7"/>
      <c r="AS1763" s="7"/>
      <c r="AT1763" s="2"/>
      <c r="AU1763" s="2"/>
    </row>
    <row r="1764" spans="1:47" hidden="1" outlineLevel="1">
      <c r="A1764" s="298"/>
      <c r="B1764" s="6" t="s">
        <v>159</v>
      </c>
      <c r="C1764" s="18"/>
      <c r="D1764" s="18"/>
      <c r="E1764" s="18"/>
      <c r="F1764" s="18"/>
      <c r="G1764" s="18"/>
      <c r="H1764" s="18"/>
      <c r="I1764" s="18"/>
      <c r="J1764" s="18"/>
      <c r="K1764" s="7"/>
      <c r="L1764" s="7"/>
      <c r="M1764" s="7"/>
      <c r="N1764" s="7"/>
      <c r="O1764" s="7"/>
      <c r="P1764" s="7"/>
      <c r="Q1764" s="7"/>
      <c r="R1764" s="7"/>
      <c r="S1764" s="7"/>
      <c r="T1764" s="7"/>
      <c r="U1764" s="7"/>
      <c r="V1764" s="7"/>
      <c r="W1764" s="7"/>
      <c r="X1764" s="7"/>
      <c r="Y1764" s="7"/>
      <c r="Z1764" s="7"/>
      <c r="AA1764" s="7"/>
      <c r="AB1764" s="7"/>
      <c r="AC1764" s="7"/>
      <c r="AD1764" s="7"/>
      <c r="AE1764" s="7"/>
      <c r="AF1764" s="7"/>
      <c r="AG1764" s="7"/>
      <c r="AH1764" s="7"/>
      <c r="AI1764" s="7"/>
      <c r="AJ1764" s="7"/>
      <c r="AK1764" s="7"/>
      <c r="AL1764" s="7"/>
      <c r="AM1764" s="7"/>
      <c r="AN1764" s="7"/>
      <c r="AO1764" s="7"/>
      <c r="AP1764" s="7"/>
      <c r="AQ1764" s="7"/>
      <c r="AR1764" s="7"/>
      <c r="AS1764" s="7"/>
      <c r="AT1764" s="2"/>
      <c r="AU1764" s="2"/>
    </row>
    <row r="1765" spans="1:47" hidden="1" outlineLevel="1">
      <c r="A1765" s="298"/>
      <c r="B1765" s="55" t="s">
        <v>160</v>
      </c>
      <c r="C1765" s="18" t="s">
        <v>162</v>
      </c>
      <c r="D1765" s="18"/>
      <c r="E1765" s="18"/>
      <c r="F1765" s="18"/>
      <c r="G1765" s="18"/>
      <c r="H1765" s="18"/>
      <c r="I1765" s="18"/>
      <c r="J1765" s="18"/>
      <c r="K1765" s="7"/>
      <c r="L1765" s="42"/>
      <c r="M1765" s="42">
        <v>4.1046296296296294</v>
      </c>
      <c r="N1765" s="42">
        <v>4.6519823788546253</v>
      </c>
      <c r="O1765" s="42">
        <v>5.5399449035812669</v>
      </c>
      <c r="P1765" s="42">
        <v>5.869209809264305</v>
      </c>
      <c r="Q1765" s="42">
        <v>5.8204819277108433</v>
      </c>
      <c r="R1765" s="42">
        <v>6.109</v>
      </c>
      <c r="S1765" s="42">
        <v>6.9738276990185391</v>
      </c>
      <c r="T1765" s="42">
        <v>5.7381193124368046</v>
      </c>
      <c r="U1765" s="42">
        <v>6.8649350649350653</v>
      </c>
      <c r="V1765" s="42">
        <v>7.735872235872236</v>
      </c>
      <c r="W1765" s="42">
        <v>8.0116279069767433</v>
      </c>
      <c r="X1765" s="42">
        <v>7.9643916913946589</v>
      </c>
      <c r="Y1765" s="136">
        <v>7.101435406698565</v>
      </c>
      <c r="Z1765" s="137">
        <v>7.101435406698565</v>
      </c>
      <c r="AA1765" s="137">
        <v>7.101435406698565</v>
      </c>
      <c r="AB1765" s="137">
        <v>7.101435406698565</v>
      </c>
      <c r="AC1765" s="137">
        <v>7.101435406698565</v>
      </c>
      <c r="AD1765" s="137">
        <v>7.101435406698565</v>
      </c>
      <c r="AE1765" s="137">
        <v>7.101435406698565</v>
      </c>
      <c r="AF1765" s="137">
        <v>7.101435406698565</v>
      </c>
      <c r="AG1765" s="137">
        <v>7.101435406698565</v>
      </c>
      <c r="AH1765" s="137">
        <v>7.101435406698565</v>
      </c>
      <c r="AI1765" s="137">
        <v>7.101435406698565</v>
      </c>
      <c r="AJ1765" s="137">
        <v>7.101435406698565</v>
      </c>
      <c r="AK1765" s="137">
        <v>7.101435406698565</v>
      </c>
      <c r="AL1765" s="137">
        <v>7.101435406698565</v>
      </c>
      <c r="AM1765" s="137">
        <v>7.101435406698565</v>
      </c>
      <c r="AN1765" s="137">
        <v>7.101435406698565</v>
      </c>
      <c r="AO1765" s="138">
        <v>7.101435406698565</v>
      </c>
      <c r="AP1765" s="138">
        <v>7.101435406698565</v>
      </c>
      <c r="AQ1765" s="138">
        <v>7.101435406698565</v>
      </c>
      <c r="AR1765" s="138">
        <v>7.101435406698565</v>
      </c>
      <c r="AS1765" s="138">
        <v>7.101435406698565</v>
      </c>
      <c r="AT1765" s="2"/>
      <c r="AU1765" s="2"/>
    </row>
    <row r="1766" spans="1:47" hidden="1" outlineLevel="1">
      <c r="A1766" s="298"/>
      <c r="B1766" s="2"/>
      <c r="C1766" s="18"/>
      <c r="D1766" s="18"/>
      <c r="E1766" s="18"/>
      <c r="F1766" s="18"/>
      <c r="G1766" s="18"/>
      <c r="H1766" s="18"/>
      <c r="I1766" s="18"/>
      <c r="J1766" s="18"/>
      <c r="K1766" s="7"/>
      <c r="L1766" s="7"/>
      <c r="M1766" s="7"/>
      <c r="N1766" s="7"/>
      <c r="O1766" s="7"/>
      <c r="P1766" s="7"/>
      <c r="Q1766" s="7"/>
      <c r="R1766" s="7"/>
      <c r="S1766" s="7"/>
      <c r="T1766" s="7"/>
      <c r="U1766" s="7"/>
      <c r="V1766" s="7"/>
      <c r="W1766" s="7"/>
      <c r="X1766" s="7"/>
      <c r="Y1766" s="7"/>
      <c r="Z1766" s="7"/>
      <c r="AA1766" s="7"/>
      <c r="AB1766" s="7"/>
      <c r="AC1766" s="7"/>
      <c r="AD1766" s="7"/>
      <c r="AE1766" s="7"/>
      <c r="AF1766" s="7"/>
      <c r="AG1766" s="7"/>
      <c r="AH1766" s="7"/>
      <c r="AI1766" s="7"/>
      <c r="AJ1766" s="7"/>
      <c r="AK1766" s="7"/>
      <c r="AL1766" s="7"/>
      <c r="AM1766" s="7"/>
      <c r="AN1766" s="7"/>
      <c r="AO1766" s="7"/>
      <c r="AP1766" s="7"/>
      <c r="AQ1766" s="7"/>
      <c r="AR1766" s="7"/>
      <c r="AS1766" s="7"/>
      <c r="AT1766" s="2"/>
      <c r="AU1766" s="2"/>
    </row>
    <row r="1767" spans="1:47" hidden="1" outlineLevel="1">
      <c r="A1767" s="298"/>
      <c r="B1767" s="215" t="s">
        <v>161</v>
      </c>
      <c r="C1767" s="169" t="s">
        <v>732</v>
      </c>
      <c r="D1767" s="169"/>
      <c r="E1767" s="169"/>
      <c r="F1767" s="169"/>
      <c r="G1767" s="169"/>
      <c r="H1767" s="169"/>
      <c r="I1767" s="169"/>
      <c r="J1767" s="169"/>
      <c r="K1767" s="26"/>
      <c r="L1767" s="555">
        <v>492</v>
      </c>
      <c r="M1767" s="555">
        <v>1080</v>
      </c>
      <c r="N1767" s="555">
        <v>908</v>
      </c>
      <c r="O1767" s="555">
        <v>726</v>
      </c>
      <c r="P1767" s="555">
        <v>734</v>
      </c>
      <c r="Q1767" s="555">
        <v>830</v>
      </c>
      <c r="R1767" s="555">
        <v>1000</v>
      </c>
      <c r="S1767" s="555">
        <v>917</v>
      </c>
      <c r="T1767" s="555">
        <v>989</v>
      </c>
      <c r="U1767" s="555">
        <v>770</v>
      </c>
      <c r="V1767" s="555">
        <v>814</v>
      </c>
      <c r="W1767" s="554">
        <v>860</v>
      </c>
      <c r="X1767" s="554">
        <v>1011</v>
      </c>
      <c r="Y1767" s="554">
        <v>1045</v>
      </c>
      <c r="Z1767" s="214">
        <v>1149.8540562248998</v>
      </c>
      <c r="AA1767" s="214">
        <v>1219.4791215903613</v>
      </c>
      <c r="AB1767" s="214">
        <v>1268.5622551414265</v>
      </c>
      <c r="AC1767" s="214">
        <v>1306.8728352466978</v>
      </c>
      <c r="AD1767" s="214">
        <v>1346.340394871148</v>
      </c>
      <c r="AE1767" s="214">
        <v>1386.9998747962566</v>
      </c>
      <c r="AF1767" s="214">
        <v>1428.8872710151034</v>
      </c>
      <c r="AG1767" s="214">
        <v>1472.0396665997598</v>
      </c>
      <c r="AH1767" s="214">
        <v>1516.4952645310723</v>
      </c>
      <c r="AI1767" s="214">
        <v>1562.2934215199109</v>
      </c>
      <c r="AJ1767" s="214">
        <v>1609.4746828498121</v>
      </c>
      <c r="AK1767" s="214">
        <v>1658.0808182718763</v>
      </c>
      <c r="AL1767" s="214">
        <v>1708.1548589836868</v>
      </c>
      <c r="AM1767" s="214">
        <v>1759.7411357249946</v>
      </c>
      <c r="AN1767" s="214">
        <v>1812.8853180238891</v>
      </c>
      <c r="AO1767" s="214">
        <v>1867.6344546282105</v>
      </c>
      <c r="AP1767" s="214">
        <v>1924.0370151579825</v>
      </c>
      <c r="AQ1767" s="214">
        <v>1924.0370151579825</v>
      </c>
      <c r="AR1767" s="214">
        <v>1924.0370151579825</v>
      </c>
      <c r="AS1767" s="214">
        <v>1924.0370151579825</v>
      </c>
      <c r="AT1767" s="2"/>
      <c r="AU1767" s="2"/>
    </row>
    <row r="1768" spans="1:47" hidden="1" outlineLevel="1">
      <c r="A1768" s="298"/>
      <c r="B1768" s="241" t="s">
        <v>1099</v>
      </c>
      <c r="C1768" s="18" t="s">
        <v>733</v>
      </c>
      <c r="D1768" s="18"/>
      <c r="E1768" s="18"/>
      <c r="F1768" s="18"/>
      <c r="G1768" s="18"/>
      <c r="H1768" s="18"/>
      <c r="I1768" s="18"/>
      <c r="J1768" s="18"/>
      <c r="K1768" s="7"/>
      <c r="L1768" s="7"/>
      <c r="M1768" s="7">
        <v>1.1951219512195124</v>
      </c>
      <c r="N1768" s="7">
        <v>-0.15925925925925921</v>
      </c>
      <c r="O1768" s="7">
        <v>-0.20044052863436124</v>
      </c>
      <c r="P1768" s="7">
        <v>1.1019283746556363E-2</v>
      </c>
      <c r="Q1768" s="7">
        <v>0.13079019073569476</v>
      </c>
      <c r="R1768" s="7">
        <v>0.20481927710843384</v>
      </c>
      <c r="S1768" s="7">
        <v>-8.2999999999999963E-2</v>
      </c>
      <c r="T1768" s="7">
        <v>7.8516902944383959E-2</v>
      </c>
      <c r="U1768" s="7">
        <v>-0.2214357937310415</v>
      </c>
      <c r="V1768" s="7">
        <v>5.7142857142857162E-2</v>
      </c>
      <c r="W1768" s="7">
        <v>5.6511056511056479E-2</v>
      </c>
      <c r="X1768" s="7">
        <v>0.17558139534883721</v>
      </c>
      <c r="Y1768" s="7">
        <v>3.3630069238377747E-2</v>
      </c>
      <c r="Z1768" s="7">
        <v>0.10033880978459297</v>
      </c>
      <c r="AA1768" s="7">
        <v>6.0551219512194887E-2</v>
      </c>
      <c r="AB1768" s="7">
        <v>4.0249261083743937E-2</v>
      </c>
      <c r="AC1768" s="7">
        <v>3.0200000000000227E-2</v>
      </c>
      <c r="AD1768" s="7">
        <v>3.0199999999999783E-2</v>
      </c>
      <c r="AE1768" s="7">
        <v>3.0200000000000005E-2</v>
      </c>
      <c r="AF1768" s="7">
        <v>3.0199999999999783E-2</v>
      </c>
      <c r="AG1768" s="7">
        <v>3.0200000000000227E-2</v>
      </c>
      <c r="AH1768" s="7">
        <v>3.0199999999999783E-2</v>
      </c>
      <c r="AI1768" s="7">
        <v>3.0200000000000227E-2</v>
      </c>
      <c r="AJ1768" s="7">
        <v>3.0200000000000005E-2</v>
      </c>
      <c r="AK1768" s="7">
        <v>3.0200000000000005E-2</v>
      </c>
      <c r="AL1768" s="7">
        <v>3.0200000000000005E-2</v>
      </c>
      <c r="AM1768" s="7">
        <v>3.0200000000000227E-2</v>
      </c>
      <c r="AN1768" s="7">
        <v>3.0199999999999783E-2</v>
      </c>
      <c r="AO1768" s="7">
        <v>3.0200000000000005E-2</v>
      </c>
      <c r="AP1768" s="7">
        <v>3.0200000000000005E-2</v>
      </c>
      <c r="AQ1768" s="7">
        <v>3.0200000000000005E-2</v>
      </c>
      <c r="AR1768" s="7">
        <v>3.0200000000000005E-2</v>
      </c>
      <c r="AS1768" s="7">
        <v>3.0200000000000005E-2</v>
      </c>
      <c r="AT1768" s="2"/>
      <c r="AU1768" s="2"/>
    </row>
    <row r="1769" spans="1:47" hidden="1" outlineLevel="1">
      <c r="A1769" s="298"/>
      <c r="B1769" s="55"/>
      <c r="C1769" s="18"/>
      <c r="D1769" s="18"/>
      <c r="E1769" s="18"/>
      <c r="F1769" s="18"/>
      <c r="G1769" s="18"/>
      <c r="H1769" s="18"/>
      <c r="I1769" s="18"/>
      <c r="J1769" s="18"/>
      <c r="K1769" s="7"/>
      <c r="L1769" s="7"/>
      <c r="M1769" s="7"/>
      <c r="N1769" s="7"/>
      <c r="O1769" s="7"/>
      <c r="P1769" s="7"/>
      <c r="Q1769" s="7"/>
      <c r="R1769" s="7"/>
      <c r="S1769" s="7"/>
      <c r="T1769" s="7"/>
      <c r="U1769" s="7"/>
      <c r="V1769" s="7"/>
      <c r="W1769" s="7"/>
      <c r="X1769" s="7"/>
      <c r="Y1769" s="7"/>
      <c r="Z1769" s="7"/>
      <c r="AA1769" s="7"/>
      <c r="AB1769" s="7"/>
      <c r="AC1769" s="7"/>
      <c r="AD1769" s="7"/>
      <c r="AE1769" s="7"/>
      <c r="AF1769" s="7"/>
      <c r="AG1769" s="7"/>
      <c r="AH1769" s="7"/>
      <c r="AI1769" s="7"/>
      <c r="AJ1769" s="7"/>
      <c r="AK1769" s="7"/>
      <c r="AL1769" s="7"/>
      <c r="AM1769" s="7"/>
      <c r="AN1769" s="7"/>
      <c r="AO1769" s="7"/>
      <c r="AP1769" s="7"/>
      <c r="AQ1769" s="7"/>
      <c r="AR1769" s="7"/>
      <c r="AS1769" s="7"/>
      <c r="AT1769" s="2"/>
      <c r="AU1769" s="2"/>
    </row>
    <row r="1770" spans="1:47" hidden="1" outlineLevel="1">
      <c r="A1770" s="298"/>
      <c r="B1770" s="2" t="s">
        <v>687</v>
      </c>
      <c r="C1770" s="18" t="s">
        <v>281</v>
      </c>
      <c r="D1770" s="18"/>
      <c r="E1770" s="18"/>
      <c r="F1770" s="18"/>
      <c r="G1770" s="18"/>
      <c r="H1770" s="18"/>
      <c r="I1770" s="18"/>
      <c r="J1770" s="18"/>
      <c r="K1770" s="7"/>
      <c r="L1770" s="7"/>
      <c r="M1770" s="7"/>
      <c r="N1770" s="7"/>
      <c r="O1770" s="7"/>
      <c r="P1770" s="7"/>
      <c r="Q1770" s="7"/>
      <c r="R1770" s="7"/>
      <c r="S1770" s="7"/>
      <c r="T1770" s="7"/>
      <c r="U1770" s="7"/>
      <c r="V1770" s="7"/>
      <c r="W1770" s="7"/>
      <c r="X1770" s="7"/>
      <c r="Y1770" s="42">
        <v>787.626112759644</v>
      </c>
      <c r="Z1770" s="42">
        <v>827.89492048192778</v>
      </c>
      <c r="AA1770" s="42">
        <v>878.02496754506012</v>
      </c>
      <c r="AB1770" s="42">
        <v>913.36482370182705</v>
      </c>
      <c r="AC1770" s="42">
        <v>940.94844137762243</v>
      </c>
      <c r="AD1770" s="42">
        <v>969.36508430722654</v>
      </c>
      <c r="AE1770" s="42">
        <v>998.63990985330474</v>
      </c>
      <c r="AF1770" s="42">
        <v>1028.7988351308743</v>
      </c>
      <c r="AG1770" s="42">
        <v>1059.8685599518271</v>
      </c>
      <c r="AH1770" s="42">
        <v>1091.876590462372</v>
      </c>
      <c r="AI1770" s="42">
        <v>1124.8512634943359</v>
      </c>
      <c r="AJ1770" s="42">
        <v>1158.8217716518648</v>
      </c>
      <c r="AK1770" s="42">
        <v>1193.8181891557508</v>
      </c>
      <c r="AL1770" s="42">
        <v>1229.8714984682545</v>
      </c>
      <c r="AM1770" s="42">
        <v>1267.0136177219961</v>
      </c>
      <c r="AN1770" s="42">
        <v>1305.2774289772001</v>
      </c>
      <c r="AO1770" s="42">
        <v>1344.6968073323114</v>
      </c>
      <c r="AP1770" s="42">
        <v>1385.3066509137475</v>
      </c>
      <c r="AQ1770" s="42">
        <v>1385.3066509137475</v>
      </c>
      <c r="AR1770" s="42">
        <v>1385.3066509137475</v>
      </c>
      <c r="AS1770" s="42">
        <v>1385.3066509137475</v>
      </c>
      <c r="AT1770" s="2"/>
      <c r="AU1770" s="2"/>
    </row>
    <row r="1771" spans="1:47" hidden="1" outlineLevel="1">
      <c r="A1771" s="298"/>
      <c r="B1771" s="2"/>
      <c r="C1771" s="18"/>
      <c r="D1771" s="18"/>
      <c r="E1771" s="18"/>
      <c r="F1771" s="18"/>
      <c r="G1771" s="18"/>
      <c r="H1771" s="18"/>
      <c r="I1771" s="18"/>
      <c r="J1771" s="18"/>
      <c r="K1771" s="7"/>
      <c r="L1771" s="7"/>
      <c r="M1771" s="7"/>
      <c r="N1771" s="7"/>
      <c r="O1771" s="7"/>
      <c r="P1771" s="7"/>
      <c r="Q1771" s="7"/>
      <c r="R1771" s="7"/>
      <c r="S1771" s="7"/>
      <c r="T1771" s="7"/>
      <c r="U1771" s="7"/>
      <c r="V1771" s="7"/>
      <c r="W1771" s="7"/>
      <c r="X1771" s="7"/>
      <c r="Y1771" s="7"/>
      <c r="Z1771" s="7"/>
      <c r="AA1771" s="7"/>
      <c r="AB1771" s="7"/>
      <c r="AC1771" s="7"/>
      <c r="AD1771" s="7"/>
      <c r="AE1771" s="7"/>
      <c r="AF1771" s="7"/>
      <c r="AG1771" s="7"/>
      <c r="AH1771" s="7"/>
      <c r="AI1771" s="7"/>
      <c r="AJ1771" s="7"/>
      <c r="AK1771" s="7"/>
      <c r="AL1771" s="7"/>
      <c r="AM1771" s="7"/>
      <c r="AN1771" s="7"/>
      <c r="AO1771" s="7"/>
      <c r="AP1771" s="7"/>
      <c r="AQ1771" s="7"/>
      <c r="AR1771" s="7"/>
      <c r="AS1771" s="7"/>
      <c r="AT1771" s="2"/>
      <c r="AU1771" s="2"/>
    </row>
    <row r="1772" spans="1:47" hidden="1" outlineLevel="1">
      <c r="A1772" s="298"/>
      <c r="B1772" s="6" t="s">
        <v>734</v>
      </c>
      <c r="C1772" s="18" t="s">
        <v>155</v>
      </c>
      <c r="D1772" s="18"/>
      <c r="E1772" s="18"/>
      <c r="F1772" s="18"/>
      <c r="G1772" s="18"/>
      <c r="H1772" s="18"/>
      <c r="I1772" s="18"/>
      <c r="J1772" s="18"/>
      <c r="K1772" s="31"/>
      <c r="L1772" s="31"/>
      <c r="M1772" s="31"/>
      <c r="N1772" s="536">
        <v>1614</v>
      </c>
      <c r="O1772" s="536">
        <v>1293</v>
      </c>
      <c r="P1772" s="536">
        <v>1272</v>
      </c>
      <c r="Q1772" s="536">
        <v>1390</v>
      </c>
      <c r="R1772" s="536">
        <v>1740</v>
      </c>
      <c r="S1772" s="536">
        <v>1830</v>
      </c>
      <c r="T1772" s="536">
        <v>1387</v>
      </c>
      <c r="U1772" s="536">
        <v>1480</v>
      </c>
      <c r="V1772" s="536">
        <v>1345</v>
      </c>
      <c r="W1772" s="536">
        <v>1790</v>
      </c>
      <c r="X1772" s="536">
        <v>2057</v>
      </c>
      <c r="Y1772" s="31">
        <v>1827.7240356083087</v>
      </c>
      <c r="Z1772" s="31">
        <v>2286.3720060752107</v>
      </c>
      <c r="AA1772" s="31">
        <v>2424.8146193016078</v>
      </c>
      <c r="AB1772" s="31">
        <v>2522.4116159935575</v>
      </c>
      <c r="AC1772" s="31">
        <v>2598.5884467965639</v>
      </c>
      <c r="AD1772" s="31">
        <v>2677.0658178898193</v>
      </c>
      <c r="AE1772" s="31">
        <v>2757.9132055900918</v>
      </c>
      <c r="AF1772" s="31">
        <v>2841.2021843989123</v>
      </c>
      <c r="AG1772" s="31">
        <v>2927.0064903677603</v>
      </c>
      <c r="AH1772" s="31">
        <v>3015.402086376866</v>
      </c>
      <c r="AI1772" s="31">
        <v>3106.4672293854478</v>
      </c>
      <c r="AJ1772" s="31">
        <v>3200.2825397128881</v>
      </c>
      <c r="AK1772" s="31">
        <v>3296.9310724122174</v>
      </c>
      <c r="AL1772" s="31">
        <v>3396.4983907990659</v>
      </c>
      <c r="AM1772" s="31">
        <v>3499.0726422011985</v>
      </c>
      <c r="AN1772" s="31">
        <v>3604.7446359956739</v>
      </c>
      <c r="AO1772" s="31">
        <v>3713.6079240027429</v>
      </c>
      <c r="AP1772" s="31">
        <v>3825.7588833076261</v>
      </c>
      <c r="AQ1772" s="31">
        <v>3825.7588833076261</v>
      </c>
      <c r="AR1772" s="31">
        <v>3825.7588833076261</v>
      </c>
      <c r="AS1772" s="31">
        <v>3825.7588833076261</v>
      </c>
      <c r="AT1772" s="2"/>
      <c r="AU1772" s="2"/>
    </row>
    <row r="1773" spans="1:47" hidden="1" outlineLevel="1">
      <c r="A1773" s="298"/>
      <c r="B1773" s="6" t="s">
        <v>734</v>
      </c>
      <c r="C1773" s="18" t="s">
        <v>281</v>
      </c>
      <c r="D1773" s="18"/>
      <c r="E1773" s="18"/>
      <c r="F1773" s="18"/>
      <c r="G1773" s="18"/>
      <c r="H1773" s="18"/>
      <c r="I1773" s="18"/>
      <c r="J1773" s="18"/>
      <c r="K1773" s="31"/>
      <c r="L1773" s="31"/>
      <c r="M1773" s="31"/>
      <c r="N1773" s="31">
        <v>346.94886363636368</v>
      </c>
      <c r="O1773" s="31">
        <v>233.39582297364495</v>
      </c>
      <c r="P1773" s="31">
        <v>216.72423398328692</v>
      </c>
      <c r="Q1773" s="31">
        <v>238.81184019871662</v>
      </c>
      <c r="R1773" s="31">
        <v>284.82566704861682</v>
      </c>
      <c r="S1773" s="31">
        <v>262.40969507427678</v>
      </c>
      <c r="T1773" s="31">
        <v>241.71682819383261</v>
      </c>
      <c r="U1773" s="31">
        <v>215.58834657586075</v>
      </c>
      <c r="V1773" s="31">
        <v>173.86533269811019</v>
      </c>
      <c r="W1773" s="31">
        <v>223.42525399129175</v>
      </c>
      <c r="X1773" s="31">
        <v>258.27459016393442</v>
      </c>
      <c r="Y1773" s="31">
        <v>257.37388724035605</v>
      </c>
      <c r="Z1773" s="31">
        <v>321.95913574297197</v>
      </c>
      <c r="AA1773" s="31">
        <v>341.45415404530115</v>
      </c>
      <c r="AB1773" s="31">
        <v>355.19743143959943</v>
      </c>
      <c r="AC1773" s="31">
        <v>365.92439386907546</v>
      </c>
      <c r="AD1773" s="31">
        <v>376.97531056392143</v>
      </c>
      <c r="AE1773" s="31">
        <v>388.35996494295188</v>
      </c>
      <c r="AF1773" s="31">
        <v>400.088435884229</v>
      </c>
      <c r="AG1773" s="31">
        <v>412.17110664793279</v>
      </c>
      <c r="AH1773" s="31">
        <v>424.61867406870027</v>
      </c>
      <c r="AI1773" s="31">
        <v>437.44215802557511</v>
      </c>
      <c r="AJ1773" s="31">
        <v>450.65291119794745</v>
      </c>
      <c r="AK1773" s="31">
        <v>464.26262911612548</v>
      </c>
      <c r="AL1773" s="31">
        <v>478.28336051543238</v>
      </c>
      <c r="AM1773" s="31">
        <v>492.72751800299852</v>
      </c>
      <c r="AN1773" s="31">
        <v>507.60788904668897</v>
      </c>
      <c r="AO1773" s="31">
        <v>522.93764729589896</v>
      </c>
      <c r="AP1773" s="31">
        <v>538.73036424423515</v>
      </c>
      <c r="AQ1773" s="31">
        <v>538.73036424423515</v>
      </c>
      <c r="AR1773" s="31">
        <v>538.73036424423515</v>
      </c>
      <c r="AS1773" s="31">
        <v>538.73036424423515</v>
      </c>
      <c r="AT1773" s="2"/>
      <c r="AU1773" s="2"/>
    </row>
    <row r="1774" spans="1:47" hidden="1" outlineLevel="1">
      <c r="A1774" s="298"/>
      <c r="B1774" s="6" t="s">
        <v>794</v>
      </c>
      <c r="C1774" s="18" t="s">
        <v>281</v>
      </c>
      <c r="D1774" s="18"/>
      <c r="E1774" s="18"/>
      <c r="F1774" s="18"/>
      <c r="G1774" s="18"/>
      <c r="H1774" s="18"/>
      <c r="I1774" s="18"/>
      <c r="J1774" s="18"/>
      <c r="K1774" s="31"/>
      <c r="L1774" s="31"/>
      <c r="M1774" s="31"/>
      <c r="N1774" s="101"/>
      <c r="O1774" s="101"/>
      <c r="P1774" s="536">
        <v>217</v>
      </c>
      <c r="Q1774" s="536">
        <v>240</v>
      </c>
      <c r="R1774" s="536">
        <v>283</v>
      </c>
      <c r="S1774" s="536">
        <v>262</v>
      </c>
      <c r="T1774" s="536">
        <v>239</v>
      </c>
      <c r="U1774" s="536">
        <v>217</v>
      </c>
      <c r="V1774" s="536">
        <v>176</v>
      </c>
      <c r="W1774" s="536">
        <v>223</v>
      </c>
      <c r="X1774" s="536">
        <v>249</v>
      </c>
      <c r="Y1774" s="42"/>
      <c r="Z1774" s="42"/>
      <c r="AA1774" s="42"/>
      <c r="AB1774" s="42"/>
      <c r="AC1774" s="42"/>
      <c r="AD1774" s="42"/>
      <c r="AE1774" s="42"/>
      <c r="AF1774" s="42"/>
      <c r="AG1774" s="42"/>
      <c r="AH1774" s="42"/>
      <c r="AI1774" s="42"/>
      <c r="AJ1774" s="42"/>
      <c r="AK1774" s="42"/>
      <c r="AL1774" s="42"/>
      <c r="AM1774" s="42"/>
      <c r="AN1774" s="42"/>
      <c r="AO1774" s="42"/>
      <c r="AP1774" s="42"/>
      <c r="AQ1774" s="42"/>
      <c r="AR1774" s="42"/>
      <c r="AS1774" s="42"/>
      <c r="AT1774" s="2"/>
      <c r="AU1774" s="2"/>
    </row>
    <row r="1775" spans="1:47" hidden="1" outlineLevel="1">
      <c r="A1775" s="298"/>
      <c r="B1775" s="55"/>
      <c r="C1775" s="18"/>
      <c r="D1775" s="18"/>
      <c r="E1775" s="18"/>
      <c r="F1775" s="18"/>
      <c r="G1775" s="18"/>
      <c r="H1775" s="18"/>
      <c r="I1775" s="18"/>
      <c r="J1775" s="18"/>
      <c r="K1775" s="42"/>
      <c r="L1775" s="42"/>
      <c r="M1775" s="42"/>
      <c r="N1775" s="42"/>
      <c r="O1775" s="42"/>
      <c r="P1775" s="42"/>
      <c r="Q1775" s="42"/>
      <c r="R1775" s="42"/>
      <c r="S1775" s="42"/>
      <c r="T1775" s="42"/>
      <c r="U1775" s="42"/>
      <c r="V1775" s="42"/>
      <c r="W1775" s="42"/>
      <c r="X1775" s="42"/>
      <c r="Y1775" s="42"/>
      <c r="Z1775" s="42"/>
      <c r="AA1775" s="42"/>
      <c r="AB1775" s="42"/>
      <c r="AC1775" s="42"/>
      <c r="AD1775" s="42"/>
      <c r="AE1775" s="42"/>
      <c r="AF1775" s="42"/>
      <c r="AG1775" s="42"/>
      <c r="AH1775" s="42"/>
      <c r="AI1775" s="42"/>
      <c r="AJ1775" s="42"/>
      <c r="AK1775" s="42"/>
      <c r="AL1775" s="42"/>
      <c r="AM1775" s="42"/>
      <c r="AN1775" s="42"/>
      <c r="AO1775" s="42"/>
      <c r="AP1775" s="42"/>
      <c r="AQ1775" s="42"/>
      <c r="AR1775" s="42"/>
      <c r="AS1775" s="42"/>
      <c r="AT1775" s="2"/>
      <c r="AU1775" s="2"/>
    </row>
    <row r="1776" spans="1:47" hidden="1" outlineLevel="1">
      <c r="A1776" s="298"/>
      <c r="B1776" s="2" t="s">
        <v>795</v>
      </c>
      <c r="C1776" s="18" t="s">
        <v>733</v>
      </c>
      <c r="D1776" s="18"/>
      <c r="E1776" s="18"/>
      <c r="F1776" s="18"/>
      <c r="G1776" s="18"/>
      <c r="H1776" s="18"/>
      <c r="I1776" s="18"/>
      <c r="J1776" s="18"/>
      <c r="K1776" s="7"/>
      <c r="L1776" s="7"/>
      <c r="M1776" s="7"/>
      <c r="N1776" s="7">
        <v>0.38210227272727271</v>
      </c>
      <c r="O1776" s="7">
        <v>0.32148184982595723</v>
      </c>
      <c r="P1776" s="7">
        <v>0.29564032697547682</v>
      </c>
      <c r="Q1776" s="7">
        <v>0.28915662650602408</v>
      </c>
      <c r="R1776" s="7">
        <v>0.28299999999999997</v>
      </c>
      <c r="S1776" s="7">
        <v>0.2857142857142857</v>
      </c>
      <c r="T1776" s="7">
        <v>0.2416582406471183</v>
      </c>
      <c r="U1776" s="7">
        <v>0.2818181818181818</v>
      </c>
      <c r="V1776" s="7">
        <v>0.21621621621621623</v>
      </c>
      <c r="W1776" s="7">
        <v>0.25930232558139538</v>
      </c>
      <c r="X1776" s="102">
        <v>0.24629080118694363</v>
      </c>
      <c r="Y1776" s="87">
        <v>0.24629080118694363</v>
      </c>
      <c r="Z1776" s="557">
        <v>0.28000000000000003</v>
      </c>
      <c r="AA1776" s="87">
        <v>0.28000000000000003</v>
      </c>
      <c r="AB1776" s="87">
        <v>0.28000000000000003</v>
      </c>
      <c r="AC1776" s="87">
        <v>0.28000000000000003</v>
      </c>
      <c r="AD1776" s="87">
        <v>0.28000000000000003</v>
      </c>
      <c r="AE1776" s="87">
        <v>0.28000000000000003</v>
      </c>
      <c r="AF1776" s="87">
        <v>0.28000000000000003</v>
      </c>
      <c r="AG1776" s="87">
        <v>0.28000000000000003</v>
      </c>
      <c r="AH1776" s="87">
        <v>0.28000000000000003</v>
      </c>
      <c r="AI1776" s="87">
        <v>0.28000000000000003</v>
      </c>
      <c r="AJ1776" s="87">
        <v>0.28000000000000003</v>
      </c>
      <c r="AK1776" s="87">
        <v>0.28000000000000003</v>
      </c>
      <c r="AL1776" s="87">
        <v>0.28000000000000003</v>
      </c>
      <c r="AM1776" s="87">
        <v>0.28000000000000003</v>
      </c>
      <c r="AN1776" s="87">
        <v>0.28000000000000003</v>
      </c>
      <c r="AO1776" s="88">
        <v>0.28000000000000003</v>
      </c>
      <c r="AP1776" s="88">
        <v>0.28000000000000003</v>
      </c>
      <c r="AQ1776" s="88">
        <v>0.28000000000000003</v>
      </c>
      <c r="AR1776" s="88">
        <v>0.28000000000000003</v>
      </c>
      <c r="AS1776" s="88">
        <v>0.28000000000000003</v>
      </c>
      <c r="AT1776" s="2"/>
      <c r="AU1776" s="2"/>
    </row>
    <row r="1777" spans="1:47" hidden="1" outlineLevel="1">
      <c r="A1777" s="298"/>
      <c r="B1777" s="2" t="s">
        <v>796</v>
      </c>
      <c r="C1777" s="18" t="s">
        <v>733</v>
      </c>
      <c r="D1777" s="18"/>
      <c r="E1777" s="18"/>
      <c r="F1777" s="18"/>
      <c r="G1777" s="18"/>
      <c r="H1777" s="18"/>
      <c r="I1777" s="18"/>
      <c r="J1777" s="18"/>
      <c r="K1777" s="7"/>
      <c r="L1777" s="7"/>
      <c r="M1777" s="7"/>
      <c r="N1777" s="7">
        <v>0.38210227272727276</v>
      </c>
      <c r="O1777" s="7">
        <v>0.32148184982595723</v>
      </c>
      <c r="P1777" s="7">
        <v>0.29526462395543179</v>
      </c>
      <c r="Q1777" s="7">
        <v>0.28772510867315254</v>
      </c>
      <c r="R1777" s="7">
        <v>0.28482566704861684</v>
      </c>
      <c r="S1777" s="7">
        <v>0.28616106333072716</v>
      </c>
      <c r="T1777" s="7">
        <v>0.24440528634361236</v>
      </c>
      <c r="U1777" s="7">
        <v>0.27998486568293607</v>
      </c>
      <c r="V1777" s="7">
        <v>0.21359377481340319</v>
      </c>
      <c r="W1777" s="7">
        <v>0.25979680696661833</v>
      </c>
      <c r="X1777" s="7">
        <v>0.25546448087431695</v>
      </c>
      <c r="Y1777" s="7">
        <v>0.2462908011869436</v>
      </c>
      <c r="Z1777" s="7">
        <v>0.28000000000000003</v>
      </c>
      <c r="AA1777" s="7">
        <v>0.27999999999999997</v>
      </c>
      <c r="AB1777" s="7">
        <v>0.28000000000000003</v>
      </c>
      <c r="AC1777" s="7">
        <v>0.28000000000000003</v>
      </c>
      <c r="AD1777" s="7">
        <v>0.27999999999999997</v>
      </c>
      <c r="AE1777" s="7">
        <v>0.28000000000000003</v>
      </c>
      <c r="AF1777" s="7">
        <v>0.28000000000000003</v>
      </c>
      <c r="AG1777" s="7">
        <v>0.28000000000000003</v>
      </c>
      <c r="AH1777" s="7">
        <v>0.28000000000000003</v>
      </c>
      <c r="AI1777" s="7">
        <v>0.28000000000000003</v>
      </c>
      <c r="AJ1777" s="7">
        <v>0.28000000000000003</v>
      </c>
      <c r="AK1777" s="7">
        <v>0.28000000000000008</v>
      </c>
      <c r="AL1777" s="7">
        <v>0.28000000000000003</v>
      </c>
      <c r="AM1777" s="7">
        <v>0.28000000000000003</v>
      </c>
      <c r="AN1777" s="7">
        <v>0.28000000000000003</v>
      </c>
      <c r="AO1777" s="7">
        <v>0.28000000000000003</v>
      </c>
      <c r="AP1777" s="7">
        <v>0.28000000000000003</v>
      </c>
      <c r="AQ1777" s="7">
        <v>0.28000000000000003</v>
      </c>
      <c r="AR1777" s="7">
        <v>0.28000000000000003</v>
      </c>
      <c r="AS1777" s="7">
        <v>0.28000000000000003</v>
      </c>
      <c r="AT1777" s="2"/>
      <c r="AU1777" s="2"/>
    </row>
    <row r="1778" spans="1:47" ht="14.4" hidden="1" outlineLevel="1" thickBot="1">
      <c r="A1778" s="298"/>
      <c r="B1778" s="76"/>
      <c r="C1778" s="78"/>
      <c r="D1778" s="78"/>
      <c r="E1778" s="78"/>
      <c r="F1778" s="78"/>
      <c r="G1778" s="78"/>
      <c r="H1778" s="78"/>
      <c r="I1778" s="78"/>
      <c r="J1778" s="78"/>
      <c r="K1778" s="108"/>
      <c r="L1778" s="108"/>
      <c r="M1778" s="108"/>
      <c r="N1778" s="108"/>
      <c r="O1778" s="108"/>
      <c r="P1778" s="108"/>
      <c r="Q1778" s="108"/>
      <c r="R1778" s="108"/>
      <c r="S1778" s="108"/>
      <c r="T1778" s="108"/>
      <c r="U1778" s="108"/>
      <c r="V1778" s="108"/>
      <c r="W1778" s="108"/>
      <c r="X1778" s="108"/>
      <c r="Y1778" s="108"/>
      <c r="Z1778" s="108"/>
      <c r="AA1778" s="108"/>
      <c r="AB1778" s="108"/>
      <c r="AC1778" s="108"/>
      <c r="AD1778" s="108"/>
      <c r="AE1778" s="108"/>
      <c r="AF1778" s="108"/>
      <c r="AG1778" s="108"/>
      <c r="AH1778" s="108"/>
      <c r="AI1778" s="108"/>
      <c r="AJ1778" s="108"/>
      <c r="AK1778" s="108"/>
      <c r="AL1778" s="108"/>
      <c r="AM1778" s="108"/>
      <c r="AN1778" s="108"/>
      <c r="AO1778" s="108"/>
      <c r="AP1778" s="108"/>
      <c r="AQ1778" s="108"/>
      <c r="AR1778" s="108"/>
      <c r="AS1778" s="108"/>
      <c r="AT1778" s="2"/>
      <c r="AU1778" s="2"/>
    </row>
    <row r="1779" spans="1:47" hidden="1" outlineLevel="1">
      <c r="A1779" s="298"/>
      <c r="B1779" s="2"/>
      <c r="C1779" s="18"/>
      <c r="D1779" s="18"/>
      <c r="E1779" s="18"/>
      <c r="F1779" s="18"/>
      <c r="G1779" s="18"/>
      <c r="H1779" s="18"/>
      <c r="I1779" s="18"/>
      <c r="J1779" s="18"/>
      <c r="K1779" s="7"/>
      <c r="L1779" s="7"/>
      <c r="M1779" s="7"/>
      <c r="N1779" s="7"/>
      <c r="O1779" s="7"/>
      <c r="P1779" s="7"/>
      <c r="Q1779" s="7"/>
      <c r="R1779" s="7"/>
      <c r="S1779" s="7"/>
      <c r="T1779" s="7"/>
      <c r="U1779" s="7"/>
      <c r="V1779" s="7"/>
      <c r="W1779" s="7"/>
      <c r="X1779" s="7"/>
      <c r="Y1779" s="7"/>
      <c r="Z1779" s="7"/>
      <c r="AA1779" s="7"/>
      <c r="AB1779" s="7"/>
      <c r="AC1779" s="7"/>
      <c r="AD1779" s="7"/>
      <c r="AE1779" s="7"/>
      <c r="AF1779" s="7"/>
      <c r="AG1779" s="7"/>
      <c r="AH1779" s="7"/>
      <c r="AI1779" s="7"/>
      <c r="AJ1779" s="7"/>
      <c r="AK1779" s="7"/>
      <c r="AL1779" s="7"/>
      <c r="AM1779" s="7"/>
      <c r="AN1779" s="7"/>
      <c r="AO1779" s="7"/>
      <c r="AP1779" s="7"/>
      <c r="AQ1779" s="7"/>
      <c r="AR1779" s="7"/>
      <c r="AS1779" s="7"/>
      <c r="AT1779" s="2"/>
      <c r="AU1779" s="2"/>
    </row>
    <row r="1780" spans="1:47" ht="15.6" hidden="1" outlineLevel="1">
      <c r="A1780" s="298"/>
      <c r="B1780" s="237" t="s">
        <v>770</v>
      </c>
      <c r="C1780" s="238"/>
      <c r="D1780" s="239"/>
      <c r="E1780" s="239"/>
      <c r="F1780" s="239"/>
      <c r="G1780" s="239"/>
      <c r="H1780" s="239"/>
      <c r="I1780" s="239"/>
      <c r="J1780" s="239"/>
      <c r="K1780" s="239"/>
      <c r="L1780" s="239"/>
      <c r="M1780" s="239"/>
      <c r="N1780" s="239"/>
      <c r="O1780" s="239"/>
      <c r="P1780" s="239"/>
      <c r="Q1780" s="239"/>
      <c r="R1780" s="239"/>
      <c r="S1780" s="239"/>
      <c r="T1780" s="239"/>
      <c r="U1780" s="239"/>
      <c r="V1780" s="239"/>
      <c r="W1780" s="239"/>
      <c r="X1780" s="239"/>
      <c r="Y1780" s="239"/>
      <c r="Z1780" s="239"/>
      <c r="AA1780" s="239"/>
      <c r="AB1780" s="239"/>
      <c r="AC1780" s="239"/>
      <c r="AD1780" s="239"/>
      <c r="AE1780" s="239"/>
      <c r="AF1780" s="239"/>
      <c r="AG1780" s="239"/>
      <c r="AH1780" s="239"/>
      <c r="AI1780" s="239"/>
      <c r="AJ1780" s="239"/>
      <c r="AK1780" s="239"/>
      <c r="AL1780" s="239"/>
      <c r="AM1780" s="239"/>
      <c r="AN1780" s="239"/>
      <c r="AO1780" s="270"/>
      <c r="AP1780" s="240"/>
      <c r="AQ1780" s="240"/>
      <c r="AR1780" s="240"/>
      <c r="AS1780" s="240"/>
      <c r="AT1780" s="2"/>
      <c r="AU1780" s="2"/>
    </row>
    <row r="1781" spans="1:47" hidden="1" outlineLevel="1">
      <c r="A1781" s="298"/>
      <c r="B1781" s="2"/>
      <c r="C1781" s="18"/>
      <c r="D1781" s="18"/>
      <c r="E1781" s="18"/>
      <c r="F1781" s="18"/>
      <c r="G1781" s="18"/>
      <c r="H1781" s="18"/>
      <c r="I1781" s="18"/>
      <c r="J1781" s="18"/>
      <c r="K1781" s="7"/>
      <c r="L1781" s="7"/>
      <c r="M1781" s="7"/>
      <c r="N1781" s="7"/>
      <c r="O1781" s="7"/>
      <c r="P1781" s="7"/>
      <c r="Q1781" s="7"/>
      <c r="R1781" s="7"/>
      <c r="S1781" s="7"/>
      <c r="T1781" s="7"/>
      <c r="U1781" s="7"/>
      <c r="V1781" s="7"/>
      <c r="W1781" s="7"/>
      <c r="X1781" s="7"/>
      <c r="Y1781" s="7"/>
      <c r="Z1781" s="7"/>
      <c r="AA1781" s="7"/>
      <c r="AB1781" s="7"/>
      <c r="AC1781" s="7"/>
      <c r="AD1781" s="7"/>
      <c r="AE1781" s="7"/>
      <c r="AF1781" s="7"/>
      <c r="AG1781" s="7"/>
      <c r="AH1781" s="7"/>
      <c r="AI1781" s="7"/>
      <c r="AJ1781" s="7"/>
      <c r="AK1781" s="7"/>
      <c r="AL1781" s="7"/>
      <c r="AM1781" s="7"/>
      <c r="AN1781" s="7"/>
      <c r="AO1781" s="7"/>
      <c r="AP1781" s="7"/>
      <c r="AQ1781" s="7"/>
      <c r="AR1781" s="7"/>
      <c r="AS1781" s="7"/>
      <c r="AT1781" s="2"/>
      <c r="AU1781" s="2"/>
    </row>
    <row r="1782" spans="1:47" hidden="1" outlineLevel="1">
      <c r="A1782" s="298"/>
      <c r="B1782" s="215" t="s">
        <v>76</v>
      </c>
      <c r="C1782" s="169" t="s">
        <v>732</v>
      </c>
      <c r="D1782" s="169"/>
      <c r="E1782" s="169"/>
      <c r="F1782" s="169"/>
      <c r="G1782" s="169"/>
      <c r="H1782" s="169"/>
      <c r="I1782" s="169"/>
      <c r="J1782" s="169"/>
      <c r="K1782" s="26"/>
      <c r="L1782" s="26"/>
      <c r="M1782" s="26"/>
      <c r="N1782" s="555">
        <v>64</v>
      </c>
      <c r="O1782" s="555">
        <v>150</v>
      </c>
      <c r="P1782" s="555">
        <v>252</v>
      </c>
      <c r="Q1782" s="555">
        <v>295</v>
      </c>
      <c r="R1782" s="555">
        <v>348</v>
      </c>
      <c r="S1782" s="555">
        <v>346</v>
      </c>
      <c r="T1782" s="555">
        <v>390</v>
      </c>
      <c r="U1782" s="555">
        <v>293</v>
      </c>
      <c r="V1782" s="555">
        <v>299</v>
      </c>
      <c r="W1782" s="225">
        <v>304.98</v>
      </c>
      <c r="X1782" s="225">
        <v>335.47800000000007</v>
      </c>
      <c r="Y1782" s="592">
        <v>397</v>
      </c>
      <c r="Z1782" s="225">
        <v>456.54999999999995</v>
      </c>
      <c r="AA1782" s="225">
        <v>502.20499999999998</v>
      </c>
      <c r="AB1782" s="225">
        <v>527.31524999999999</v>
      </c>
      <c r="AC1782" s="225">
        <v>543.13470749999999</v>
      </c>
      <c r="AD1782" s="225">
        <v>559.42874872499999</v>
      </c>
      <c r="AE1782" s="225">
        <v>576.21161118675002</v>
      </c>
      <c r="AF1782" s="225">
        <v>593.49795952235252</v>
      </c>
      <c r="AG1782" s="225">
        <v>611.30289830802315</v>
      </c>
      <c r="AH1782" s="225">
        <v>629.64198525726385</v>
      </c>
      <c r="AI1782" s="225">
        <v>648.53124481498173</v>
      </c>
      <c r="AJ1782" s="225">
        <v>667.9871821594312</v>
      </c>
      <c r="AK1782" s="225">
        <v>688.02679762421417</v>
      </c>
      <c r="AL1782" s="225">
        <v>708.6676015529406</v>
      </c>
      <c r="AM1782" s="225">
        <v>729.92762959952881</v>
      </c>
      <c r="AN1782" s="225">
        <v>751.82545848751465</v>
      </c>
      <c r="AO1782" s="225">
        <v>774.38022224214012</v>
      </c>
      <c r="AP1782" s="225">
        <v>797.61162890940432</v>
      </c>
      <c r="AQ1782" s="225">
        <v>797.61162890940432</v>
      </c>
      <c r="AR1782" s="225">
        <v>797.61162890940432</v>
      </c>
      <c r="AS1782" s="225">
        <v>797.61162890940432</v>
      </c>
      <c r="AT1782" s="2"/>
      <c r="AU1782" s="2"/>
    </row>
    <row r="1783" spans="1:47" hidden="1" outlineLevel="1">
      <c r="A1783" s="298"/>
      <c r="B1783" s="241" t="s">
        <v>1099</v>
      </c>
      <c r="C1783" s="18" t="s">
        <v>733</v>
      </c>
      <c r="D1783" s="18"/>
      <c r="E1783" s="18"/>
      <c r="F1783" s="18"/>
      <c r="G1783" s="18"/>
      <c r="H1783" s="18"/>
      <c r="I1783" s="18"/>
      <c r="J1783" s="18"/>
      <c r="K1783" s="7"/>
      <c r="L1783" s="7"/>
      <c r="M1783" s="7"/>
      <c r="N1783" s="7"/>
      <c r="O1783" s="7">
        <v>1.34375</v>
      </c>
      <c r="P1783" s="7">
        <v>0.67999999999999994</v>
      </c>
      <c r="Q1783" s="7">
        <v>0.17063492063492069</v>
      </c>
      <c r="R1783" s="7">
        <v>0.1796610169491526</v>
      </c>
      <c r="S1783" s="7">
        <v>-5.7471264367816577E-3</v>
      </c>
      <c r="T1783" s="7">
        <v>0.12716763005780352</v>
      </c>
      <c r="U1783" s="7">
        <v>-0.24871794871794872</v>
      </c>
      <c r="V1783" s="7">
        <v>2.0477815699658786E-2</v>
      </c>
      <c r="W1783" s="559">
        <v>0.02</v>
      </c>
      <c r="X1783" s="557">
        <v>0.1</v>
      </c>
      <c r="Y1783" s="557">
        <v>0.2</v>
      </c>
      <c r="Z1783" s="557">
        <v>0.15</v>
      </c>
      <c r="AA1783" s="557">
        <v>0.1</v>
      </c>
      <c r="AB1783" s="557">
        <v>0.05</v>
      </c>
      <c r="AC1783" s="557">
        <v>0.03</v>
      </c>
      <c r="AD1783" s="557">
        <v>0.03</v>
      </c>
      <c r="AE1783" s="557">
        <v>0.03</v>
      </c>
      <c r="AF1783" s="557">
        <v>0.03</v>
      </c>
      <c r="AG1783" s="557">
        <v>0.03</v>
      </c>
      <c r="AH1783" s="557">
        <v>0.03</v>
      </c>
      <c r="AI1783" s="557">
        <v>0.03</v>
      </c>
      <c r="AJ1783" s="557">
        <v>0.03</v>
      </c>
      <c r="AK1783" s="557">
        <v>0.03</v>
      </c>
      <c r="AL1783" s="557">
        <v>0.03</v>
      </c>
      <c r="AM1783" s="557">
        <v>0.03</v>
      </c>
      <c r="AN1783" s="557">
        <v>0.03</v>
      </c>
      <c r="AO1783" s="575">
        <v>0.03</v>
      </c>
      <c r="AP1783" s="575">
        <v>0.03</v>
      </c>
      <c r="AQ1783" s="575">
        <v>0.03</v>
      </c>
      <c r="AR1783" s="575">
        <v>0.03</v>
      </c>
      <c r="AS1783" s="575">
        <v>0.03</v>
      </c>
      <c r="AT1783" s="2"/>
      <c r="AU1783" s="2"/>
    </row>
    <row r="1784" spans="1:47" ht="14.4" hidden="1" outlineLevel="1" thickBot="1">
      <c r="A1784" s="298"/>
      <c r="B1784" s="76"/>
      <c r="C1784" s="78"/>
      <c r="D1784" s="78"/>
      <c r="E1784" s="78"/>
      <c r="F1784" s="78"/>
      <c r="G1784" s="78"/>
      <c r="H1784" s="78"/>
      <c r="I1784" s="78"/>
      <c r="J1784" s="78"/>
      <c r="K1784" s="108"/>
      <c r="L1784" s="108"/>
      <c r="M1784" s="108"/>
      <c r="N1784" s="108"/>
      <c r="O1784" s="108"/>
      <c r="P1784" s="108"/>
      <c r="Q1784" s="108"/>
      <c r="R1784" s="108"/>
      <c r="S1784" s="108"/>
      <c r="T1784" s="108"/>
      <c r="U1784" s="108"/>
      <c r="V1784" s="108"/>
      <c r="W1784" s="108"/>
      <c r="X1784" s="108"/>
      <c r="Y1784" s="108"/>
      <c r="Z1784" s="108"/>
      <c r="AA1784" s="108"/>
      <c r="AB1784" s="108"/>
      <c r="AC1784" s="108"/>
      <c r="AD1784" s="108"/>
      <c r="AE1784" s="108"/>
      <c r="AF1784" s="108"/>
      <c r="AG1784" s="108"/>
      <c r="AH1784" s="108"/>
      <c r="AI1784" s="108"/>
      <c r="AJ1784" s="108"/>
      <c r="AK1784" s="108"/>
      <c r="AL1784" s="108"/>
      <c r="AM1784" s="108"/>
      <c r="AN1784" s="108"/>
      <c r="AO1784" s="108"/>
      <c r="AP1784" s="108"/>
      <c r="AQ1784" s="108"/>
      <c r="AR1784" s="108"/>
      <c r="AS1784" s="108"/>
      <c r="AT1784" s="2"/>
      <c r="AU1784" s="2"/>
    </row>
    <row r="1785" spans="1:47" hidden="1" outlineLevel="1">
      <c r="A1785" s="298"/>
      <c r="B1785" s="2"/>
      <c r="C1785" s="18"/>
      <c r="D1785" s="18"/>
      <c r="E1785" s="18"/>
      <c r="F1785" s="18"/>
      <c r="G1785" s="18"/>
      <c r="H1785" s="18"/>
      <c r="I1785" s="18"/>
      <c r="J1785" s="18"/>
      <c r="K1785" s="7"/>
      <c r="L1785" s="7"/>
      <c r="M1785" s="7"/>
      <c r="N1785" s="7"/>
      <c r="O1785" s="7"/>
      <c r="P1785" s="7"/>
      <c r="Q1785" s="7"/>
      <c r="R1785" s="7"/>
      <c r="S1785" s="7"/>
      <c r="T1785" s="7"/>
      <c r="U1785" s="7"/>
      <c r="V1785" s="7"/>
      <c r="W1785" s="7"/>
      <c r="X1785" s="7"/>
      <c r="Y1785" s="7"/>
      <c r="Z1785" s="7"/>
      <c r="AA1785" s="7"/>
      <c r="AB1785" s="7"/>
      <c r="AC1785" s="7"/>
      <c r="AD1785" s="7"/>
      <c r="AE1785" s="7"/>
      <c r="AF1785" s="7"/>
      <c r="AG1785" s="7"/>
      <c r="AH1785" s="7"/>
      <c r="AI1785" s="7"/>
      <c r="AJ1785" s="7"/>
      <c r="AK1785" s="7"/>
      <c r="AL1785" s="7"/>
      <c r="AM1785" s="7"/>
      <c r="AN1785" s="7"/>
      <c r="AO1785" s="7"/>
      <c r="AP1785" s="7"/>
      <c r="AQ1785" s="7"/>
      <c r="AR1785" s="7"/>
      <c r="AS1785" s="7"/>
      <c r="AT1785" s="2"/>
      <c r="AU1785" s="2"/>
    </row>
    <row r="1786" spans="1:47" ht="15.6" hidden="1" outlineLevel="1">
      <c r="A1786" s="298"/>
      <c r="B1786" s="237" t="s">
        <v>783</v>
      </c>
      <c r="C1786" s="238"/>
      <c r="D1786" s="239"/>
      <c r="E1786" s="239"/>
      <c r="F1786" s="239"/>
      <c r="G1786" s="239"/>
      <c r="H1786" s="239"/>
      <c r="I1786" s="239"/>
      <c r="J1786" s="239"/>
      <c r="K1786" s="239"/>
      <c r="L1786" s="239"/>
      <c r="M1786" s="239"/>
      <c r="N1786" s="239"/>
      <c r="O1786" s="239"/>
      <c r="P1786" s="239"/>
      <c r="Q1786" s="239"/>
      <c r="R1786" s="239"/>
      <c r="S1786" s="239"/>
      <c r="T1786" s="239"/>
      <c r="U1786" s="239"/>
      <c r="V1786" s="239"/>
      <c r="W1786" s="239"/>
      <c r="X1786" s="239"/>
      <c r="Y1786" s="239"/>
      <c r="Z1786" s="239"/>
      <c r="AA1786" s="239"/>
      <c r="AB1786" s="239"/>
      <c r="AC1786" s="239"/>
      <c r="AD1786" s="239"/>
      <c r="AE1786" s="239"/>
      <c r="AF1786" s="239"/>
      <c r="AG1786" s="239"/>
      <c r="AH1786" s="239"/>
      <c r="AI1786" s="239"/>
      <c r="AJ1786" s="239"/>
      <c r="AK1786" s="239"/>
      <c r="AL1786" s="239"/>
      <c r="AM1786" s="239"/>
      <c r="AN1786" s="239"/>
      <c r="AO1786" s="270"/>
      <c r="AP1786" s="240"/>
      <c r="AQ1786" s="240"/>
      <c r="AR1786" s="240"/>
      <c r="AS1786" s="240"/>
      <c r="AT1786" s="2"/>
      <c r="AU1786" s="2"/>
    </row>
    <row r="1787" spans="1:47" hidden="1" outlineLevel="1">
      <c r="A1787" s="298"/>
      <c r="B1787" s="2"/>
      <c r="C1787" s="18"/>
      <c r="D1787" s="18"/>
      <c r="E1787" s="18"/>
      <c r="F1787" s="18"/>
      <c r="G1787" s="18"/>
      <c r="H1787" s="18"/>
      <c r="I1787" s="18"/>
      <c r="J1787" s="18"/>
      <c r="K1787" s="7"/>
      <c r="L1787" s="7"/>
      <c r="M1787" s="7"/>
      <c r="N1787" s="7"/>
      <c r="O1787" s="7"/>
      <c r="P1787" s="7"/>
      <c r="Q1787" s="7"/>
      <c r="R1787" s="7"/>
      <c r="S1787" s="7"/>
      <c r="T1787" s="7"/>
      <c r="U1787" s="7"/>
      <c r="V1787" s="7"/>
      <c r="W1787" s="7"/>
      <c r="X1787" s="7"/>
      <c r="Y1787" s="7"/>
      <c r="Z1787" s="7"/>
      <c r="AA1787" s="7"/>
      <c r="AB1787" s="7"/>
      <c r="AC1787" s="7"/>
      <c r="AD1787" s="7"/>
      <c r="AE1787" s="7"/>
      <c r="AF1787" s="7"/>
      <c r="AG1787" s="7"/>
      <c r="AH1787" s="7"/>
      <c r="AI1787" s="7"/>
      <c r="AJ1787" s="7"/>
      <c r="AK1787" s="7"/>
      <c r="AL1787" s="7"/>
      <c r="AM1787" s="7"/>
      <c r="AN1787" s="7"/>
      <c r="AO1787" s="7"/>
      <c r="AP1787" s="7"/>
      <c r="AQ1787" s="7"/>
      <c r="AR1787" s="7"/>
      <c r="AS1787" s="7"/>
      <c r="AT1787" s="2"/>
      <c r="AU1787" s="2"/>
    </row>
    <row r="1788" spans="1:47" hidden="1" outlineLevel="1">
      <c r="A1788" s="298"/>
      <c r="B1788" s="6" t="s">
        <v>731</v>
      </c>
      <c r="C1788" s="18"/>
      <c r="D1788" s="18"/>
      <c r="E1788" s="18"/>
      <c r="F1788" s="18"/>
      <c r="G1788" s="18"/>
      <c r="H1788" s="18"/>
      <c r="I1788" s="18"/>
      <c r="J1788" s="18"/>
      <c r="K1788" s="7"/>
      <c r="L1788" s="7"/>
      <c r="M1788" s="7"/>
      <c r="N1788" s="7"/>
      <c r="O1788" s="7"/>
      <c r="P1788" s="7"/>
      <c r="Q1788" s="7"/>
      <c r="R1788" s="7"/>
      <c r="S1788" s="7"/>
      <c r="T1788" s="7"/>
      <c r="U1788" s="7"/>
      <c r="V1788" s="7"/>
      <c r="W1788" s="7"/>
      <c r="X1788" s="7"/>
      <c r="Y1788" s="7"/>
      <c r="Z1788" s="7"/>
      <c r="AA1788" s="7"/>
      <c r="AB1788" s="7"/>
      <c r="AC1788" s="7"/>
      <c r="AD1788" s="7"/>
      <c r="AE1788" s="7"/>
      <c r="AF1788" s="7"/>
      <c r="AG1788" s="7"/>
      <c r="AH1788" s="7"/>
      <c r="AI1788" s="7"/>
      <c r="AJ1788" s="7"/>
      <c r="AK1788" s="7"/>
      <c r="AL1788" s="7"/>
      <c r="AM1788" s="7"/>
      <c r="AN1788" s="7"/>
      <c r="AO1788" s="7"/>
      <c r="AP1788" s="7"/>
      <c r="AQ1788" s="7"/>
      <c r="AR1788" s="7"/>
      <c r="AS1788" s="7"/>
      <c r="AT1788" s="2"/>
      <c r="AU1788" s="2"/>
    </row>
    <row r="1789" spans="1:47" hidden="1" outlineLevel="1">
      <c r="A1789" s="298"/>
      <c r="B1789" s="226" t="s">
        <v>154</v>
      </c>
      <c r="C1789" s="45" t="s">
        <v>732</v>
      </c>
      <c r="D1789" s="45"/>
      <c r="E1789" s="45"/>
      <c r="F1789" s="45"/>
      <c r="G1789" s="45"/>
      <c r="H1789" s="45"/>
      <c r="I1789" s="45"/>
      <c r="J1789" s="45"/>
      <c r="K1789" s="26"/>
      <c r="L1789" s="227"/>
      <c r="M1789" s="593">
        <v>294</v>
      </c>
      <c r="N1789" s="593">
        <v>548</v>
      </c>
      <c r="O1789" s="593">
        <v>574</v>
      </c>
      <c r="P1789" s="593">
        <v>625</v>
      </c>
      <c r="Q1789" s="593">
        <v>620</v>
      </c>
      <c r="R1789" s="593">
        <v>573</v>
      </c>
      <c r="S1789" s="593">
        <v>562</v>
      </c>
      <c r="T1789" s="593">
        <v>547</v>
      </c>
      <c r="U1789" s="593">
        <v>529</v>
      </c>
      <c r="V1789" s="593">
        <v>516</v>
      </c>
      <c r="W1789" s="592">
        <v>501</v>
      </c>
      <c r="X1789" s="592">
        <v>164</v>
      </c>
      <c r="Y1789" s="592">
        <v>0</v>
      </c>
      <c r="Z1789" s="225">
        <v>0</v>
      </c>
      <c r="AA1789" s="225">
        <v>0</v>
      </c>
      <c r="AB1789" s="225">
        <v>0</v>
      </c>
      <c r="AC1789" s="225">
        <v>0</v>
      </c>
      <c r="AD1789" s="225">
        <v>0</v>
      </c>
      <c r="AE1789" s="225">
        <v>0</v>
      </c>
      <c r="AF1789" s="225">
        <v>0</v>
      </c>
      <c r="AG1789" s="225">
        <v>0</v>
      </c>
      <c r="AH1789" s="225">
        <v>0</v>
      </c>
      <c r="AI1789" s="225">
        <v>0</v>
      </c>
      <c r="AJ1789" s="225">
        <v>0</v>
      </c>
      <c r="AK1789" s="225">
        <v>0</v>
      </c>
      <c r="AL1789" s="225">
        <v>0</v>
      </c>
      <c r="AM1789" s="225">
        <v>0</v>
      </c>
      <c r="AN1789" s="225">
        <v>0</v>
      </c>
      <c r="AO1789" s="225">
        <v>0</v>
      </c>
      <c r="AP1789" s="225">
        <v>0</v>
      </c>
      <c r="AQ1789" s="225">
        <v>0</v>
      </c>
      <c r="AR1789" s="225">
        <v>0</v>
      </c>
      <c r="AS1789" s="225">
        <v>0</v>
      </c>
      <c r="AT1789" s="2"/>
      <c r="AU1789" s="2"/>
    </row>
    <row r="1790" spans="1:47" hidden="1" outlineLevel="1">
      <c r="A1790" s="298"/>
      <c r="B1790" s="241" t="s">
        <v>1099</v>
      </c>
      <c r="C1790" s="18" t="s">
        <v>733</v>
      </c>
      <c r="D1790" s="18"/>
      <c r="E1790" s="18"/>
      <c r="F1790" s="18"/>
      <c r="G1790" s="18"/>
      <c r="H1790" s="18"/>
      <c r="I1790" s="18"/>
      <c r="J1790" s="18"/>
      <c r="K1790" s="7"/>
      <c r="L1790" s="7"/>
      <c r="M1790" s="7"/>
      <c r="N1790" s="7">
        <v>0.86394557823129259</v>
      </c>
      <c r="O1790" s="7">
        <v>4.7445255474452663E-2</v>
      </c>
      <c r="P1790" s="7">
        <v>8.8850174216027922E-2</v>
      </c>
      <c r="Q1790" s="7">
        <v>-8.0000000000000071E-3</v>
      </c>
      <c r="R1790" s="7">
        <v>-7.5806451612903225E-2</v>
      </c>
      <c r="S1790" s="7">
        <v>-1.919720767888311E-2</v>
      </c>
      <c r="T1790" s="7">
        <v>-2.6690391459074703E-2</v>
      </c>
      <c r="U1790" s="7">
        <v>-3.2906764168190161E-2</v>
      </c>
      <c r="V1790" s="7">
        <v>-2.457466918714557E-2</v>
      </c>
      <c r="W1790" s="7">
        <v>-2.9069767441860517E-2</v>
      </c>
      <c r="X1790" s="557">
        <v>-1</v>
      </c>
      <c r="Y1790" s="557">
        <v>-0.02</v>
      </c>
      <c r="Z1790" s="557">
        <v>0.02</v>
      </c>
      <c r="AA1790" s="557">
        <v>0.02</v>
      </c>
      <c r="AB1790" s="557">
        <v>0.02</v>
      </c>
      <c r="AC1790" s="557">
        <v>0.02</v>
      </c>
      <c r="AD1790" s="87">
        <v>0.02</v>
      </c>
      <c r="AE1790" s="87">
        <v>0.02</v>
      </c>
      <c r="AF1790" s="87">
        <v>0.02</v>
      </c>
      <c r="AG1790" s="87">
        <v>0.02</v>
      </c>
      <c r="AH1790" s="87">
        <v>0.02</v>
      </c>
      <c r="AI1790" s="87">
        <v>0.02</v>
      </c>
      <c r="AJ1790" s="87">
        <v>0.02</v>
      </c>
      <c r="AK1790" s="87">
        <v>0.02</v>
      </c>
      <c r="AL1790" s="87">
        <v>0.02</v>
      </c>
      <c r="AM1790" s="87">
        <v>0.02</v>
      </c>
      <c r="AN1790" s="87">
        <v>0.02</v>
      </c>
      <c r="AO1790" s="88">
        <v>0.02</v>
      </c>
      <c r="AP1790" s="88">
        <v>0.02</v>
      </c>
      <c r="AQ1790" s="88">
        <v>0.02</v>
      </c>
      <c r="AR1790" s="88">
        <v>0.02</v>
      </c>
      <c r="AS1790" s="88">
        <v>0.02</v>
      </c>
      <c r="AT1790" s="2"/>
      <c r="AU1790" s="2"/>
    </row>
    <row r="1791" spans="1:47" hidden="1" outlineLevel="1">
      <c r="A1791" s="298"/>
      <c r="B1791" s="2"/>
      <c r="C1791" s="18"/>
      <c r="D1791" s="18"/>
      <c r="E1791" s="18"/>
      <c r="F1791" s="18"/>
      <c r="G1791" s="18"/>
      <c r="H1791" s="18"/>
      <c r="I1791" s="18"/>
      <c r="J1791" s="18"/>
      <c r="K1791" s="7"/>
      <c r="L1791" s="7"/>
      <c r="M1791" s="7"/>
      <c r="N1791" s="7"/>
      <c r="O1791" s="7"/>
      <c r="P1791" s="7"/>
      <c r="Q1791" s="7"/>
      <c r="R1791" s="7"/>
      <c r="S1791" s="7"/>
      <c r="T1791" s="7"/>
      <c r="U1791" s="7"/>
      <c r="V1791" s="7"/>
      <c r="W1791" s="7"/>
      <c r="X1791" s="7"/>
      <c r="Y1791" s="7"/>
      <c r="Z1791" s="7"/>
      <c r="AA1791" s="7"/>
      <c r="AB1791" s="7"/>
      <c r="AC1791" s="7"/>
      <c r="AD1791" s="7"/>
      <c r="AE1791" s="7"/>
      <c r="AF1791" s="7"/>
      <c r="AG1791" s="7"/>
      <c r="AH1791" s="7"/>
      <c r="AI1791" s="7"/>
      <c r="AJ1791" s="7"/>
      <c r="AK1791" s="7"/>
      <c r="AL1791" s="7"/>
      <c r="AM1791" s="7"/>
      <c r="AN1791" s="7"/>
      <c r="AO1791" s="7"/>
      <c r="AP1791" s="7"/>
      <c r="AQ1791" s="7"/>
      <c r="AR1791" s="7"/>
      <c r="AS1791" s="7"/>
      <c r="AT1791" s="2"/>
      <c r="AU1791" s="2"/>
    </row>
    <row r="1792" spans="1:47" hidden="1" outlineLevel="1">
      <c r="A1792" s="298"/>
      <c r="B1792" s="6" t="s">
        <v>734</v>
      </c>
      <c r="C1792" s="18"/>
      <c r="D1792" s="18"/>
      <c r="E1792" s="18"/>
      <c r="F1792" s="18"/>
      <c r="G1792" s="18"/>
      <c r="H1792" s="18"/>
      <c r="I1792" s="18"/>
      <c r="J1792" s="18"/>
      <c r="K1792" s="7"/>
      <c r="L1792" s="7"/>
      <c r="M1792" s="7"/>
      <c r="N1792" s="7"/>
      <c r="O1792" s="7"/>
      <c r="P1792" s="7"/>
      <c r="Q1792" s="7"/>
      <c r="R1792" s="7"/>
      <c r="S1792" s="7"/>
      <c r="T1792" s="7"/>
      <c r="U1792" s="7"/>
      <c r="V1792" s="7"/>
      <c r="W1792" s="7"/>
      <c r="X1792" s="7"/>
      <c r="Y1792" s="7"/>
      <c r="Z1792" s="7"/>
      <c r="AA1792" s="7"/>
      <c r="AB1792" s="7"/>
      <c r="AC1792" s="7"/>
      <c r="AD1792" s="7"/>
      <c r="AE1792" s="7"/>
      <c r="AF1792" s="7"/>
      <c r="AG1792" s="7"/>
      <c r="AH1792" s="7"/>
      <c r="AI1792" s="7"/>
      <c r="AJ1792" s="7"/>
      <c r="AK1792" s="7"/>
      <c r="AL1792" s="7"/>
      <c r="AM1792" s="7"/>
      <c r="AN1792" s="7"/>
      <c r="AO1792" s="7"/>
      <c r="AP1792" s="7"/>
      <c r="AQ1792" s="7"/>
      <c r="AR1792" s="7"/>
      <c r="AS1792" s="7"/>
      <c r="AT1792" s="2"/>
      <c r="AU1792" s="2"/>
    </row>
    <row r="1793" spans="1:47" hidden="1" outlineLevel="1">
      <c r="A1793" s="298"/>
      <c r="B1793" s="55" t="s">
        <v>163</v>
      </c>
      <c r="C1793" s="18" t="s">
        <v>732</v>
      </c>
      <c r="D1793" s="18"/>
      <c r="E1793" s="18"/>
      <c r="F1793" s="18"/>
      <c r="G1793" s="18"/>
      <c r="H1793" s="18"/>
      <c r="I1793" s="18"/>
      <c r="J1793" s="18"/>
      <c r="K1793" s="7"/>
      <c r="L1793" s="7"/>
      <c r="M1793" s="7"/>
      <c r="N1793" s="7"/>
      <c r="O1793" s="7"/>
      <c r="P1793" s="532">
        <v>112</v>
      </c>
      <c r="Q1793" s="532">
        <v>111</v>
      </c>
      <c r="R1793" s="532">
        <v>72</v>
      </c>
      <c r="S1793" s="532">
        <v>107</v>
      </c>
      <c r="T1793" s="532">
        <v>108</v>
      </c>
      <c r="U1793" s="532">
        <v>105</v>
      </c>
      <c r="V1793" s="532">
        <v>84</v>
      </c>
      <c r="W1793" s="536">
        <v>99</v>
      </c>
      <c r="X1793" s="31">
        <v>32.407185628742518</v>
      </c>
      <c r="Y1793" s="31">
        <v>0</v>
      </c>
      <c r="Z1793" s="31">
        <v>0</v>
      </c>
      <c r="AA1793" s="31">
        <v>0</v>
      </c>
      <c r="AB1793" s="31">
        <v>0</v>
      </c>
      <c r="AC1793" s="31">
        <v>0</v>
      </c>
      <c r="AD1793" s="31">
        <v>0</v>
      </c>
      <c r="AE1793" s="31">
        <v>0</v>
      </c>
      <c r="AF1793" s="31">
        <v>0</v>
      </c>
      <c r="AG1793" s="31">
        <v>0</v>
      </c>
      <c r="AH1793" s="31">
        <v>0</v>
      </c>
      <c r="AI1793" s="31">
        <v>0</v>
      </c>
      <c r="AJ1793" s="31">
        <v>0</v>
      </c>
      <c r="AK1793" s="31">
        <v>0</v>
      </c>
      <c r="AL1793" s="31">
        <v>0</v>
      </c>
      <c r="AM1793" s="31">
        <v>0</v>
      </c>
      <c r="AN1793" s="31">
        <v>0</v>
      </c>
      <c r="AO1793" s="31">
        <v>0</v>
      </c>
      <c r="AP1793" s="31">
        <v>0</v>
      </c>
      <c r="AQ1793" s="31">
        <v>0</v>
      </c>
      <c r="AR1793" s="31">
        <v>0</v>
      </c>
      <c r="AS1793" s="31">
        <v>0</v>
      </c>
      <c r="AT1793" s="2"/>
      <c r="AU1793" s="2"/>
    </row>
    <row r="1794" spans="1:47" hidden="1" outlineLevel="1">
      <c r="A1794" s="298"/>
      <c r="B1794" s="241" t="s">
        <v>1099</v>
      </c>
      <c r="C1794" s="18" t="s">
        <v>733</v>
      </c>
      <c r="D1794" s="18"/>
      <c r="E1794" s="18"/>
      <c r="F1794" s="18"/>
      <c r="G1794" s="18"/>
      <c r="H1794" s="18"/>
      <c r="I1794" s="18"/>
      <c r="J1794" s="18"/>
      <c r="K1794" s="7"/>
      <c r="L1794" s="7"/>
      <c r="M1794" s="7"/>
      <c r="N1794" s="7"/>
      <c r="O1794" s="7"/>
      <c r="P1794" s="7"/>
      <c r="Q1794" s="7">
        <v>-8.9285714285713969E-3</v>
      </c>
      <c r="R1794" s="7">
        <v>-0.35135135135135132</v>
      </c>
      <c r="S1794" s="7">
        <v>0.48611111111111116</v>
      </c>
      <c r="T1794" s="7">
        <v>9.3457943925232545E-3</v>
      </c>
      <c r="U1794" s="7">
        <v>-2.777777777777779E-2</v>
      </c>
      <c r="V1794" s="7">
        <v>-0.19999999999999996</v>
      </c>
      <c r="W1794" s="7">
        <v>0.1785714285714286</v>
      </c>
      <c r="X1794" s="7">
        <v>-0.67265469061876249</v>
      </c>
      <c r="Y1794" s="7">
        <v>-1</v>
      </c>
      <c r="Z1794" s="31">
        <v>0</v>
      </c>
      <c r="AA1794" s="31">
        <v>0</v>
      </c>
      <c r="AB1794" s="31">
        <v>0</v>
      </c>
      <c r="AC1794" s="31">
        <v>0</v>
      </c>
      <c r="AD1794" s="31">
        <v>0</v>
      </c>
      <c r="AE1794" s="31">
        <v>0</v>
      </c>
      <c r="AF1794" s="31">
        <v>0</v>
      </c>
      <c r="AG1794" s="31">
        <v>0</v>
      </c>
      <c r="AH1794" s="31">
        <v>0</v>
      </c>
      <c r="AI1794" s="31">
        <v>0</v>
      </c>
      <c r="AJ1794" s="31">
        <v>0</v>
      </c>
      <c r="AK1794" s="31">
        <v>0</v>
      </c>
      <c r="AL1794" s="31">
        <v>0</v>
      </c>
      <c r="AM1794" s="31">
        <v>0</v>
      </c>
      <c r="AN1794" s="31">
        <v>0</v>
      </c>
      <c r="AO1794" s="31">
        <v>0</v>
      </c>
      <c r="AP1794" s="31">
        <v>0</v>
      </c>
      <c r="AQ1794" s="31">
        <v>0</v>
      </c>
      <c r="AR1794" s="31">
        <v>0</v>
      </c>
      <c r="AS1794" s="31">
        <v>0</v>
      </c>
      <c r="AT1794" s="2"/>
      <c r="AU1794" s="2"/>
    </row>
    <row r="1795" spans="1:47" hidden="1" outlineLevel="1">
      <c r="A1795" s="298"/>
      <c r="B1795" s="2"/>
      <c r="C1795" s="18"/>
      <c r="D1795" s="18"/>
      <c r="E1795" s="18"/>
      <c r="F1795" s="18"/>
      <c r="G1795" s="18"/>
      <c r="H1795" s="18"/>
      <c r="I1795" s="18"/>
      <c r="J1795" s="18"/>
      <c r="K1795" s="7"/>
      <c r="L1795" s="7"/>
      <c r="M1795" s="7"/>
      <c r="N1795" s="7"/>
      <c r="O1795" s="7"/>
      <c r="P1795" s="7"/>
      <c r="Q1795" s="7"/>
      <c r="R1795" s="7"/>
      <c r="S1795" s="7"/>
      <c r="T1795" s="7"/>
      <c r="U1795" s="7"/>
      <c r="V1795" s="7"/>
      <c r="W1795" s="7"/>
      <c r="X1795" s="7"/>
      <c r="Y1795" s="7"/>
      <c r="Z1795" s="7"/>
      <c r="AA1795" s="7"/>
      <c r="AB1795" s="7"/>
      <c r="AC1795" s="7"/>
      <c r="AD1795" s="7"/>
      <c r="AE1795" s="7"/>
      <c r="AF1795" s="7"/>
      <c r="AG1795" s="7"/>
      <c r="AH1795" s="7"/>
      <c r="AI1795" s="7"/>
      <c r="AJ1795" s="7"/>
      <c r="AK1795" s="7"/>
      <c r="AL1795" s="7"/>
      <c r="AM1795" s="7"/>
      <c r="AN1795" s="7"/>
      <c r="AO1795" s="7"/>
      <c r="AP1795" s="7"/>
      <c r="AQ1795" s="7"/>
      <c r="AR1795" s="7"/>
      <c r="AS1795" s="7"/>
      <c r="AT1795" s="2"/>
      <c r="AU1795" s="2"/>
    </row>
    <row r="1796" spans="1:47" hidden="1" outlineLevel="1">
      <c r="A1796" s="298"/>
      <c r="B1796" s="2" t="s">
        <v>164</v>
      </c>
      <c r="C1796" s="18" t="s">
        <v>733</v>
      </c>
      <c r="D1796" s="18"/>
      <c r="E1796" s="18"/>
      <c r="F1796" s="18"/>
      <c r="G1796" s="18"/>
      <c r="H1796" s="18"/>
      <c r="I1796" s="18"/>
      <c r="J1796" s="18"/>
      <c r="K1796" s="7"/>
      <c r="L1796" s="7"/>
      <c r="M1796" s="7"/>
      <c r="N1796" s="7"/>
      <c r="O1796" s="7"/>
      <c r="P1796" s="7">
        <v>0.1792</v>
      </c>
      <c r="Q1796" s="7">
        <v>0.17903225806451614</v>
      </c>
      <c r="R1796" s="7">
        <v>0.1256544502617801</v>
      </c>
      <c r="S1796" s="7">
        <v>0.19039145907473309</v>
      </c>
      <c r="T1796" s="7">
        <v>0.19744058500914077</v>
      </c>
      <c r="U1796" s="7">
        <v>0.19848771266540643</v>
      </c>
      <c r="V1796" s="7">
        <v>0.16279069767441862</v>
      </c>
      <c r="W1796" s="102">
        <v>0.19760479041916168</v>
      </c>
      <c r="X1796" s="109">
        <v>0.19760479041916168</v>
      </c>
      <c r="Y1796" s="594">
        <v>0.2</v>
      </c>
      <c r="Z1796" s="594">
        <v>0.2</v>
      </c>
      <c r="AA1796" s="594">
        <v>0.2</v>
      </c>
      <c r="AB1796" s="594">
        <v>0.2</v>
      </c>
      <c r="AC1796" s="594">
        <v>0.2</v>
      </c>
      <c r="AD1796" s="594">
        <v>0.2</v>
      </c>
      <c r="AE1796" s="594">
        <v>0.2</v>
      </c>
      <c r="AF1796" s="594">
        <v>0.2</v>
      </c>
      <c r="AG1796" s="594">
        <v>0.2</v>
      </c>
      <c r="AH1796" s="594">
        <v>0.2</v>
      </c>
      <c r="AI1796" s="594">
        <v>0.2</v>
      </c>
      <c r="AJ1796" s="594">
        <v>0.2</v>
      </c>
      <c r="AK1796" s="594">
        <v>0.2</v>
      </c>
      <c r="AL1796" s="594">
        <v>0.2</v>
      </c>
      <c r="AM1796" s="594">
        <v>0.2</v>
      </c>
      <c r="AN1796" s="594">
        <v>0.2</v>
      </c>
      <c r="AO1796" s="594">
        <v>0.2</v>
      </c>
      <c r="AP1796" s="594">
        <v>0.2</v>
      </c>
      <c r="AQ1796" s="594">
        <v>0.2</v>
      </c>
      <c r="AR1796" s="594">
        <v>0.2</v>
      </c>
      <c r="AS1796" s="594">
        <v>0.2</v>
      </c>
      <c r="AT1796" s="2"/>
      <c r="AU1796" s="2"/>
    </row>
    <row r="1797" spans="1:47" ht="14.4" hidden="1" outlineLevel="1" thickBot="1">
      <c r="A1797" s="298"/>
      <c r="B1797" s="76"/>
      <c r="C1797" s="78"/>
      <c r="D1797" s="78"/>
      <c r="E1797" s="78"/>
      <c r="F1797" s="78"/>
      <c r="G1797" s="78"/>
      <c r="H1797" s="78"/>
      <c r="I1797" s="78"/>
      <c r="J1797" s="78"/>
      <c r="K1797" s="108"/>
      <c r="L1797" s="108"/>
      <c r="M1797" s="108"/>
      <c r="N1797" s="108"/>
      <c r="O1797" s="108"/>
      <c r="P1797" s="108"/>
      <c r="Q1797" s="108"/>
      <c r="R1797" s="108"/>
      <c r="S1797" s="108"/>
      <c r="T1797" s="108"/>
      <c r="U1797" s="108"/>
      <c r="V1797" s="108"/>
      <c r="W1797" s="108"/>
      <c r="X1797" s="108"/>
      <c r="Y1797" s="108"/>
      <c r="Z1797" s="108"/>
      <c r="AA1797" s="108"/>
      <c r="AB1797" s="108"/>
      <c r="AC1797" s="108"/>
      <c r="AD1797" s="108"/>
      <c r="AE1797" s="108"/>
      <c r="AF1797" s="108"/>
      <c r="AG1797" s="108"/>
      <c r="AH1797" s="108"/>
      <c r="AI1797" s="108"/>
      <c r="AJ1797" s="108"/>
      <c r="AK1797" s="108"/>
      <c r="AL1797" s="108"/>
      <c r="AM1797" s="108"/>
      <c r="AN1797" s="108"/>
      <c r="AO1797" s="108"/>
      <c r="AP1797" s="108"/>
      <c r="AQ1797" s="108"/>
      <c r="AR1797" s="108"/>
      <c r="AS1797" s="108"/>
      <c r="AT1797" s="2"/>
      <c r="AU1797" s="2"/>
    </row>
    <row r="1798" spans="1:47" hidden="1" outlineLevel="1">
      <c r="A1798" s="298"/>
      <c r="B1798" s="2"/>
      <c r="C1798" s="18"/>
      <c r="D1798" s="18"/>
      <c r="E1798" s="18"/>
      <c r="F1798" s="18"/>
      <c r="G1798" s="18"/>
      <c r="H1798" s="18"/>
      <c r="I1798" s="18"/>
      <c r="J1798" s="18"/>
      <c r="K1798" s="6"/>
      <c r="L1798" s="6"/>
      <c r="M1798" s="6"/>
      <c r="N1798" s="6"/>
      <c r="O1798" s="6"/>
      <c r="P1798" s="6"/>
      <c r="Q1798" s="6"/>
      <c r="R1798" s="6"/>
      <c r="S1798" s="6"/>
      <c r="T1798" s="2"/>
      <c r="U1798" s="2"/>
      <c r="V1798" s="2"/>
      <c r="W1798" s="2"/>
      <c r="X1798" s="2"/>
      <c r="Y1798" s="2"/>
      <c r="Z1798" s="2"/>
      <c r="AA1798" s="2"/>
      <c r="AB1798" s="2"/>
      <c r="AC1798" s="2"/>
      <c r="AD1798" s="2"/>
      <c r="AE1798" s="2"/>
      <c r="AF1798" s="2"/>
      <c r="AG1798" s="2"/>
      <c r="AH1798" s="2"/>
      <c r="AI1798" s="2"/>
      <c r="AJ1798" s="2"/>
      <c r="AK1798" s="2"/>
      <c r="AL1798" s="2"/>
      <c r="AM1798" s="2"/>
      <c r="AN1798" s="2"/>
      <c r="AO1798" s="2"/>
      <c r="AP1798" s="2"/>
      <c r="AQ1798" s="2"/>
      <c r="AR1798" s="2"/>
      <c r="AS1798" s="2"/>
      <c r="AT1798" s="2"/>
      <c r="AU1798" s="2"/>
    </row>
    <row r="1799" spans="1:47" ht="15.6" hidden="1" outlineLevel="1">
      <c r="A1799" s="298"/>
      <c r="B1799" s="237" t="s">
        <v>969</v>
      </c>
      <c r="C1799" s="238"/>
      <c r="D1799" s="239"/>
      <c r="E1799" s="239"/>
      <c r="F1799" s="239"/>
      <c r="G1799" s="239"/>
      <c r="H1799" s="239"/>
      <c r="I1799" s="239"/>
      <c r="J1799" s="239"/>
      <c r="K1799" s="239"/>
      <c r="L1799" s="239"/>
      <c r="M1799" s="239"/>
      <c r="N1799" s="239"/>
      <c r="O1799" s="239"/>
      <c r="P1799" s="239"/>
      <c r="Q1799" s="239"/>
      <c r="R1799" s="239"/>
      <c r="S1799" s="239"/>
      <c r="T1799" s="239"/>
      <c r="U1799" s="239"/>
      <c r="V1799" s="239"/>
      <c r="W1799" s="239"/>
      <c r="X1799" s="239"/>
      <c r="Y1799" s="239"/>
      <c r="Z1799" s="239"/>
      <c r="AA1799" s="239"/>
      <c r="AB1799" s="239"/>
      <c r="AC1799" s="239"/>
      <c r="AD1799" s="239"/>
      <c r="AE1799" s="239"/>
      <c r="AF1799" s="239"/>
      <c r="AG1799" s="239"/>
      <c r="AH1799" s="239"/>
      <c r="AI1799" s="239"/>
      <c r="AJ1799" s="239"/>
      <c r="AK1799" s="239"/>
      <c r="AL1799" s="239"/>
      <c r="AM1799" s="239"/>
      <c r="AN1799" s="239"/>
      <c r="AO1799" s="270"/>
      <c r="AP1799" s="240"/>
      <c r="AQ1799" s="240"/>
      <c r="AR1799" s="240"/>
      <c r="AS1799" s="240"/>
      <c r="AT1799" s="2"/>
      <c r="AU1799" s="2"/>
    </row>
    <row r="1800" spans="1:47" hidden="1" outlineLevel="1">
      <c r="A1800" s="298"/>
      <c r="B1800" s="167"/>
      <c r="C1800" s="18"/>
      <c r="D1800" s="18"/>
      <c r="E1800" s="18"/>
      <c r="F1800" s="18"/>
      <c r="G1800" s="18"/>
      <c r="H1800" s="18"/>
      <c r="I1800" s="18"/>
      <c r="J1800" s="18"/>
      <c r="K1800" s="6"/>
      <c r="L1800" s="6"/>
      <c r="M1800" s="6"/>
      <c r="N1800" s="6"/>
      <c r="O1800" s="6"/>
      <c r="P1800" s="6"/>
      <c r="Q1800" s="6"/>
      <c r="R1800" s="6"/>
      <c r="S1800" s="6"/>
      <c r="T1800" s="2"/>
      <c r="U1800" s="2"/>
      <c r="V1800" s="2"/>
      <c r="W1800" s="2"/>
      <c r="X1800" s="2"/>
      <c r="Y1800" s="2"/>
      <c r="Z1800" s="2"/>
      <c r="AA1800" s="2"/>
      <c r="AB1800" s="2"/>
      <c r="AC1800" s="2"/>
      <c r="AD1800" s="2"/>
      <c r="AE1800" s="2"/>
      <c r="AF1800" s="2"/>
      <c r="AG1800" s="2"/>
      <c r="AH1800" s="2"/>
      <c r="AI1800" s="2"/>
      <c r="AJ1800" s="2"/>
      <c r="AK1800" s="2"/>
      <c r="AL1800" s="2"/>
      <c r="AM1800" s="2"/>
      <c r="AN1800" s="2"/>
      <c r="AO1800" s="2"/>
      <c r="AP1800" s="2"/>
      <c r="AQ1800" s="2"/>
      <c r="AR1800" s="2"/>
      <c r="AS1800" s="2"/>
      <c r="AT1800" s="2"/>
      <c r="AU1800" s="2"/>
    </row>
    <row r="1801" spans="1:47" hidden="1" outlineLevel="1">
      <c r="A1801" s="298"/>
      <c r="B1801" s="2"/>
      <c r="C1801" s="18"/>
      <c r="D1801" s="18"/>
      <c r="E1801" s="18"/>
      <c r="F1801" s="18"/>
      <c r="G1801" s="18"/>
      <c r="H1801" s="18"/>
      <c r="I1801" s="18"/>
      <c r="J1801" s="18"/>
      <c r="K1801" s="6"/>
      <c r="L1801" s="6"/>
      <c r="M1801" s="6"/>
      <c r="N1801" s="6"/>
      <c r="O1801" s="6"/>
      <c r="P1801" s="6"/>
      <c r="Q1801" s="6"/>
      <c r="R1801" s="6"/>
      <c r="S1801" s="6"/>
      <c r="T1801" s="41" t="s">
        <v>118</v>
      </c>
      <c r="U1801" s="41" t="s">
        <v>115</v>
      </c>
      <c r="V1801" s="41" t="s">
        <v>116</v>
      </c>
      <c r="W1801" s="41" t="s">
        <v>117</v>
      </c>
      <c r="X1801" s="41" t="s">
        <v>102</v>
      </c>
      <c r="Y1801" s="41" t="s">
        <v>103</v>
      </c>
      <c r="Z1801" s="41" t="s">
        <v>104</v>
      </c>
      <c r="AA1801" s="41" t="s">
        <v>105</v>
      </c>
      <c r="AB1801" s="41" t="s">
        <v>106</v>
      </c>
      <c r="AC1801" s="41" t="s">
        <v>107</v>
      </c>
      <c r="AD1801" s="41" t="s">
        <v>108</v>
      </c>
      <c r="AE1801" s="41" t="s">
        <v>109</v>
      </c>
      <c r="AF1801" s="41" t="s">
        <v>110</v>
      </c>
      <c r="AG1801" s="41" t="s">
        <v>111</v>
      </c>
      <c r="AH1801" s="41" t="s">
        <v>112</v>
      </c>
      <c r="AI1801" s="41" t="s">
        <v>113</v>
      </c>
      <c r="AJ1801" s="41" t="s">
        <v>113</v>
      </c>
      <c r="AK1801" s="41" t="s">
        <v>113</v>
      </c>
      <c r="AL1801" s="41" t="s">
        <v>113</v>
      </c>
      <c r="AM1801" s="41" t="s">
        <v>113</v>
      </c>
      <c r="AN1801" s="41" t="s">
        <v>113</v>
      </c>
      <c r="AO1801" s="41" t="s">
        <v>113</v>
      </c>
      <c r="AP1801" s="41" t="s">
        <v>113</v>
      </c>
      <c r="AQ1801" s="41" t="s">
        <v>113</v>
      </c>
      <c r="AR1801" s="41" t="s">
        <v>113</v>
      </c>
      <c r="AS1801" s="41" t="s">
        <v>113</v>
      </c>
      <c r="AT1801" s="2"/>
      <c r="AU1801" s="2"/>
    </row>
    <row r="1802" spans="1:47" hidden="1" outlineLevel="1">
      <c r="A1802" s="298"/>
      <c r="B1802" s="2"/>
      <c r="C1802" s="18"/>
      <c r="D1802" s="18"/>
      <c r="E1802" s="18"/>
      <c r="F1802" s="18"/>
      <c r="G1802" s="18"/>
      <c r="H1802" s="18"/>
      <c r="I1802" s="18"/>
      <c r="J1802" s="18"/>
      <c r="K1802" s="6"/>
      <c r="L1802" s="6"/>
      <c r="M1802" s="6"/>
      <c r="N1802" s="6"/>
      <c r="O1802" s="6"/>
      <c r="P1802" s="6"/>
      <c r="Q1802" s="6"/>
      <c r="R1802" s="6"/>
      <c r="S1802" s="6"/>
      <c r="T1802" s="2"/>
      <c r="U1802" s="2"/>
      <c r="V1802" s="2"/>
      <c r="W1802" s="2"/>
      <c r="X1802" s="34"/>
      <c r="Y1802" s="34"/>
      <c r="Z1802" s="34"/>
      <c r="AA1802" s="34"/>
      <c r="AB1802" s="34"/>
      <c r="AC1802" s="34"/>
      <c r="AD1802" s="34"/>
      <c r="AE1802" s="34"/>
      <c r="AF1802" s="34"/>
      <c r="AG1802" s="34"/>
      <c r="AH1802" s="34"/>
      <c r="AI1802" s="34"/>
      <c r="AJ1802" s="34"/>
      <c r="AK1802" s="34"/>
      <c r="AL1802" s="34"/>
      <c r="AM1802" s="34"/>
      <c r="AN1802" s="34"/>
      <c r="AO1802" s="34"/>
      <c r="AP1802" s="34"/>
      <c r="AQ1802" s="34"/>
      <c r="AR1802" s="34"/>
      <c r="AS1802" s="34"/>
      <c r="AT1802" s="2"/>
      <c r="AU1802" s="2"/>
    </row>
    <row r="1803" spans="1:47" hidden="1" outlineLevel="1">
      <c r="A1803" s="298"/>
      <c r="B1803" s="6" t="s">
        <v>731</v>
      </c>
      <c r="C1803" s="18" t="s">
        <v>272</v>
      </c>
      <c r="D1803" s="18"/>
      <c r="E1803" s="18"/>
      <c r="F1803" s="18"/>
      <c r="G1803" s="18"/>
      <c r="H1803" s="18"/>
      <c r="I1803" s="18"/>
      <c r="J1803" s="18"/>
      <c r="K1803" s="6"/>
      <c r="L1803" s="6"/>
      <c r="M1803" s="6"/>
      <c r="N1803" s="6"/>
      <c r="O1803" s="6"/>
      <c r="P1803" s="6"/>
      <c r="Q1803" s="6"/>
      <c r="R1803" s="6"/>
      <c r="S1803" s="6"/>
      <c r="T1803" s="570">
        <v>490.88200000000001</v>
      </c>
      <c r="U1803" s="570">
        <v>506.44299999999998</v>
      </c>
      <c r="V1803" s="570">
        <v>528.65800000000002</v>
      </c>
      <c r="W1803" s="570">
        <v>518.52700000000004</v>
      </c>
      <c r="X1803" s="530">
        <v>472</v>
      </c>
      <c r="Y1803" s="19">
        <v>486.16</v>
      </c>
      <c r="Z1803" s="19">
        <v>500.74480000000005</v>
      </c>
      <c r="AA1803" s="19">
        <v>515.76714400000003</v>
      </c>
      <c r="AB1803" s="19">
        <v>531.24015832000009</v>
      </c>
      <c r="AC1803" s="19">
        <v>547.17736306960012</v>
      </c>
      <c r="AD1803" s="19">
        <v>563.59268396168818</v>
      </c>
      <c r="AE1803" s="19">
        <v>580.50046448053888</v>
      </c>
      <c r="AF1803" s="19">
        <v>597.91547841495503</v>
      </c>
      <c r="AG1803" s="19">
        <v>615.85294276740365</v>
      </c>
      <c r="AH1803" s="19">
        <v>634.3285310504258</v>
      </c>
      <c r="AI1803" s="19">
        <v>653.35838698193857</v>
      </c>
      <c r="AJ1803" s="19">
        <v>672.95913859139671</v>
      </c>
      <c r="AK1803" s="19">
        <v>693.14791274913864</v>
      </c>
      <c r="AL1803" s="19">
        <v>713.94235013161278</v>
      </c>
      <c r="AM1803" s="19">
        <v>735.36062063556119</v>
      </c>
      <c r="AN1803" s="19">
        <v>757.42143925462801</v>
      </c>
      <c r="AO1803" s="19">
        <v>780.14408243226683</v>
      </c>
      <c r="AP1803" s="19">
        <v>803.54840490523486</v>
      </c>
      <c r="AQ1803" s="19">
        <v>803.54840490523486</v>
      </c>
      <c r="AR1803" s="19">
        <v>803.54840490523486</v>
      </c>
      <c r="AS1803" s="19">
        <v>803.54840490523486</v>
      </c>
      <c r="AT1803" s="2"/>
      <c r="AU1803" s="2"/>
    </row>
    <row r="1804" spans="1:47" hidden="1" outlineLevel="1">
      <c r="A1804" s="298"/>
      <c r="B1804" s="241" t="s">
        <v>1099</v>
      </c>
      <c r="C1804" s="18" t="s">
        <v>733</v>
      </c>
      <c r="D1804" s="18"/>
      <c r="E1804" s="18"/>
      <c r="F1804" s="18"/>
      <c r="G1804" s="18"/>
      <c r="H1804" s="18"/>
      <c r="I1804" s="18"/>
      <c r="J1804" s="18"/>
      <c r="K1804" s="6"/>
      <c r="L1804" s="6"/>
      <c r="M1804" s="6"/>
      <c r="N1804" s="6"/>
      <c r="O1804" s="6"/>
      <c r="P1804" s="6"/>
      <c r="Q1804" s="6"/>
      <c r="R1804" s="6"/>
      <c r="S1804" s="6"/>
      <c r="T1804" s="2"/>
      <c r="U1804" s="2"/>
      <c r="V1804" s="2"/>
      <c r="W1804" s="2"/>
      <c r="X1804" s="831"/>
      <c r="Y1804" s="557">
        <v>0.03</v>
      </c>
      <c r="Z1804" s="87">
        <v>0.03</v>
      </c>
      <c r="AA1804" s="87">
        <v>0.03</v>
      </c>
      <c r="AB1804" s="87">
        <v>0.03</v>
      </c>
      <c r="AC1804" s="87">
        <v>0.03</v>
      </c>
      <c r="AD1804" s="557">
        <v>0.03</v>
      </c>
      <c r="AE1804" s="557">
        <v>0.03</v>
      </c>
      <c r="AF1804" s="557">
        <v>0.03</v>
      </c>
      <c r="AG1804" s="557">
        <v>0.03</v>
      </c>
      <c r="AH1804" s="557">
        <v>0.03</v>
      </c>
      <c r="AI1804" s="557">
        <v>0.03</v>
      </c>
      <c r="AJ1804" s="557">
        <v>0.03</v>
      </c>
      <c r="AK1804" s="557">
        <v>0.03</v>
      </c>
      <c r="AL1804" s="557">
        <v>0.03</v>
      </c>
      <c r="AM1804" s="557">
        <v>0.03</v>
      </c>
      <c r="AN1804" s="557">
        <v>0.03</v>
      </c>
      <c r="AO1804" s="575">
        <v>0.03</v>
      </c>
      <c r="AP1804" s="575">
        <v>0.03</v>
      </c>
      <c r="AQ1804" s="575">
        <v>0.03</v>
      </c>
      <c r="AR1804" s="575">
        <v>0.03</v>
      </c>
      <c r="AS1804" s="575">
        <v>0.03</v>
      </c>
      <c r="AT1804" s="2"/>
      <c r="AU1804" s="2"/>
    </row>
    <row r="1805" spans="1:47" hidden="1" outlineLevel="1">
      <c r="A1805" s="298"/>
      <c r="B1805" s="2"/>
      <c r="C1805" s="18"/>
      <c r="D1805" s="18"/>
      <c r="E1805" s="18"/>
      <c r="F1805" s="18"/>
      <c r="G1805" s="18"/>
      <c r="H1805" s="18"/>
      <c r="I1805" s="18"/>
      <c r="J1805" s="18"/>
      <c r="K1805" s="6"/>
      <c r="L1805" s="6"/>
      <c r="M1805" s="6"/>
      <c r="N1805" s="6"/>
      <c r="O1805" s="6"/>
      <c r="P1805" s="6"/>
      <c r="Q1805" s="6"/>
      <c r="R1805" s="6"/>
      <c r="S1805" s="6"/>
      <c r="T1805" s="2"/>
      <c r="U1805" s="2"/>
      <c r="V1805" s="2"/>
      <c r="W1805" s="2"/>
      <c r="X1805" s="2"/>
      <c r="Y1805" s="2"/>
      <c r="Z1805" s="2"/>
      <c r="AA1805" s="2"/>
      <c r="AB1805" s="2"/>
      <c r="AC1805" s="2"/>
      <c r="AD1805" s="2"/>
      <c r="AE1805" s="2"/>
      <c r="AF1805" s="2"/>
      <c r="AG1805" s="2"/>
      <c r="AH1805" s="2"/>
      <c r="AI1805" s="2"/>
      <c r="AJ1805" s="2"/>
      <c r="AK1805" s="2"/>
      <c r="AL1805" s="2"/>
      <c r="AM1805" s="2"/>
      <c r="AN1805" s="2"/>
      <c r="AO1805" s="2"/>
      <c r="AP1805" s="2"/>
      <c r="AQ1805" s="2"/>
      <c r="AR1805" s="2"/>
      <c r="AS1805" s="2"/>
      <c r="AT1805" s="2"/>
      <c r="AU1805" s="2"/>
    </row>
    <row r="1806" spans="1:47" hidden="1" outlineLevel="1">
      <c r="A1806" s="298"/>
      <c r="B1806" s="2" t="s">
        <v>687</v>
      </c>
      <c r="C1806" s="18" t="s">
        <v>272</v>
      </c>
      <c r="D1806" s="18"/>
      <c r="E1806" s="18"/>
      <c r="F1806" s="18"/>
      <c r="G1806" s="18"/>
      <c r="H1806" s="18"/>
      <c r="I1806" s="18"/>
      <c r="J1806" s="18"/>
      <c r="K1806" s="6"/>
      <c r="L1806" s="6"/>
      <c r="M1806" s="6"/>
      <c r="N1806" s="6"/>
      <c r="O1806" s="6"/>
      <c r="P1806" s="6"/>
      <c r="Q1806" s="6"/>
      <c r="R1806" s="6"/>
      <c r="S1806" s="6"/>
      <c r="T1806" s="19">
        <v>404.60599999999999</v>
      </c>
      <c r="U1806" s="19">
        <v>421.78800000000001</v>
      </c>
      <c r="V1806" s="19">
        <v>439.548</v>
      </c>
      <c r="W1806" s="19">
        <v>431.47600000000006</v>
      </c>
      <c r="X1806" s="2">
        <v>361</v>
      </c>
      <c r="Y1806" s="19">
        <v>375.16</v>
      </c>
      <c r="Z1806" s="19">
        <v>386.41480000000001</v>
      </c>
      <c r="AA1806" s="19">
        <v>398.00724400000001</v>
      </c>
      <c r="AB1806" s="19">
        <v>369.94746132</v>
      </c>
      <c r="AC1806" s="19">
        <v>381.0458851596</v>
      </c>
      <c r="AD1806" s="19">
        <v>392.47726171438802</v>
      </c>
      <c r="AE1806" s="19">
        <v>404.25157956581967</v>
      </c>
      <c r="AF1806" s="19">
        <v>416.37912695279425</v>
      </c>
      <c r="AG1806" s="19">
        <v>428.87050076137808</v>
      </c>
      <c r="AH1806" s="19">
        <v>441.73661578421945</v>
      </c>
      <c r="AI1806" s="19">
        <v>454.98871425774604</v>
      </c>
      <c r="AJ1806" s="19">
        <v>468.63837568547842</v>
      </c>
      <c r="AK1806" s="19">
        <v>482.69752695604279</v>
      </c>
      <c r="AL1806" s="19">
        <v>497.17845276472411</v>
      </c>
      <c r="AM1806" s="19">
        <v>512.0938063476658</v>
      </c>
      <c r="AN1806" s="19">
        <v>527.45662053809576</v>
      </c>
      <c r="AO1806" s="19">
        <v>543.28031915423867</v>
      </c>
      <c r="AP1806" s="19">
        <v>559.57872872886583</v>
      </c>
      <c r="AQ1806" s="19">
        <v>559.57872872886583</v>
      </c>
      <c r="AR1806" s="19">
        <v>559.57872872886583</v>
      </c>
      <c r="AS1806" s="19">
        <v>559.57872872886583</v>
      </c>
      <c r="AT1806" s="2"/>
      <c r="AU1806" s="2"/>
    </row>
    <row r="1807" spans="1:47" hidden="1" outlineLevel="1">
      <c r="A1807" s="298"/>
      <c r="B1807" s="2" t="s">
        <v>114</v>
      </c>
      <c r="C1807" s="18"/>
      <c r="D1807" s="18"/>
      <c r="E1807" s="18"/>
      <c r="F1807" s="18"/>
      <c r="G1807" s="18"/>
      <c r="H1807" s="18"/>
      <c r="I1807" s="18"/>
      <c r="J1807" s="18"/>
      <c r="K1807" s="6"/>
      <c r="L1807" s="6"/>
      <c r="M1807" s="6"/>
      <c r="N1807" s="6"/>
      <c r="O1807" s="6"/>
      <c r="P1807" s="6"/>
      <c r="Q1807" s="6"/>
      <c r="R1807" s="6"/>
      <c r="S1807" s="6"/>
      <c r="T1807" s="2"/>
      <c r="U1807" s="2"/>
      <c r="V1807" s="2"/>
      <c r="W1807" s="2"/>
      <c r="X1807" s="2"/>
      <c r="Y1807" s="2"/>
      <c r="Z1807" s="2">
        <v>20</v>
      </c>
      <c r="AA1807" s="2">
        <v>40</v>
      </c>
      <c r="AB1807" s="2"/>
      <c r="AC1807" s="2"/>
      <c r="AD1807" s="2"/>
      <c r="AE1807" s="2"/>
      <c r="AF1807" s="2"/>
      <c r="AG1807" s="2"/>
      <c r="AH1807" s="2"/>
      <c r="AI1807" s="2"/>
      <c r="AJ1807" s="2"/>
      <c r="AK1807" s="2"/>
      <c r="AL1807" s="2"/>
      <c r="AM1807" s="2"/>
      <c r="AN1807" s="2"/>
      <c r="AO1807" s="2"/>
      <c r="AP1807" s="2"/>
      <c r="AQ1807" s="2"/>
      <c r="AR1807" s="2"/>
      <c r="AS1807" s="2"/>
      <c r="AT1807" s="2"/>
      <c r="AU1807" s="2"/>
    </row>
    <row r="1808" spans="1:47" hidden="1" outlineLevel="1">
      <c r="A1808" s="298"/>
      <c r="B1808" s="2"/>
      <c r="C1808" s="18"/>
      <c r="D1808" s="18"/>
      <c r="E1808" s="18"/>
      <c r="F1808" s="18"/>
      <c r="G1808" s="18"/>
      <c r="H1808" s="18"/>
      <c r="I1808" s="18"/>
      <c r="J1808" s="18"/>
      <c r="K1808" s="6"/>
      <c r="L1808" s="6"/>
      <c r="M1808" s="6"/>
      <c r="N1808" s="6"/>
      <c r="O1808" s="6"/>
      <c r="P1808" s="6"/>
      <c r="Q1808" s="6"/>
      <c r="R1808" s="6"/>
      <c r="S1808" s="6"/>
      <c r="T1808" s="2"/>
      <c r="U1808" s="2"/>
      <c r="V1808" s="2"/>
      <c r="W1808" s="2"/>
      <c r="X1808" s="2"/>
      <c r="Y1808" s="2"/>
      <c r="Z1808" s="2"/>
      <c r="AA1808" s="2"/>
      <c r="AB1808" s="2"/>
      <c r="AC1808" s="2"/>
      <c r="AD1808" s="2"/>
      <c r="AE1808" s="2"/>
      <c r="AF1808" s="2"/>
      <c r="AG1808" s="2"/>
      <c r="AH1808" s="2"/>
      <c r="AI1808" s="2"/>
      <c r="AJ1808" s="2"/>
      <c r="AK1808" s="2"/>
      <c r="AL1808" s="2"/>
      <c r="AM1808" s="2"/>
      <c r="AN1808" s="2"/>
      <c r="AO1808" s="2"/>
      <c r="AP1808" s="2"/>
      <c r="AQ1808" s="2"/>
      <c r="AR1808" s="2"/>
      <c r="AS1808" s="2"/>
      <c r="AT1808" s="2"/>
      <c r="AU1808" s="2"/>
    </row>
    <row r="1809" spans="1:47" hidden="1" outlineLevel="1">
      <c r="A1809" s="298"/>
      <c r="B1809" s="6" t="s">
        <v>734</v>
      </c>
      <c r="C1809" s="18" t="s">
        <v>272</v>
      </c>
      <c r="D1809" s="18"/>
      <c r="E1809" s="18"/>
      <c r="F1809" s="18"/>
      <c r="G1809" s="18"/>
      <c r="H1809" s="18"/>
      <c r="I1809" s="18"/>
      <c r="J1809" s="18"/>
      <c r="K1809" s="6"/>
      <c r="L1809" s="6"/>
      <c r="M1809" s="6"/>
      <c r="N1809" s="6"/>
      <c r="O1809" s="6"/>
      <c r="P1809" s="6"/>
      <c r="Q1809" s="6"/>
      <c r="R1809" s="6"/>
      <c r="S1809" s="6"/>
      <c r="T1809" s="570">
        <v>86.275999999999996</v>
      </c>
      <c r="U1809" s="570">
        <v>84.655000000000001</v>
      </c>
      <c r="V1809" s="570">
        <v>89.11</v>
      </c>
      <c r="W1809" s="570">
        <v>87.051000000000002</v>
      </c>
      <c r="X1809" s="530">
        <v>111</v>
      </c>
      <c r="Y1809" s="2">
        <v>111</v>
      </c>
      <c r="Z1809" s="19">
        <v>134.33000000000004</v>
      </c>
      <c r="AA1809" s="19">
        <v>157.75990000000002</v>
      </c>
      <c r="AB1809" s="19">
        <v>161.29269700000009</v>
      </c>
      <c r="AC1809" s="19">
        <v>166.13147791000011</v>
      </c>
      <c r="AD1809" s="19">
        <v>171.11542224730016</v>
      </c>
      <c r="AE1809" s="19">
        <v>176.24888491471921</v>
      </c>
      <c r="AF1809" s="19">
        <v>181.53635146216078</v>
      </c>
      <c r="AG1809" s="19">
        <v>186.98244200602556</v>
      </c>
      <c r="AH1809" s="19">
        <v>192.59191526620634</v>
      </c>
      <c r="AI1809" s="19">
        <v>198.36967272419253</v>
      </c>
      <c r="AJ1809" s="19">
        <v>204.32076290591829</v>
      </c>
      <c r="AK1809" s="19">
        <v>210.45038579309585</v>
      </c>
      <c r="AL1809" s="19">
        <v>216.76389736688867</v>
      </c>
      <c r="AM1809" s="19">
        <v>223.26681428789539</v>
      </c>
      <c r="AN1809" s="19">
        <v>229.96481871653225</v>
      </c>
      <c r="AO1809" s="19">
        <v>236.86376327802816</v>
      </c>
      <c r="AP1809" s="19">
        <v>243.96967617636903</v>
      </c>
      <c r="AQ1809" s="19">
        <v>243.96967617636903</v>
      </c>
      <c r="AR1809" s="19">
        <v>243.96967617636903</v>
      </c>
      <c r="AS1809" s="19">
        <v>243.96967617636903</v>
      </c>
      <c r="AT1809" s="2"/>
      <c r="AU1809" s="2"/>
    </row>
    <row r="1810" spans="1:47" hidden="1" outlineLevel="1">
      <c r="A1810" s="298"/>
      <c r="B1810" s="241" t="s">
        <v>1099</v>
      </c>
      <c r="C1810" s="18" t="s">
        <v>733</v>
      </c>
      <c r="D1810" s="18"/>
      <c r="E1810" s="18"/>
      <c r="F1810" s="18"/>
      <c r="G1810" s="18"/>
      <c r="H1810" s="18"/>
      <c r="I1810" s="18"/>
      <c r="J1810" s="18"/>
      <c r="K1810" s="6"/>
      <c r="L1810" s="6"/>
      <c r="M1810" s="6"/>
      <c r="N1810" s="6"/>
      <c r="O1810" s="6"/>
      <c r="P1810" s="6"/>
      <c r="Q1810" s="6"/>
      <c r="R1810" s="6"/>
      <c r="S1810" s="6"/>
      <c r="T1810" s="2"/>
      <c r="U1810" s="2"/>
      <c r="V1810" s="2"/>
      <c r="W1810" s="2"/>
      <c r="X1810" s="2"/>
      <c r="Y1810" s="2"/>
      <c r="Z1810" s="2"/>
      <c r="AA1810" s="2"/>
      <c r="AB1810" s="2"/>
      <c r="AC1810" s="2"/>
      <c r="AD1810" s="2"/>
      <c r="AE1810" s="2"/>
      <c r="AF1810" s="2"/>
      <c r="AG1810" s="2"/>
      <c r="AH1810" s="2"/>
      <c r="AI1810" s="2"/>
      <c r="AJ1810" s="2"/>
      <c r="AK1810" s="2"/>
      <c r="AL1810" s="2"/>
      <c r="AM1810" s="2"/>
      <c r="AN1810" s="2"/>
      <c r="AO1810" s="2"/>
      <c r="AP1810" s="2"/>
      <c r="AQ1810" s="2"/>
      <c r="AR1810" s="2"/>
      <c r="AS1810" s="2"/>
      <c r="AT1810" s="2"/>
      <c r="AU1810" s="2"/>
    </row>
    <row r="1811" spans="1:47" hidden="1" outlineLevel="1">
      <c r="A1811" s="298"/>
      <c r="B1811" s="2" t="s">
        <v>164</v>
      </c>
      <c r="C1811" s="18" t="s">
        <v>733</v>
      </c>
      <c r="D1811" s="18"/>
      <c r="E1811" s="18"/>
      <c r="F1811" s="18"/>
      <c r="G1811" s="18"/>
      <c r="H1811" s="18"/>
      <c r="I1811" s="18"/>
      <c r="J1811" s="18"/>
      <c r="K1811" s="6"/>
      <c r="L1811" s="6"/>
      <c r="M1811" s="6"/>
      <c r="N1811" s="6"/>
      <c r="O1811" s="6"/>
      <c r="P1811" s="6"/>
      <c r="Q1811" s="6"/>
      <c r="R1811" s="6"/>
      <c r="S1811" s="6"/>
      <c r="T1811" s="2">
        <v>0.17575710659588251</v>
      </c>
      <c r="U1811" s="2">
        <v>0.16715602743053021</v>
      </c>
      <c r="V1811" s="2">
        <v>0.16855887927544838</v>
      </c>
      <c r="W1811" s="2">
        <v>0.16788132536974931</v>
      </c>
      <c r="X1811" s="2">
        <v>0.23516949152542374</v>
      </c>
      <c r="Y1811" s="2">
        <v>0.2283198946848774</v>
      </c>
      <c r="Z1811" s="2">
        <v>0.2682603993091891</v>
      </c>
      <c r="AA1811" s="2">
        <v>0.30587427259616212</v>
      </c>
      <c r="AB1811" s="2">
        <v>0.30361540722010538</v>
      </c>
      <c r="AC1811" s="2">
        <v>0.30361540722010544</v>
      </c>
      <c r="AD1811" s="2">
        <v>0.30361540722010549</v>
      </c>
      <c r="AE1811" s="2">
        <v>0.30361540722010549</v>
      </c>
      <c r="AF1811" s="2">
        <v>0.30361540722010549</v>
      </c>
      <c r="AG1811" s="2">
        <v>0.30361540722010549</v>
      </c>
      <c r="AH1811" s="2">
        <v>0.30361540722010549</v>
      </c>
      <c r="AI1811" s="2">
        <v>0.30361540722010544</v>
      </c>
      <c r="AJ1811" s="2">
        <v>0.30361540722010544</v>
      </c>
      <c r="AK1811" s="2">
        <v>0.30361540722010544</v>
      </c>
      <c r="AL1811" s="2">
        <v>0.30361540722010538</v>
      </c>
      <c r="AM1811" s="2">
        <v>0.30361540722010544</v>
      </c>
      <c r="AN1811" s="2">
        <v>0.30361540722010544</v>
      </c>
      <c r="AO1811" s="2">
        <v>0.30361540722010538</v>
      </c>
      <c r="AP1811" s="2">
        <v>0.30361540722010544</v>
      </c>
      <c r="AQ1811" s="2">
        <v>0.30361540722010544</v>
      </c>
      <c r="AR1811" s="2">
        <v>0.30361540722010544</v>
      </c>
      <c r="AS1811" s="2">
        <v>0.30361540722010544</v>
      </c>
      <c r="AT1811" s="2"/>
      <c r="AU1811" s="2"/>
    </row>
    <row r="1812" spans="1:47" hidden="1" outlineLevel="1">
      <c r="A1812" s="298"/>
      <c r="B1812" s="2"/>
      <c r="C1812" s="18"/>
      <c r="D1812" s="18"/>
      <c r="E1812" s="18"/>
      <c r="F1812" s="18"/>
      <c r="G1812" s="18"/>
      <c r="H1812" s="18"/>
      <c r="I1812" s="18"/>
      <c r="J1812" s="18"/>
      <c r="K1812" s="6"/>
      <c r="L1812" s="6"/>
      <c r="M1812" s="6"/>
      <c r="N1812" s="6"/>
      <c r="O1812" s="6"/>
      <c r="P1812" s="6"/>
      <c r="Q1812" s="6"/>
      <c r="R1812" s="6"/>
      <c r="S1812" s="6"/>
      <c r="T1812" s="2"/>
      <c r="U1812" s="2"/>
      <c r="V1812" s="2"/>
      <c r="W1812" s="2"/>
      <c r="X1812" s="2"/>
      <c r="Y1812" s="2"/>
      <c r="Z1812" s="2"/>
      <c r="AA1812" s="2"/>
      <c r="AB1812" s="2"/>
      <c r="AC1812" s="2"/>
      <c r="AD1812" s="2"/>
      <c r="AE1812" s="2"/>
      <c r="AF1812" s="2"/>
      <c r="AG1812" s="2"/>
      <c r="AH1812" s="2"/>
      <c r="AI1812" s="2"/>
      <c r="AJ1812" s="2"/>
      <c r="AK1812" s="2"/>
      <c r="AL1812" s="2"/>
      <c r="AM1812" s="2"/>
      <c r="AN1812" s="2"/>
      <c r="AO1812" s="2"/>
      <c r="AP1812" s="2"/>
      <c r="AQ1812" s="2"/>
      <c r="AR1812" s="2"/>
      <c r="AS1812" s="2"/>
      <c r="AT1812" s="2"/>
      <c r="AU1812" s="2"/>
    </row>
    <row r="1813" spans="1:47" hidden="1" outlineLevel="1">
      <c r="A1813" s="298"/>
      <c r="B1813" s="2" t="s">
        <v>181</v>
      </c>
      <c r="C1813" s="18" t="s">
        <v>272</v>
      </c>
      <c r="D1813" s="18"/>
      <c r="E1813" s="18"/>
      <c r="F1813" s="18"/>
      <c r="G1813" s="18"/>
      <c r="H1813" s="18"/>
      <c r="I1813" s="18"/>
      <c r="J1813" s="18"/>
      <c r="K1813" s="6"/>
      <c r="L1813" s="6"/>
      <c r="M1813" s="6"/>
      <c r="N1813" s="6"/>
      <c r="O1813" s="6"/>
      <c r="P1813" s="6"/>
      <c r="Q1813" s="6"/>
      <c r="R1813" s="6"/>
      <c r="S1813" s="6"/>
      <c r="T1813" s="570">
        <v>212.08099999999999</v>
      </c>
      <c r="U1813" s="570">
        <v>168.262</v>
      </c>
      <c r="V1813" s="570">
        <v>177.43</v>
      </c>
      <c r="W1813" s="570">
        <v>184.001</v>
      </c>
      <c r="X1813" s="19">
        <v>80.240000000000009</v>
      </c>
      <c r="Y1813" s="19">
        <v>82.647200000000012</v>
      </c>
      <c r="Z1813" s="19">
        <v>85.126616000000013</v>
      </c>
      <c r="AA1813" s="19">
        <v>87.68041448000001</v>
      </c>
      <c r="AB1813" s="19">
        <v>90.310826914400025</v>
      </c>
      <c r="AC1813" s="19">
        <v>93.020151721832022</v>
      </c>
      <c r="AD1813" s="19">
        <v>95.810756273487002</v>
      </c>
      <c r="AE1813" s="19">
        <v>98.685078961691616</v>
      </c>
      <c r="AF1813" s="19">
        <v>101.64563133054236</v>
      </c>
      <c r="AG1813" s="19">
        <v>104.69500027045862</v>
      </c>
      <c r="AH1813" s="19">
        <v>107.83585027857239</v>
      </c>
      <c r="AI1813" s="19">
        <v>111.07092578692956</v>
      </c>
      <c r="AJ1813" s="19">
        <v>114.40305356053744</v>
      </c>
      <c r="AK1813" s="19">
        <v>117.83514516735357</v>
      </c>
      <c r="AL1813" s="19">
        <v>121.37019952237418</v>
      </c>
      <c r="AM1813" s="19">
        <v>125.01130550804541</v>
      </c>
      <c r="AN1813" s="19">
        <v>128.76164467328678</v>
      </c>
      <c r="AO1813" s="19">
        <v>132.62449401348536</v>
      </c>
      <c r="AP1813" s="19">
        <v>136.60322883388994</v>
      </c>
      <c r="AQ1813" s="19">
        <v>136.60322883388994</v>
      </c>
      <c r="AR1813" s="19">
        <v>136.60322883388994</v>
      </c>
      <c r="AS1813" s="19">
        <v>136.60322883388994</v>
      </c>
      <c r="AT1813" s="2"/>
      <c r="AU1813" s="2"/>
    </row>
    <row r="1814" spans="1:47" hidden="1" outlineLevel="1">
      <c r="A1814" s="298"/>
      <c r="B1814" s="2" t="s">
        <v>123</v>
      </c>
      <c r="C1814" s="18" t="s">
        <v>733</v>
      </c>
      <c r="D1814" s="18"/>
      <c r="E1814" s="18"/>
      <c r="F1814" s="18"/>
      <c r="G1814" s="18"/>
      <c r="H1814" s="18"/>
      <c r="I1814" s="18"/>
      <c r="J1814" s="18"/>
      <c r="K1814" s="6"/>
      <c r="L1814" s="6"/>
      <c r="M1814" s="6"/>
      <c r="N1814" s="6"/>
      <c r="O1814" s="6"/>
      <c r="P1814" s="6"/>
      <c r="Q1814" s="6"/>
      <c r="R1814" s="6"/>
      <c r="S1814" s="6"/>
      <c r="T1814" s="2">
        <v>0.43204069409756313</v>
      </c>
      <c r="U1814" s="2">
        <v>0.33224272030613516</v>
      </c>
      <c r="V1814" s="2">
        <v>0.33562340870657403</v>
      </c>
      <c r="W1814" s="2">
        <v>0.35485326704298908</v>
      </c>
      <c r="X1814" s="709">
        <v>0.17</v>
      </c>
      <c r="Y1814" s="847">
        <v>0.17</v>
      </c>
      <c r="Z1814" s="848">
        <v>0.17</v>
      </c>
      <c r="AA1814" s="848">
        <v>0.17</v>
      </c>
      <c r="AB1814" s="848">
        <v>0.17</v>
      </c>
      <c r="AC1814" s="848">
        <v>0.17</v>
      </c>
      <c r="AD1814" s="848">
        <v>0.17</v>
      </c>
      <c r="AE1814" s="848">
        <v>0.17</v>
      </c>
      <c r="AF1814" s="848">
        <v>0.17</v>
      </c>
      <c r="AG1814" s="848">
        <v>0.17</v>
      </c>
      <c r="AH1814" s="848">
        <v>0.17</v>
      </c>
      <c r="AI1814" s="848">
        <v>0.17</v>
      </c>
      <c r="AJ1814" s="848">
        <v>0.17</v>
      </c>
      <c r="AK1814" s="848">
        <v>0.17</v>
      </c>
      <c r="AL1814" s="848">
        <v>0.17</v>
      </c>
      <c r="AM1814" s="848">
        <v>0.17</v>
      </c>
      <c r="AN1814" s="848">
        <v>0.17</v>
      </c>
      <c r="AO1814" s="849">
        <v>0.17</v>
      </c>
      <c r="AP1814" s="849">
        <v>0.17</v>
      </c>
      <c r="AQ1814" s="849">
        <v>0.17</v>
      </c>
      <c r="AR1814" s="849">
        <v>0.17</v>
      </c>
      <c r="AS1814" s="849">
        <v>0.17</v>
      </c>
      <c r="AT1814" s="2"/>
      <c r="AU1814" s="2"/>
    </row>
    <row r="1815" spans="1:47" hidden="1" outlineLevel="1">
      <c r="A1815" s="298"/>
      <c r="B1815" s="2"/>
      <c r="C1815" s="18"/>
      <c r="D1815" s="18"/>
      <c r="E1815" s="18"/>
      <c r="F1815" s="18"/>
      <c r="G1815" s="18"/>
      <c r="H1815" s="18"/>
      <c r="I1815" s="18"/>
      <c r="J1815" s="18"/>
      <c r="K1815" s="6"/>
      <c r="L1815" s="6"/>
      <c r="M1815" s="6"/>
      <c r="N1815" s="6"/>
      <c r="O1815" s="6"/>
      <c r="P1815" s="6"/>
      <c r="Q1815" s="6"/>
      <c r="R1815" s="6"/>
      <c r="S1815" s="6"/>
      <c r="T1815" s="2"/>
      <c r="U1815" s="2"/>
      <c r="V1815" s="2"/>
      <c r="W1815" s="2"/>
      <c r="X1815" s="2"/>
      <c r="Y1815" s="2"/>
      <c r="Z1815" s="2"/>
      <c r="AA1815" s="2"/>
      <c r="AB1815" s="2"/>
      <c r="AC1815" s="2"/>
      <c r="AD1815" s="2"/>
      <c r="AE1815" s="2"/>
      <c r="AF1815" s="2"/>
      <c r="AG1815" s="2"/>
      <c r="AH1815" s="2"/>
      <c r="AI1815" s="2"/>
      <c r="AJ1815" s="2"/>
      <c r="AK1815" s="2"/>
      <c r="AL1815" s="2"/>
      <c r="AM1815" s="2"/>
      <c r="AN1815" s="2"/>
      <c r="AO1815" s="2"/>
      <c r="AP1815" s="2"/>
      <c r="AQ1815" s="2"/>
      <c r="AR1815" s="2"/>
      <c r="AS1815" s="2"/>
      <c r="AT1815" s="2"/>
      <c r="AU1815" s="2"/>
    </row>
    <row r="1816" spans="1:47" hidden="1" outlineLevel="1">
      <c r="A1816" s="298"/>
      <c r="B1816" s="6" t="s">
        <v>239</v>
      </c>
      <c r="C1816" s="18" t="s">
        <v>272</v>
      </c>
      <c r="D1816" s="18"/>
      <c r="E1816" s="18"/>
      <c r="F1816" s="18"/>
      <c r="G1816" s="18"/>
      <c r="H1816" s="18"/>
      <c r="I1816" s="18"/>
      <c r="J1816" s="18"/>
      <c r="K1816" s="6"/>
      <c r="L1816" s="6"/>
      <c r="M1816" s="6"/>
      <c r="N1816" s="6"/>
      <c r="O1816" s="6"/>
      <c r="P1816" s="6"/>
      <c r="Q1816" s="6"/>
      <c r="R1816" s="6"/>
      <c r="S1816" s="6"/>
      <c r="T1816" s="3">
        <v>-125.80499999999999</v>
      </c>
      <c r="U1816" s="3">
        <v>-83.606999999999999</v>
      </c>
      <c r="V1816" s="3">
        <v>-88.320000000000007</v>
      </c>
      <c r="W1816" s="3">
        <v>-96.95</v>
      </c>
      <c r="X1816" s="3">
        <v>30.759999999999991</v>
      </c>
      <c r="Y1816" s="3">
        <v>28.352799999999988</v>
      </c>
      <c r="Z1816" s="3">
        <v>49.203384000000028</v>
      </c>
      <c r="AA1816" s="3">
        <v>70.079485520000006</v>
      </c>
      <c r="AB1816" s="3">
        <v>70.981870085600065</v>
      </c>
      <c r="AC1816" s="3">
        <v>73.111326188168093</v>
      </c>
      <c r="AD1816" s="3">
        <v>75.304665973813158</v>
      </c>
      <c r="AE1816" s="3">
        <v>77.563805953027597</v>
      </c>
      <c r="AF1816" s="3">
        <v>79.890720131618423</v>
      </c>
      <c r="AG1816" s="3">
        <v>82.287441735566944</v>
      </c>
      <c r="AH1816" s="3">
        <v>84.756064987633948</v>
      </c>
      <c r="AI1816" s="3">
        <v>87.298746937262962</v>
      </c>
      <c r="AJ1816" s="3">
        <v>89.917709345380842</v>
      </c>
      <c r="AK1816" s="3">
        <v>92.615240625742274</v>
      </c>
      <c r="AL1816" s="3">
        <v>95.393697844514492</v>
      </c>
      <c r="AM1816" s="3">
        <v>98.255508779849976</v>
      </c>
      <c r="AN1816" s="3">
        <v>101.20317404324547</v>
      </c>
      <c r="AO1816" s="3">
        <v>104.2392692645428</v>
      </c>
      <c r="AP1816" s="3">
        <v>107.36644734247909</v>
      </c>
      <c r="AQ1816" s="3">
        <v>107.36644734247909</v>
      </c>
      <c r="AR1816" s="3">
        <v>107.36644734247909</v>
      </c>
      <c r="AS1816" s="3">
        <v>107.36644734247909</v>
      </c>
      <c r="AT1816" s="2"/>
      <c r="AU1816" s="2"/>
    </row>
    <row r="1817" spans="1:47" hidden="1" outlineLevel="1">
      <c r="A1817" s="298"/>
      <c r="B1817" s="2"/>
      <c r="C1817" s="18"/>
      <c r="D1817" s="18"/>
      <c r="E1817" s="18"/>
      <c r="F1817" s="18"/>
      <c r="G1817" s="18"/>
      <c r="H1817" s="18"/>
      <c r="I1817" s="18"/>
      <c r="J1817" s="18"/>
      <c r="K1817" s="6"/>
      <c r="L1817" s="6"/>
      <c r="M1817" s="6"/>
      <c r="N1817" s="6"/>
      <c r="O1817" s="6"/>
      <c r="P1817" s="6"/>
      <c r="Q1817" s="6"/>
      <c r="R1817" s="6"/>
      <c r="S1817" s="6"/>
      <c r="T1817" s="2"/>
      <c r="U1817" s="2"/>
      <c r="V1817" s="2"/>
      <c r="W1817" s="2"/>
      <c r="X1817" s="2"/>
      <c r="Y1817" s="2"/>
      <c r="Z1817" s="2"/>
      <c r="AA1817" s="2"/>
      <c r="AB1817" s="2"/>
      <c r="AC1817" s="2"/>
      <c r="AD1817" s="2"/>
      <c r="AE1817" s="2"/>
      <c r="AF1817" s="2"/>
      <c r="AG1817" s="2"/>
      <c r="AH1817" s="2"/>
      <c r="AI1817" s="2"/>
      <c r="AJ1817" s="2"/>
      <c r="AK1817" s="2"/>
      <c r="AL1817" s="2"/>
      <c r="AM1817" s="2"/>
      <c r="AN1817" s="2"/>
      <c r="AO1817" s="2"/>
      <c r="AP1817" s="2"/>
      <c r="AQ1817" s="2"/>
      <c r="AR1817" s="2"/>
      <c r="AS1817" s="2"/>
      <c r="AT1817" s="2"/>
      <c r="AU1817" s="2"/>
    </row>
    <row r="1818" spans="1:47" hidden="1" outlineLevel="1">
      <c r="A1818" s="298"/>
      <c r="B1818" s="2" t="s">
        <v>119</v>
      </c>
      <c r="C1818" s="18" t="s">
        <v>272</v>
      </c>
      <c r="D1818" s="18"/>
      <c r="E1818" s="18"/>
      <c r="F1818" s="18"/>
      <c r="G1818" s="18"/>
      <c r="H1818" s="18"/>
      <c r="I1818" s="18"/>
      <c r="J1818" s="18"/>
      <c r="K1818" s="6"/>
      <c r="L1818" s="6"/>
      <c r="M1818" s="6"/>
      <c r="N1818" s="6"/>
      <c r="O1818" s="6"/>
      <c r="P1818" s="6"/>
      <c r="Q1818" s="6"/>
      <c r="R1818" s="6"/>
      <c r="S1818" s="6"/>
      <c r="T1818" s="2">
        <v>-2.177</v>
      </c>
      <c r="U1818" s="2">
        <v>-10.14</v>
      </c>
      <c r="V1818" s="2">
        <v>-28.33</v>
      </c>
      <c r="W1818" s="2">
        <v>-28.72</v>
      </c>
      <c r="X1818" s="19">
        <v>-33.590643274853797</v>
      </c>
      <c r="Y1818" s="19">
        <v>-38.389306599832913</v>
      </c>
      <c r="Z1818" s="2">
        <v>-36</v>
      </c>
      <c r="AA1818" s="2">
        <v>-36</v>
      </c>
      <c r="AB1818" s="2">
        <v>-36</v>
      </c>
      <c r="AC1818" s="2">
        <v>-24</v>
      </c>
      <c r="AD1818" s="2">
        <v>-24</v>
      </c>
      <c r="AE1818" s="2">
        <v>-24</v>
      </c>
      <c r="AF1818" s="2">
        <v>-24</v>
      </c>
      <c r="AG1818" s="2">
        <v>-24</v>
      </c>
      <c r="AH1818" s="2">
        <v>-24</v>
      </c>
      <c r="AI1818" s="2">
        <v>-24</v>
      </c>
      <c r="AJ1818" s="2">
        <v>-24</v>
      </c>
      <c r="AK1818" s="2">
        <v>-24</v>
      </c>
      <c r="AL1818" s="2">
        <v>-24</v>
      </c>
      <c r="AM1818" s="2">
        <v>-24</v>
      </c>
      <c r="AN1818" s="2">
        <v>-24</v>
      </c>
      <c r="AO1818" s="2">
        <v>-24</v>
      </c>
      <c r="AP1818" s="2">
        <v>-24</v>
      </c>
      <c r="AQ1818" s="2">
        <v>-24</v>
      </c>
      <c r="AR1818" s="2">
        <v>-24</v>
      </c>
      <c r="AS1818" s="2">
        <v>-24</v>
      </c>
      <c r="AT1818" s="2"/>
      <c r="AU1818" s="2"/>
    </row>
    <row r="1819" spans="1:47" hidden="1" outlineLevel="1">
      <c r="A1819" s="298"/>
      <c r="B1819" s="2"/>
      <c r="C1819" s="18"/>
      <c r="D1819" s="18"/>
      <c r="E1819" s="18"/>
      <c r="F1819" s="18"/>
      <c r="G1819" s="18"/>
      <c r="H1819" s="18"/>
      <c r="I1819" s="18"/>
      <c r="J1819" s="18"/>
      <c r="K1819" s="6"/>
      <c r="L1819" s="6"/>
      <c r="M1819" s="6"/>
      <c r="N1819" s="6"/>
      <c r="O1819" s="6"/>
      <c r="P1819" s="6"/>
      <c r="Q1819" s="6"/>
      <c r="R1819" s="6"/>
      <c r="S1819" s="6"/>
      <c r="T1819" s="2"/>
      <c r="U1819" s="2"/>
      <c r="V1819" s="2"/>
      <c r="W1819" s="2"/>
      <c r="X1819" s="2"/>
      <c r="Y1819" s="2"/>
      <c r="Z1819" s="2"/>
      <c r="AA1819" s="2"/>
      <c r="AB1819" s="2"/>
      <c r="AC1819" s="2"/>
      <c r="AD1819" s="2"/>
      <c r="AE1819" s="2"/>
      <c r="AF1819" s="2"/>
      <c r="AG1819" s="2"/>
      <c r="AH1819" s="2"/>
      <c r="AI1819" s="2"/>
      <c r="AJ1819" s="2"/>
      <c r="AK1819" s="2"/>
      <c r="AL1819" s="2"/>
      <c r="AM1819" s="2"/>
      <c r="AN1819" s="2"/>
      <c r="AO1819" s="2"/>
      <c r="AP1819" s="2"/>
      <c r="AQ1819" s="2"/>
      <c r="AR1819" s="2"/>
      <c r="AS1819" s="2"/>
      <c r="AT1819" s="2"/>
      <c r="AU1819" s="2"/>
    </row>
    <row r="1820" spans="1:47" hidden="1" outlineLevel="1">
      <c r="A1820" s="298"/>
      <c r="B1820" s="2" t="s">
        <v>444</v>
      </c>
      <c r="C1820" s="18" t="s">
        <v>272</v>
      </c>
      <c r="D1820" s="18"/>
      <c r="E1820" s="18"/>
      <c r="F1820" s="18"/>
      <c r="G1820" s="18"/>
      <c r="H1820" s="18"/>
      <c r="I1820" s="18"/>
      <c r="J1820" s="18"/>
      <c r="K1820" s="6"/>
      <c r="L1820" s="6"/>
      <c r="M1820" s="6"/>
      <c r="N1820" s="6"/>
      <c r="O1820" s="6"/>
      <c r="P1820" s="6"/>
      <c r="Q1820" s="6"/>
      <c r="R1820" s="6"/>
      <c r="S1820" s="6"/>
      <c r="T1820" s="3">
        <v>-127.982</v>
      </c>
      <c r="U1820" s="3">
        <v>-93.747</v>
      </c>
      <c r="V1820" s="3">
        <v>-116.65</v>
      </c>
      <c r="W1820" s="3">
        <v>-125.67</v>
      </c>
      <c r="X1820" s="3">
        <v>-2.8306432748538057</v>
      </c>
      <c r="Y1820" s="3">
        <v>-10.036506599832926</v>
      </c>
      <c r="Z1820" s="3">
        <v>13.203384000000028</v>
      </c>
      <c r="AA1820" s="3">
        <v>34.079485520000006</v>
      </c>
      <c r="AB1820" s="3">
        <v>34.981870085600065</v>
      </c>
      <c r="AC1820" s="3">
        <v>49.111326188168093</v>
      </c>
      <c r="AD1820" s="3">
        <v>51.304665973813158</v>
      </c>
      <c r="AE1820" s="3">
        <v>53.563805953027597</v>
      </c>
      <c r="AF1820" s="3">
        <v>55.890720131618423</v>
      </c>
      <c r="AG1820" s="3">
        <v>58.287441735566944</v>
      </c>
      <c r="AH1820" s="3">
        <v>60.756064987633948</v>
      </c>
      <c r="AI1820" s="3">
        <v>63.298746937262962</v>
      </c>
      <c r="AJ1820" s="3">
        <v>65.917709345380842</v>
      </c>
      <c r="AK1820" s="3">
        <v>68.615240625742274</v>
      </c>
      <c r="AL1820" s="3">
        <v>71.393697844514492</v>
      </c>
      <c r="AM1820" s="3">
        <v>74.255508779849976</v>
      </c>
      <c r="AN1820" s="3">
        <v>77.203174043245468</v>
      </c>
      <c r="AO1820" s="3">
        <v>80.239269264542799</v>
      </c>
      <c r="AP1820" s="3">
        <v>83.366447342479091</v>
      </c>
      <c r="AQ1820" s="3">
        <v>83.366447342479091</v>
      </c>
      <c r="AR1820" s="3">
        <v>83.366447342479091</v>
      </c>
      <c r="AS1820" s="3">
        <v>83.366447342479091</v>
      </c>
      <c r="AT1820" s="2"/>
      <c r="AU1820" s="2"/>
    </row>
    <row r="1821" spans="1:47" hidden="1" outlineLevel="1">
      <c r="A1821" s="298"/>
      <c r="B1821" s="2" t="s">
        <v>120</v>
      </c>
      <c r="C1821" s="18" t="s">
        <v>272</v>
      </c>
      <c r="D1821" s="18"/>
      <c r="E1821" s="18"/>
      <c r="F1821" s="18"/>
      <c r="G1821" s="18"/>
      <c r="H1821" s="18"/>
      <c r="I1821" s="18"/>
      <c r="J1821" s="18"/>
      <c r="K1821" s="6"/>
      <c r="L1821" s="6"/>
      <c r="M1821" s="6"/>
      <c r="N1821" s="6"/>
      <c r="O1821" s="6"/>
      <c r="P1821" s="6"/>
      <c r="Q1821" s="6"/>
      <c r="R1821" s="6"/>
      <c r="S1821" s="6"/>
      <c r="T1821" s="530">
        <v>66.986999999999995</v>
      </c>
      <c r="U1821" s="530">
        <v>14.601000000000001</v>
      </c>
      <c r="V1821" s="530">
        <v>33.179000000000002</v>
      </c>
      <c r="W1821" s="530">
        <v>3.802</v>
      </c>
      <c r="X1821" s="19">
        <v>0.48120935672514703</v>
      </c>
      <c r="Y1821" s="19">
        <v>1.7062061219715976</v>
      </c>
      <c r="Z1821" s="19">
        <v>-2.2445752800000052</v>
      </c>
      <c r="AA1821" s="19">
        <v>-5.7935125384000017</v>
      </c>
      <c r="AB1821" s="19">
        <v>-5.946917914552011</v>
      </c>
      <c r="AC1821" s="19">
        <v>-8.3489254519885758</v>
      </c>
      <c r="AD1821" s="19">
        <v>-8.7217932155482369</v>
      </c>
      <c r="AE1821" s="19">
        <v>-9.1058470120146922</v>
      </c>
      <c r="AF1821" s="19">
        <v>-9.501422422375132</v>
      </c>
      <c r="AG1821" s="19">
        <v>-9.9088650950463819</v>
      </c>
      <c r="AH1821" s="19">
        <v>-10.328531047897773</v>
      </c>
      <c r="AI1821" s="19">
        <v>-10.760786979334704</v>
      </c>
      <c r="AJ1821" s="19">
        <v>-11.206010588714744</v>
      </c>
      <c r="AK1821" s="19">
        <v>-11.664590906376187</v>
      </c>
      <c r="AL1821" s="19">
        <v>-12.136928633567464</v>
      </c>
      <c r="AM1821" s="19">
        <v>-12.623436492574497</v>
      </c>
      <c r="AN1821" s="19">
        <v>-13.12453958735173</v>
      </c>
      <c r="AO1821" s="19">
        <v>-13.640675774972276</v>
      </c>
      <c r="AP1821" s="19">
        <v>-14.172296048221446</v>
      </c>
      <c r="AQ1821" s="19">
        <v>-14.172296048221446</v>
      </c>
      <c r="AR1821" s="19">
        <v>-14.172296048221446</v>
      </c>
      <c r="AS1821" s="19">
        <v>-14.172296048221446</v>
      </c>
      <c r="AT1821" s="2"/>
      <c r="AU1821" s="2"/>
    </row>
    <row r="1822" spans="1:47" hidden="1" outlineLevel="1">
      <c r="A1822" s="298"/>
      <c r="B1822" s="6" t="s">
        <v>884</v>
      </c>
      <c r="C1822" s="18" t="s">
        <v>272</v>
      </c>
      <c r="D1822" s="21"/>
      <c r="E1822" s="21"/>
      <c r="F1822" s="21"/>
      <c r="G1822" s="21"/>
      <c r="H1822" s="21"/>
      <c r="I1822" s="21"/>
      <c r="J1822" s="21"/>
      <c r="K1822" s="6"/>
      <c r="L1822" s="6"/>
      <c r="M1822" s="6"/>
      <c r="N1822" s="6"/>
      <c r="O1822" s="6"/>
      <c r="P1822" s="6"/>
      <c r="Q1822" s="6"/>
      <c r="R1822" s="6"/>
      <c r="S1822" s="6"/>
      <c r="T1822" s="4">
        <v>-60.995000000000005</v>
      </c>
      <c r="U1822" s="4">
        <v>-79.146000000000001</v>
      </c>
      <c r="V1822" s="4">
        <v>-83.471000000000004</v>
      </c>
      <c r="W1822" s="4">
        <v>-121.86799999999999</v>
      </c>
      <c r="X1822" s="4">
        <v>-2.3494339181286588</v>
      </c>
      <c r="Y1822" s="4">
        <v>-8.3303004778613285</v>
      </c>
      <c r="Z1822" s="4">
        <v>10.958808720000023</v>
      </c>
      <c r="AA1822" s="4">
        <v>28.285972981600004</v>
      </c>
      <c r="AB1822" s="4">
        <v>29.034952171048054</v>
      </c>
      <c r="AC1822" s="4">
        <v>40.762400736179515</v>
      </c>
      <c r="AD1822" s="4">
        <v>42.582872758264919</v>
      </c>
      <c r="AE1822" s="4">
        <v>44.457958941012905</v>
      </c>
      <c r="AF1822" s="4">
        <v>46.389297709243294</v>
      </c>
      <c r="AG1822" s="4">
        <v>48.378576640520564</v>
      </c>
      <c r="AH1822" s="4">
        <v>50.427533939736179</v>
      </c>
      <c r="AI1822" s="4">
        <v>52.537959957928258</v>
      </c>
      <c r="AJ1822" s="4">
        <v>54.711698756666095</v>
      </c>
      <c r="AK1822" s="4">
        <v>56.950649719366083</v>
      </c>
      <c r="AL1822" s="4">
        <v>59.256769210947027</v>
      </c>
      <c r="AM1822" s="4">
        <v>61.632072287275477</v>
      </c>
      <c r="AN1822" s="4">
        <v>64.078634455893734</v>
      </c>
      <c r="AO1822" s="4">
        <v>66.598593489570518</v>
      </c>
      <c r="AP1822" s="4">
        <v>69.194151294257651</v>
      </c>
      <c r="AQ1822" s="4">
        <v>69.194151294257651</v>
      </c>
      <c r="AR1822" s="4">
        <v>69.194151294257651</v>
      </c>
      <c r="AS1822" s="4">
        <v>69.194151294257651</v>
      </c>
      <c r="AT1822" s="6"/>
      <c r="AU1822" s="6"/>
    </row>
    <row r="1823" spans="1:47" hidden="1" outlineLevel="1">
      <c r="A1823" s="298"/>
      <c r="B1823" s="2"/>
      <c r="C1823" s="18"/>
      <c r="D1823" s="18"/>
      <c r="E1823" s="18"/>
      <c r="F1823" s="18"/>
      <c r="G1823" s="18"/>
      <c r="H1823" s="18"/>
      <c r="I1823" s="18"/>
      <c r="J1823" s="18"/>
      <c r="K1823" s="6"/>
      <c r="L1823" s="6"/>
      <c r="M1823" s="6"/>
      <c r="N1823" s="6"/>
      <c r="O1823" s="6"/>
      <c r="P1823" s="6"/>
      <c r="Q1823" s="6"/>
      <c r="R1823" s="6"/>
      <c r="S1823" s="6"/>
      <c r="T1823" s="2"/>
      <c r="U1823" s="2"/>
      <c r="V1823" s="2"/>
      <c r="W1823" s="2"/>
      <c r="X1823" s="2"/>
      <c r="Y1823" s="2"/>
      <c r="Z1823" s="2"/>
      <c r="AA1823" s="2"/>
      <c r="AB1823" s="2"/>
      <c r="AC1823" s="2"/>
      <c r="AD1823" s="2"/>
      <c r="AE1823" s="2"/>
      <c r="AF1823" s="2"/>
      <c r="AG1823" s="2"/>
      <c r="AH1823" s="2"/>
      <c r="AI1823" s="2"/>
      <c r="AJ1823" s="2"/>
      <c r="AK1823" s="2"/>
      <c r="AL1823" s="2"/>
      <c r="AM1823" s="2"/>
      <c r="AN1823" s="2"/>
      <c r="AO1823" s="2"/>
      <c r="AP1823" s="2"/>
      <c r="AQ1823" s="2"/>
      <c r="AR1823" s="2"/>
      <c r="AS1823" s="2"/>
      <c r="AT1823" s="2"/>
      <c r="AU1823" s="2"/>
    </row>
    <row r="1824" spans="1:47" hidden="1" outlineLevel="1">
      <c r="A1824" s="298"/>
      <c r="B1824" s="2"/>
      <c r="C1824" s="18"/>
      <c r="D1824" s="18"/>
      <c r="E1824" s="18"/>
      <c r="F1824" s="18"/>
      <c r="G1824" s="18"/>
      <c r="H1824" s="18"/>
      <c r="I1824" s="18"/>
      <c r="J1824" s="18"/>
      <c r="K1824" s="6"/>
      <c r="L1824" s="6"/>
      <c r="M1824" s="6"/>
      <c r="N1824" s="6"/>
      <c r="O1824" s="6"/>
      <c r="P1824" s="6"/>
      <c r="Q1824" s="6"/>
      <c r="R1824" s="6"/>
      <c r="S1824" s="6"/>
      <c r="T1824" s="2"/>
      <c r="U1824" s="2"/>
      <c r="V1824" s="2"/>
      <c r="W1824" s="2"/>
      <c r="X1824" s="2"/>
      <c r="Y1824" s="2"/>
      <c r="Z1824" s="2"/>
      <c r="AA1824" s="2"/>
      <c r="AB1824" s="2"/>
      <c r="AC1824" s="2"/>
      <c r="AD1824" s="2"/>
      <c r="AE1824" s="2"/>
      <c r="AF1824" s="2"/>
      <c r="AG1824" s="2"/>
      <c r="AH1824" s="2"/>
      <c r="AI1824" s="2"/>
      <c r="AJ1824" s="2"/>
      <c r="AK1824" s="2"/>
      <c r="AL1824" s="2"/>
      <c r="AM1824" s="2"/>
      <c r="AN1824" s="2"/>
      <c r="AO1824" s="2"/>
      <c r="AP1824" s="2"/>
      <c r="AQ1824" s="2"/>
      <c r="AR1824" s="2"/>
      <c r="AS1824" s="2"/>
      <c r="AT1824" s="2"/>
      <c r="AU1824" s="2"/>
    </row>
    <row r="1825" spans="1:47" hidden="1" outlineLevel="1">
      <c r="A1825" s="298"/>
      <c r="B1825" s="2" t="s">
        <v>121</v>
      </c>
      <c r="C1825" s="18" t="s">
        <v>272</v>
      </c>
      <c r="D1825" s="18"/>
      <c r="E1825" s="18"/>
      <c r="F1825" s="18"/>
      <c r="G1825" s="18"/>
      <c r="H1825" s="18"/>
      <c r="I1825" s="18"/>
      <c r="J1825" s="18"/>
      <c r="K1825" s="6"/>
      <c r="L1825" s="6"/>
      <c r="M1825" s="6"/>
      <c r="N1825" s="6"/>
      <c r="O1825" s="6"/>
      <c r="P1825" s="6"/>
      <c r="Q1825" s="6"/>
      <c r="R1825" s="6"/>
      <c r="S1825" s="6"/>
      <c r="T1825" s="2">
        <v>120</v>
      </c>
      <c r="U1825" s="530">
        <v>300</v>
      </c>
      <c r="V1825" s="570">
        <v>299.25</v>
      </c>
      <c r="W1825" s="19">
        <v>299.25</v>
      </c>
      <c r="X1825" s="530">
        <v>350</v>
      </c>
      <c r="Y1825" s="530">
        <v>400</v>
      </c>
      <c r="Z1825" s="2">
        <v>400</v>
      </c>
      <c r="AA1825" s="2">
        <v>400</v>
      </c>
      <c r="AB1825" s="2">
        <v>400</v>
      </c>
      <c r="AC1825" s="2">
        <v>400</v>
      </c>
      <c r="AD1825" s="2">
        <v>400</v>
      </c>
      <c r="AE1825" s="2">
        <v>400</v>
      </c>
      <c r="AF1825" s="2">
        <v>400</v>
      </c>
      <c r="AG1825" s="2">
        <v>400</v>
      </c>
      <c r="AH1825" s="2">
        <v>400</v>
      </c>
      <c r="AI1825" s="2">
        <v>400</v>
      </c>
      <c r="AJ1825" s="2">
        <v>400</v>
      </c>
      <c r="AK1825" s="2">
        <v>400</v>
      </c>
      <c r="AL1825" s="2">
        <v>400</v>
      </c>
      <c r="AM1825" s="2">
        <v>400</v>
      </c>
      <c r="AN1825" s="2">
        <v>400</v>
      </c>
      <c r="AO1825" s="2">
        <v>400</v>
      </c>
      <c r="AP1825" s="2">
        <v>400</v>
      </c>
      <c r="AQ1825" s="2">
        <v>400</v>
      </c>
      <c r="AR1825" s="2">
        <v>400</v>
      </c>
      <c r="AS1825" s="2">
        <v>400</v>
      </c>
      <c r="AT1825" s="2"/>
      <c r="AU1825" s="2"/>
    </row>
    <row r="1826" spans="1:47" hidden="1" outlineLevel="1">
      <c r="A1826" s="298"/>
      <c r="B1826" s="2" t="s">
        <v>91</v>
      </c>
      <c r="C1826" s="18" t="s">
        <v>733</v>
      </c>
      <c r="D1826" s="18"/>
      <c r="E1826" s="18"/>
      <c r="F1826" s="18"/>
      <c r="G1826" s="18"/>
      <c r="H1826" s="18"/>
      <c r="I1826" s="18"/>
      <c r="J1826" s="18"/>
      <c r="K1826" s="6"/>
      <c r="L1826" s="6"/>
      <c r="M1826" s="6"/>
      <c r="N1826" s="6"/>
      <c r="O1826" s="6"/>
      <c r="P1826" s="6"/>
      <c r="Q1826" s="6"/>
      <c r="R1826" s="6"/>
      <c r="S1826" s="6"/>
      <c r="T1826" s="2">
        <v>-1.8141666666666667E-2</v>
      </c>
      <c r="U1826" s="2">
        <v>-3.3800000000000004E-2</v>
      </c>
      <c r="V1826" s="2">
        <v>-9.4670008354218876E-2</v>
      </c>
      <c r="W1826" s="2">
        <v>-9.597326649958228E-2</v>
      </c>
      <c r="X1826" s="2">
        <v>-9.597326649958228E-2</v>
      </c>
      <c r="Y1826" s="2">
        <v>-9.597326649958228E-2</v>
      </c>
      <c r="Z1826" s="709">
        <v>-0.09</v>
      </c>
      <c r="AA1826" s="709">
        <v>-0.09</v>
      </c>
      <c r="AB1826" s="709">
        <v>-0.09</v>
      </c>
      <c r="AC1826" s="709">
        <v>-0.06</v>
      </c>
      <c r="AD1826" s="709">
        <v>-0.06</v>
      </c>
      <c r="AE1826" s="709">
        <v>-0.06</v>
      </c>
      <c r="AF1826" s="709">
        <v>-0.06</v>
      </c>
      <c r="AG1826" s="709">
        <v>-0.06</v>
      </c>
      <c r="AH1826" s="709">
        <v>-0.06</v>
      </c>
      <c r="AI1826" s="709">
        <v>-0.06</v>
      </c>
      <c r="AJ1826" s="709">
        <v>-0.06</v>
      </c>
      <c r="AK1826" s="709">
        <v>-0.06</v>
      </c>
      <c r="AL1826" s="709">
        <v>-0.06</v>
      </c>
      <c r="AM1826" s="709">
        <v>-0.06</v>
      </c>
      <c r="AN1826" s="709">
        <v>-0.06</v>
      </c>
      <c r="AO1826" s="709">
        <v>-0.06</v>
      </c>
      <c r="AP1826" s="709">
        <v>-0.06</v>
      </c>
      <c r="AQ1826" s="709">
        <v>-0.06</v>
      </c>
      <c r="AR1826" s="709">
        <v>-0.06</v>
      </c>
      <c r="AS1826" s="709">
        <v>-0.06</v>
      </c>
      <c r="AT1826" s="2"/>
      <c r="AU1826" s="2"/>
    </row>
    <row r="1827" spans="1:47" hidden="1" outlineLevel="1">
      <c r="A1827" s="298"/>
      <c r="B1827" s="2"/>
      <c r="C1827" s="18"/>
      <c r="D1827" s="18"/>
      <c r="E1827" s="18"/>
      <c r="F1827" s="18"/>
      <c r="G1827" s="18"/>
      <c r="H1827" s="18"/>
      <c r="I1827" s="18"/>
      <c r="J1827" s="18"/>
      <c r="K1827" s="6"/>
      <c r="L1827" s="6"/>
      <c r="M1827" s="6"/>
      <c r="N1827" s="6"/>
      <c r="O1827" s="6"/>
      <c r="P1827" s="6"/>
      <c r="Q1827" s="6"/>
      <c r="R1827" s="6"/>
      <c r="S1827" s="6"/>
      <c r="T1827" s="2"/>
      <c r="U1827" s="2"/>
      <c r="V1827" s="2"/>
      <c r="W1827" s="2"/>
      <c r="X1827" s="2"/>
      <c r="Y1827" s="2"/>
      <c r="Z1827" s="2"/>
      <c r="AA1827" s="2"/>
      <c r="AB1827" s="2"/>
      <c r="AC1827" s="2"/>
      <c r="AD1827" s="2"/>
      <c r="AE1827" s="2"/>
      <c r="AF1827" s="2"/>
      <c r="AG1827" s="2"/>
      <c r="AH1827" s="2"/>
      <c r="AI1827" s="2"/>
      <c r="AJ1827" s="2"/>
      <c r="AK1827" s="2"/>
      <c r="AL1827" s="2"/>
      <c r="AM1827" s="2"/>
      <c r="AN1827" s="2"/>
      <c r="AO1827" s="2"/>
      <c r="AP1827" s="2"/>
      <c r="AQ1827" s="2"/>
      <c r="AR1827" s="2"/>
      <c r="AS1827" s="2"/>
      <c r="AT1827" s="2"/>
      <c r="AU1827" s="2"/>
    </row>
    <row r="1828" spans="1:47" hidden="1" outlineLevel="1">
      <c r="A1828" s="298"/>
      <c r="B1828" s="2" t="s">
        <v>122</v>
      </c>
      <c r="C1828" s="18" t="s">
        <v>272</v>
      </c>
      <c r="D1828" s="18"/>
      <c r="E1828" s="18"/>
      <c r="F1828" s="18"/>
      <c r="G1828" s="18"/>
      <c r="H1828" s="18"/>
      <c r="I1828" s="18"/>
      <c r="J1828" s="18"/>
      <c r="K1828" s="6"/>
      <c r="L1828" s="6"/>
      <c r="M1828" s="6"/>
      <c r="N1828" s="6"/>
      <c r="O1828" s="6"/>
      <c r="P1828" s="6"/>
      <c r="Q1828" s="6"/>
      <c r="R1828" s="6"/>
      <c r="S1828" s="6"/>
      <c r="T1828" s="566">
        <v>90.677000000000007</v>
      </c>
      <c r="U1828" s="566">
        <v>85.71</v>
      </c>
      <c r="V1828" s="566">
        <v>58.948</v>
      </c>
      <c r="W1828" s="566">
        <v>60.875999999999998</v>
      </c>
      <c r="X1828" s="3">
        <v>49.559999999999995</v>
      </c>
      <c r="Y1828" s="3">
        <v>51.046799999999998</v>
      </c>
      <c r="Z1828" s="3">
        <v>52.578204000000007</v>
      </c>
      <c r="AA1828" s="3">
        <v>54.155550120000001</v>
      </c>
      <c r="AB1828" s="3">
        <v>55.780216623600005</v>
      </c>
      <c r="AC1828" s="3">
        <v>57.453623122308009</v>
      </c>
      <c r="AD1828" s="3">
        <v>59.177231815977258</v>
      </c>
      <c r="AE1828" s="3">
        <v>60.95254877045658</v>
      </c>
      <c r="AF1828" s="3">
        <v>62.781125233570279</v>
      </c>
      <c r="AG1828" s="3">
        <v>64.664558990577376</v>
      </c>
      <c r="AH1828" s="3">
        <v>66.604495760294711</v>
      </c>
      <c r="AI1828" s="3">
        <v>68.602630633103544</v>
      </c>
      <c r="AJ1828" s="3">
        <v>70.660709552096648</v>
      </c>
      <c r="AK1828" s="3">
        <v>72.780530838659558</v>
      </c>
      <c r="AL1828" s="3">
        <v>74.963946763819337</v>
      </c>
      <c r="AM1828" s="3">
        <v>77.21286516673392</v>
      </c>
      <c r="AN1828" s="3">
        <v>79.529251121735939</v>
      </c>
      <c r="AO1828" s="3">
        <v>81.915128655388017</v>
      </c>
      <c r="AP1828" s="3">
        <v>84.372582515049658</v>
      </c>
      <c r="AQ1828" s="3">
        <v>84.372582515049658</v>
      </c>
      <c r="AR1828" s="3">
        <v>84.372582515049658</v>
      </c>
      <c r="AS1828" s="3">
        <v>84.372582515049658</v>
      </c>
      <c r="AT1828" s="2"/>
      <c r="AU1828" s="2"/>
    </row>
    <row r="1829" spans="1:47" hidden="1" outlineLevel="1">
      <c r="A1829" s="298"/>
      <c r="B1829" s="2" t="s">
        <v>479</v>
      </c>
      <c r="C1829" s="18" t="s">
        <v>733</v>
      </c>
      <c r="D1829" s="18"/>
      <c r="E1829" s="18"/>
      <c r="F1829" s="18"/>
      <c r="G1829" s="18"/>
      <c r="H1829" s="18"/>
      <c r="I1829" s="18"/>
      <c r="J1829" s="18"/>
      <c r="K1829" s="6"/>
      <c r="L1829" s="6"/>
      <c r="M1829" s="6"/>
      <c r="N1829" s="6"/>
      <c r="O1829" s="6"/>
      <c r="P1829" s="6"/>
      <c r="Q1829" s="6"/>
      <c r="R1829" s="6"/>
      <c r="S1829" s="6"/>
      <c r="T1829" s="80">
        <v>0.18472260135837126</v>
      </c>
      <c r="U1829" s="80">
        <v>0.16923918387656656</v>
      </c>
      <c r="V1829" s="80">
        <v>0.11150498053562038</v>
      </c>
      <c r="W1829" s="80">
        <v>0.11740179392779931</v>
      </c>
      <c r="X1829" s="80">
        <v>0.105</v>
      </c>
      <c r="Y1829" s="805">
        <v>0.105</v>
      </c>
      <c r="Z1829" s="805">
        <v>0.105</v>
      </c>
      <c r="AA1829" s="805">
        <v>0.105</v>
      </c>
      <c r="AB1829" s="805">
        <v>0.105</v>
      </c>
      <c r="AC1829" s="805">
        <v>0.105</v>
      </c>
      <c r="AD1829" s="805">
        <v>0.105</v>
      </c>
      <c r="AE1829" s="805">
        <v>0.105</v>
      </c>
      <c r="AF1829" s="805">
        <v>0.105</v>
      </c>
      <c r="AG1829" s="805">
        <v>0.105</v>
      </c>
      <c r="AH1829" s="805">
        <v>0.105</v>
      </c>
      <c r="AI1829" s="805">
        <v>0.105</v>
      </c>
      <c r="AJ1829" s="805">
        <v>0.105</v>
      </c>
      <c r="AK1829" s="805">
        <v>0.105</v>
      </c>
      <c r="AL1829" s="805">
        <v>0.105</v>
      </c>
      <c r="AM1829" s="805">
        <v>0.105</v>
      </c>
      <c r="AN1829" s="805">
        <v>0.105</v>
      </c>
      <c r="AO1829" s="805">
        <v>0.105</v>
      </c>
      <c r="AP1829" s="805">
        <v>0.105</v>
      </c>
      <c r="AQ1829" s="805">
        <v>0.105</v>
      </c>
      <c r="AR1829" s="805">
        <v>0.105</v>
      </c>
      <c r="AS1829" s="805">
        <v>0.105</v>
      </c>
      <c r="AT1829" s="2"/>
      <c r="AU1829" s="2"/>
    </row>
    <row r="1830" spans="1:47" hidden="1" outlineLevel="1">
      <c r="A1830" s="298"/>
      <c r="B1830" s="2"/>
      <c r="C1830" s="18"/>
      <c r="D1830" s="18"/>
      <c r="E1830" s="18"/>
      <c r="F1830" s="18"/>
      <c r="G1830" s="18"/>
      <c r="H1830" s="18"/>
      <c r="I1830" s="18"/>
      <c r="J1830" s="18"/>
      <c r="K1830" s="6"/>
      <c r="L1830" s="6"/>
      <c r="M1830" s="6"/>
      <c r="N1830" s="6"/>
      <c r="O1830" s="6"/>
      <c r="P1830" s="6"/>
      <c r="Q1830" s="6"/>
      <c r="R1830" s="6"/>
      <c r="S1830" s="6"/>
      <c r="T1830" s="80"/>
      <c r="U1830" s="80"/>
      <c r="V1830" s="80"/>
      <c r="W1830" s="80"/>
      <c r="X1830" s="2"/>
      <c r="Y1830" s="80"/>
      <c r="Z1830" s="80"/>
      <c r="AA1830" s="80"/>
      <c r="AB1830" s="80"/>
      <c r="AC1830" s="80"/>
      <c r="AD1830" s="80"/>
      <c r="AE1830" s="80"/>
      <c r="AF1830" s="80"/>
      <c r="AG1830" s="80"/>
      <c r="AH1830" s="80"/>
      <c r="AI1830" s="80"/>
      <c r="AJ1830" s="80"/>
      <c r="AK1830" s="80"/>
      <c r="AL1830" s="80"/>
      <c r="AM1830" s="80"/>
      <c r="AN1830" s="80"/>
      <c r="AO1830" s="80"/>
      <c r="AP1830" s="80"/>
      <c r="AQ1830" s="80"/>
      <c r="AR1830" s="80"/>
      <c r="AS1830" s="80"/>
      <c r="AT1830" s="2"/>
      <c r="AU1830" s="2"/>
    </row>
    <row r="1831" spans="1:47" hidden="1" outlineLevel="1">
      <c r="A1831" s="298"/>
      <c r="B1831" s="2"/>
      <c r="C1831" s="18"/>
      <c r="D1831" s="18"/>
      <c r="E1831" s="18"/>
      <c r="F1831" s="18"/>
      <c r="G1831" s="18"/>
      <c r="H1831" s="18"/>
      <c r="I1831" s="18"/>
      <c r="J1831" s="18"/>
      <c r="K1831" s="6"/>
      <c r="L1831" s="6"/>
      <c r="M1831" s="6"/>
      <c r="N1831" s="6"/>
      <c r="O1831" s="6"/>
      <c r="P1831" s="6"/>
      <c r="Q1831" s="6"/>
      <c r="R1831" s="6"/>
      <c r="S1831" s="6"/>
      <c r="T1831" s="80"/>
      <c r="U1831" s="80"/>
      <c r="V1831" s="80"/>
      <c r="W1831" s="80"/>
      <c r="X1831" s="80"/>
      <c r="Y1831" s="80"/>
      <c r="Z1831" s="80"/>
      <c r="AA1831" s="80"/>
      <c r="AB1831" s="80"/>
      <c r="AC1831" s="80"/>
      <c r="AD1831" s="80"/>
      <c r="AE1831" s="80"/>
      <c r="AF1831" s="80"/>
      <c r="AG1831" s="80"/>
      <c r="AH1831" s="80"/>
      <c r="AI1831" s="80"/>
      <c r="AJ1831" s="80"/>
      <c r="AK1831" s="80"/>
      <c r="AL1831" s="80"/>
      <c r="AM1831" s="80"/>
      <c r="AN1831" s="80"/>
      <c r="AO1831" s="80"/>
      <c r="AP1831" s="80"/>
      <c r="AQ1831" s="80"/>
      <c r="AR1831" s="80"/>
      <c r="AS1831" s="80"/>
      <c r="AT1831" s="2"/>
      <c r="AU1831" s="2"/>
    </row>
    <row r="1832" spans="1:47" hidden="1" outlineLevel="1">
      <c r="A1832" s="298"/>
      <c r="B1832" s="850" t="s">
        <v>124</v>
      </c>
      <c r="C1832" s="851"/>
      <c r="D1832" s="851"/>
      <c r="E1832" s="851"/>
      <c r="F1832" s="851"/>
      <c r="G1832" s="851"/>
      <c r="H1832" s="851"/>
      <c r="I1832" s="851"/>
      <c r="J1832" s="851"/>
      <c r="K1832" s="850"/>
      <c r="L1832" s="850"/>
      <c r="M1832" s="850"/>
      <c r="N1832" s="850"/>
      <c r="O1832" s="850"/>
      <c r="P1832" s="850"/>
      <c r="Q1832" s="850"/>
      <c r="R1832" s="850"/>
      <c r="S1832" s="850"/>
      <c r="T1832" s="852"/>
      <c r="U1832" s="852"/>
      <c r="V1832" s="852"/>
      <c r="W1832" s="852"/>
      <c r="X1832" s="852"/>
      <c r="Y1832" s="563">
        <v>0.93</v>
      </c>
      <c r="Z1832" s="563">
        <v>0.8</v>
      </c>
      <c r="AA1832" s="563">
        <v>0.8</v>
      </c>
      <c r="AB1832" s="563">
        <v>0.8</v>
      </c>
      <c r="AC1832" s="563">
        <v>0.8</v>
      </c>
      <c r="AD1832" s="563">
        <v>0.8</v>
      </c>
      <c r="AE1832" s="563">
        <v>0.8</v>
      </c>
      <c r="AF1832" s="563">
        <v>0.8</v>
      </c>
      <c r="AG1832" s="563">
        <v>0.8</v>
      </c>
      <c r="AH1832" s="563">
        <v>0.8</v>
      </c>
      <c r="AI1832" s="563">
        <v>0.8</v>
      </c>
      <c r="AJ1832" s="563">
        <v>0.8</v>
      </c>
      <c r="AK1832" s="563">
        <v>0.8</v>
      </c>
      <c r="AL1832" s="563">
        <v>0.8</v>
      </c>
      <c r="AM1832" s="563">
        <v>0.8</v>
      </c>
      <c r="AN1832" s="563">
        <v>0.8</v>
      </c>
      <c r="AO1832" s="563">
        <v>0.8</v>
      </c>
      <c r="AP1832" s="563">
        <v>0.8</v>
      </c>
      <c r="AQ1832" s="563">
        <v>0.8</v>
      </c>
      <c r="AR1832" s="563">
        <v>0.8</v>
      </c>
      <c r="AS1832" s="563">
        <v>0.8</v>
      </c>
      <c r="AT1832" s="113"/>
      <c r="AU1832" s="113"/>
    </row>
    <row r="1833" spans="1:47" hidden="1" outlineLevel="1">
      <c r="A1833" s="298"/>
      <c r="B1833" s="2"/>
      <c r="C1833" s="18"/>
      <c r="D1833" s="18"/>
      <c r="E1833" s="18"/>
      <c r="F1833" s="18"/>
      <c r="G1833" s="18"/>
      <c r="H1833" s="18"/>
      <c r="I1833" s="18"/>
      <c r="J1833" s="18"/>
      <c r="K1833" s="6"/>
      <c r="L1833" s="6"/>
      <c r="M1833" s="6"/>
      <c r="N1833" s="6"/>
      <c r="O1833" s="6"/>
      <c r="P1833" s="6"/>
      <c r="Q1833" s="6"/>
      <c r="R1833" s="6"/>
      <c r="S1833" s="6"/>
      <c r="T1833" s="80"/>
      <c r="U1833" s="80"/>
      <c r="V1833" s="80"/>
      <c r="W1833" s="80"/>
      <c r="X1833" s="80"/>
      <c r="Y1833" s="80"/>
      <c r="Z1833" s="80"/>
      <c r="AA1833" s="80"/>
      <c r="AB1833" s="80"/>
      <c r="AC1833" s="80"/>
      <c r="AD1833" s="80"/>
      <c r="AE1833" s="80"/>
      <c r="AF1833" s="80"/>
      <c r="AG1833" s="80"/>
      <c r="AH1833" s="80"/>
      <c r="AI1833" s="80"/>
      <c r="AJ1833" s="80"/>
      <c r="AK1833" s="80"/>
      <c r="AL1833" s="80"/>
      <c r="AM1833" s="80"/>
      <c r="AN1833" s="80"/>
      <c r="AO1833" s="80"/>
      <c r="AP1833" s="80"/>
      <c r="AQ1833" s="80"/>
      <c r="AR1833" s="80"/>
      <c r="AS1833" s="80"/>
      <c r="AT1833" s="2"/>
      <c r="AU1833" s="2"/>
    </row>
    <row r="1834" spans="1:47" hidden="1" outlineLevel="1">
      <c r="A1834" s="298"/>
      <c r="B1834" s="2"/>
      <c r="C1834" s="18"/>
      <c r="D1834" s="18"/>
      <c r="E1834" s="18"/>
      <c r="F1834" s="18"/>
      <c r="G1834" s="18"/>
      <c r="H1834" s="18"/>
      <c r="I1834" s="18"/>
      <c r="J1834" s="18"/>
      <c r="K1834" s="6"/>
      <c r="L1834" s="6"/>
      <c r="M1834" s="6"/>
      <c r="N1834" s="6"/>
      <c r="O1834" s="6"/>
      <c r="P1834" s="6"/>
      <c r="Q1834" s="6"/>
      <c r="R1834" s="6"/>
      <c r="S1834" s="6"/>
      <c r="T1834" s="41" t="s">
        <v>189</v>
      </c>
      <c r="U1834" s="41" t="s">
        <v>190</v>
      </c>
      <c r="V1834" s="41" t="s">
        <v>191</v>
      </c>
      <c r="W1834" s="41" t="s">
        <v>67</v>
      </c>
      <c r="X1834" s="41" t="s">
        <v>633</v>
      </c>
      <c r="Y1834" s="41" t="s">
        <v>172</v>
      </c>
      <c r="Z1834" s="41" t="s">
        <v>725</v>
      </c>
      <c r="AA1834" s="41" t="s">
        <v>726</v>
      </c>
      <c r="AB1834" s="41" t="s">
        <v>727</v>
      </c>
      <c r="AC1834" s="41" t="s">
        <v>728</v>
      </c>
      <c r="AD1834" s="41" t="s">
        <v>729</v>
      </c>
      <c r="AE1834" s="41" t="s">
        <v>730</v>
      </c>
      <c r="AF1834" s="41" t="s">
        <v>429</v>
      </c>
      <c r="AG1834" s="41" t="s">
        <v>430</v>
      </c>
      <c r="AH1834" s="41" t="s">
        <v>431</v>
      </c>
      <c r="AI1834" s="41" t="s">
        <v>478</v>
      </c>
      <c r="AJ1834" s="41" t="s">
        <v>478</v>
      </c>
      <c r="AK1834" s="41" t="s">
        <v>478</v>
      </c>
      <c r="AL1834" s="41" t="s">
        <v>478</v>
      </c>
      <c r="AM1834" s="41" t="s">
        <v>478</v>
      </c>
      <c r="AN1834" s="41" t="s">
        <v>478</v>
      </c>
      <c r="AO1834" s="41" t="s">
        <v>478</v>
      </c>
      <c r="AP1834" s="41" t="s">
        <v>478</v>
      </c>
      <c r="AQ1834" s="41" t="s">
        <v>478</v>
      </c>
      <c r="AR1834" s="41" t="s">
        <v>478</v>
      </c>
      <c r="AS1834" s="41" t="s">
        <v>478</v>
      </c>
      <c r="AT1834" s="2"/>
      <c r="AU1834" s="2"/>
    </row>
    <row r="1835" spans="1:47" hidden="1" outlineLevel="1">
      <c r="A1835" s="298"/>
      <c r="B1835" s="6" t="s">
        <v>731</v>
      </c>
      <c r="C1835" s="18" t="s">
        <v>732</v>
      </c>
      <c r="D1835" s="18"/>
      <c r="E1835" s="18"/>
      <c r="F1835" s="18"/>
      <c r="G1835" s="18"/>
      <c r="H1835" s="18"/>
      <c r="I1835" s="18"/>
      <c r="J1835" s="18"/>
      <c r="K1835" s="6"/>
      <c r="L1835" s="6"/>
      <c r="M1835" s="6"/>
      <c r="N1835" s="6"/>
      <c r="O1835" s="6"/>
      <c r="P1835" s="6"/>
      <c r="Q1835" s="6"/>
      <c r="R1835" s="6"/>
      <c r="S1835" s="6"/>
      <c r="T1835" s="80"/>
      <c r="U1835" s="80"/>
      <c r="V1835" s="80"/>
      <c r="W1835" s="80"/>
      <c r="X1835" s="80"/>
      <c r="Y1835" s="3"/>
      <c r="Z1835" s="3">
        <v>415</v>
      </c>
      <c r="AA1835" s="566">
        <v>503</v>
      </c>
      <c r="AB1835" s="3">
        <v>523.12</v>
      </c>
      <c r="AC1835" s="3">
        <v>544.04480000000001</v>
      </c>
      <c r="AD1835" s="3">
        <v>560.36614400000019</v>
      </c>
      <c r="AE1835" s="3">
        <v>577.17712832000018</v>
      </c>
      <c r="AF1835" s="3">
        <v>594.49244216960005</v>
      </c>
      <c r="AG1835" s="3">
        <v>612.3272154346879</v>
      </c>
      <c r="AH1835" s="3">
        <v>630.69703189772872</v>
      </c>
      <c r="AI1835" s="3">
        <v>649.61794285466044</v>
      </c>
      <c r="AJ1835" s="3">
        <v>669.10648114030016</v>
      </c>
      <c r="AK1835" s="3">
        <v>689.17967557450902</v>
      </c>
      <c r="AL1835" s="3">
        <v>709.85506584174414</v>
      </c>
      <c r="AM1835" s="3">
        <v>731.15071781699635</v>
      </c>
      <c r="AN1835" s="3">
        <v>753.08523935150606</v>
      </c>
      <c r="AO1835" s="3">
        <v>775.67779653205105</v>
      </c>
      <c r="AP1835" s="3">
        <v>798.9481304280124</v>
      </c>
      <c r="AQ1835" s="3">
        <v>798.9481304280124</v>
      </c>
      <c r="AR1835" s="3">
        <v>798.9481304280124</v>
      </c>
      <c r="AS1835" s="3">
        <v>798.9481304280124</v>
      </c>
      <c r="AT1835" s="2"/>
      <c r="AU1835" s="2"/>
    </row>
    <row r="1836" spans="1:47" hidden="1" outlineLevel="1">
      <c r="A1836" s="298"/>
      <c r="B1836" s="241" t="s">
        <v>1099</v>
      </c>
      <c r="C1836" s="18" t="s">
        <v>733</v>
      </c>
      <c r="D1836" s="18"/>
      <c r="E1836" s="18"/>
      <c r="F1836" s="18"/>
      <c r="G1836" s="18"/>
      <c r="H1836" s="18"/>
      <c r="I1836" s="18"/>
      <c r="J1836" s="18"/>
      <c r="K1836" s="6"/>
      <c r="L1836" s="6"/>
      <c r="M1836" s="6"/>
      <c r="N1836" s="6"/>
      <c r="O1836" s="6"/>
      <c r="P1836" s="6"/>
      <c r="Q1836" s="6"/>
      <c r="R1836" s="6"/>
      <c r="S1836" s="6"/>
      <c r="T1836" s="80"/>
      <c r="U1836" s="80"/>
      <c r="V1836" s="80"/>
      <c r="W1836" s="80"/>
      <c r="X1836" s="80"/>
      <c r="Y1836" s="80"/>
      <c r="Z1836" s="80"/>
      <c r="AA1836" s="80">
        <v>0.21204819277108444</v>
      </c>
      <c r="AB1836" s="590">
        <v>0.04</v>
      </c>
      <c r="AC1836" s="82">
        <v>0.04</v>
      </c>
      <c r="AD1836" s="82">
        <v>3.0000000000000249E-2</v>
      </c>
      <c r="AE1836" s="82">
        <v>3.0000000000000027E-2</v>
      </c>
      <c r="AF1836" s="82">
        <v>2.9999999999999805E-2</v>
      </c>
      <c r="AG1836" s="82">
        <v>2.9999999999999805E-2</v>
      </c>
      <c r="AH1836" s="82">
        <v>3.0000000000000249E-2</v>
      </c>
      <c r="AI1836" s="82">
        <v>2.9999999999999805E-2</v>
      </c>
      <c r="AJ1836" s="82">
        <v>2.9999999999999805E-2</v>
      </c>
      <c r="AK1836" s="82">
        <v>2.9999999999999805E-2</v>
      </c>
      <c r="AL1836" s="82">
        <v>2.9999999999999805E-2</v>
      </c>
      <c r="AM1836" s="82">
        <v>2.9999999999999805E-2</v>
      </c>
      <c r="AN1836" s="82">
        <v>2.9999999999999805E-2</v>
      </c>
      <c r="AO1836" s="82">
        <v>2.9999999999999805E-2</v>
      </c>
      <c r="AP1836" s="82">
        <v>2.9999999999999805E-2</v>
      </c>
      <c r="AQ1836" s="82">
        <v>2.9999999999999805E-2</v>
      </c>
      <c r="AR1836" s="82">
        <v>2.9999999999999805E-2</v>
      </c>
      <c r="AS1836" s="82">
        <v>2.9999999999999805E-2</v>
      </c>
      <c r="AT1836" s="2"/>
      <c r="AU1836" s="2"/>
    </row>
    <row r="1837" spans="1:47" hidden="1" outlineLevel="1">
      <c r="A1837" s="298"/>
      <c r="B1837" s="2"/>
      <c r="C1837" s="18"/>
      <c r="D1837" s="18"/>
      <c r="E1837" s="18"/>
      <c r="F1837" s="18"/>
      <c r="G1837" s="18"/>
      <c r="H1837" s="18"/>
      <c r="I1837" s="18"/>
      <c r="J1837" s="18"/>
      <c r="K1837" s="6"/>
      <c r="L1837" s="6"/>
      <c r="M1837" s="6"/>
      <c r="N1837" s="6"/>
      <c r="O1837" s="6"/>
      <c r="P1837" s="6"/>
      <c r="Q1837" s="6"/>
      <c r="R1837" s="6"/>
      <c r="S1837" s="6"/>
      <c r="T1837" s="80"/>
      <c r="U1837" s="80"/>
      <c r="V1837" s="80"/>
      <c r="W1837" s="80"/>
      <c r="X1837" s="80"/>
      <c r="Y1837" s="80"/>
      <c r="Z1837" s="80"/>
      <c r="AA1837" s="80"/>
      <c r="AB1837" s="80"/>
      <c r="AC1837" s="80"/>
      <c r="AD1837" s="80"/>
      <c r="AE1837" s="80"/>
      <c r="AF1837" s="80"/>
      <c r="AG1837" s="80"/>
      <c r="AH1837" s="80"/>
      <c r="AI1837" s="80"/>
      <c r="AJ1837" s="80"/>
      <c r="AK1837" s="80"/>
      <c r="AL1837" s="80"/>
      <c r="AM1837" s="80"/>
      <c r="AN1837" s="80"/>
      <c r="AO1837" s="80"/>
      <c r="AP1837" s="80"/>
      <c r="AQ1837" s="80"/>
      <c r="AR1837" s="80"/>
      <c r="AS1837" s="80"/>
      <c r="AT1837" s="2"/>
      <c r="AU1837" s="2"/>
    </row>
    <row r="1838" spans="1:47" hidden="1" outlineLevel="1">
      <c r="A1838" s="298"/>
      <c r="B1838" s="2" t="s">
        <v>687</v>
      </c>
      <c r="C1838" s="18" t="s">
        <v>732</v>
      </c>
      <c r="D1838" s="18"/>
      <c r="E1838" s="18"/>
      <c r="F1838" s="18"/>
      <c r="G1838" s="18"/>
      <c r="H1838" s="18"/>
      <c r="I1838" s="18"/>
      <c r="J1838" s="18"/>
      <c r="K1838" s="6"/>
      <c r="L1838" s="6"/>
      <c r="M1838" s="6"/>
      <c r="N1838" s="6"/>
      <c r="O1838" s="6"/>
      <c r="P1838" s="6"/>
      <c r="Q1838" s="6"/>
      <c r="R1838" s="6"/>
      <c r="S1838" s="6"/>
      <c r="T1838" s="80"/>
      <c r="U1838" s="80"/>
      <c r="V1838" s="80"/>
      <c r="W1838" s="80"/>
      <c r="X1838" s="80"/>
      <c r="Y1838" s="3">
        <v>-119.35483870967741</v>
      </c>
      <c r="Z1838" s="3">
        <v>261.66874999999999</v>
      </c>
      <c r="AA1838" s="3">
        <v>320.44381249999998</v>
      </c>
      <c r="AB1838" s="3">
        <v>323.71212687499997</v>
      </c>
      <c r="AC1838" s="3">
        <v>339.40469068124992</v>
      </c>
      <c r="AD1838" s="3">
        <v>349.5868314016875</v>
      </c>
      <c r="AE1838" s="3">
        <v>360.07443634373806</v>
      </c>
      <c r="AF1838" s="3">
        <v>370.87666943405009</v>
      </c>
      <c r="AG1838" s="3">
        <v>382.00296951707145</v>
      </c>
      <c r="AH1838" s="3">
        <v>393.46305860258383</v>
      </c>
      <c r="AI1838" s="3">
        <v>405.26695036066116</v>
      </c>
      <c r="AJ1838" s="3">
        <v>417.42495887148095</v>
      </c>
      <c r="AK1838" s="3">
        <v>429.94770763762523</v>
      </c>
      <c r="AL1838" s="3">
        <v>442.84613886675385</v>
      </c>
      <c r="AM1838" s="3">
        <v>456.13152303275632</v>
      </c>
      <c r="AN1838" s="3">
        <v>469.81546872373883</v>
      </c>
      <c r="AO1838" s="3">
        <v>483.90993278545079</v>
      </c>
      <c r="AP1838" s="3">
        <v>498.42723076901416</v>
      </c>
      <c r="AQ1838" s="3">
        <v>498.42723076901416</v>
      </c>
      <c r="AR1838" s="3">
        <v>498.42723076901416</v>
      </c>
      <c r="AS1838" s="3">
        <v>498.42723076901416</v>
      </c>
      <c r="AT1838" s="2"/>
      <c r="AU1838" s="2"/>
    </row>
    <row r="1839" spans="1:47" hidden="1" outlineLevel="1">
      <c r="A1839" s="298"/>
      <c r="B1839" s="2" t="s">
        <v>114</v>
      </c>
      <c r="C1839" s="18"/>
      <c r="D1839" s="18"/>
      <c r="E1839" s="18"/>
      <c r="F1839" s="18"/>
      <c r="G1839" s="18"/>
      <c r="H1839" s="18"/>
      <c r="I1839" s="18"/>
      <c r="J1839" s="18"/>
      <c r="K1839" s="6"/>
      <c r="L1839" s="6"/>
      <c r="M1839" s="6"/>
      <c r="N1839" s="6"/>
      <c r="O1839" s="6"/>
      <c r="P1839" s="6"/>
      <c r="Q1839" s="6"/>
      <c r="R1839" s="6"/>
      <c r="S1839" s="6"/>
      <c r="T1839" s="80"/>
      <c r="U1839" s="80"/>
      <c r="V1839" s="80"/>
      <c r="W1839" s="80"/>
      <c r="X1839" s="80"/>
      <c r="Y1839" s="80"/>
      <c r="Z1839" s="80"/>
      <c r="AA1839" s="80"/>
      <c r="AB1839" s="80"/>
      <c r="AC1839" s="80"/>
      <c r="AD1839" s="80"/>
      <c r="AE1839" s="80"/>
      <c r="AF1839" s="80"/>
      <c r="AG1839" s="80"/>
      <c r="AH1839" s="80"/>
      <c r="AI1839" s="80"/>
      <c r="AJ1839" s="80"/>
      <c r="AK1839" s="80"/>
      <c r="AL1839" s="80"/>
      <c r="AM1839" s="80"/>
      <c r="AN1839" s="80"/>
      <c r="AO1839" s="80"/>
      <c r="AP1839" s="80"/>
      <c r="AQ1839" s="80"/>
      <c r="AR1839" s="80"/>
      <c r="AS1839" s="80"/>
      <c r="AT1839" s="2"/>
      <c r="AU1839" s="2"/>
    </row>
    <row r="1840" spans="1:47" hidden="1" outlineLevel="1">
      <c r="A1840" s="298"/>
      <c r="B1840" s="2"/>
      <c r="C1840" s="18"/>
      <c r="D1840" s="18"/>
      <c r="E1840" s="18"/>
      <c r="F1840" s="18"/>
      <c r="G1840" s="18"/>
      <c r="H1840" s="18"/>
      <c r="I1840" s="18"/>
      <c r="J1840" s="18"/>
      <c r="K1840" s="6"/>
      <c r="L1840" s="6"/>
      <c r="M1840" s="6"/>
      <c r="N1840" s="6"/>
      <c r="O1840" s="6"/>
      <c r="P1840" s="6"/>
      <c r="Q1840" s="6"/>
      <c r="R1840" s="6"/>
      <c r="S1840" s="6"/>
      <c r="T1840" s="80"/>
      <c r="U1840" s="80"/>
      <c r="V1840" s="80"/>
      <c r="W1840" s="80"/>
      <c r="X1840" s="80"/>
      <c r="Y1840" s="80"/>
      <c r="Z1840" s="80"/>
      <c r="AA1840" s="80"/>
      <c r="AB1840" s="80"/>
      <c r="AC1840" s="80"/>
      <c r="AD1840" s="80"/>
      <c r="AE1840" s="80"/>
      <c r="AF1840" s="80"/>
      <c r="AG1840" s="80"/>
      <c r="AH1840" s="80"/>
      <c r="AI1840" s="80"/>
      <c r="AJ1840" s="80"/>
      <c r="AK1840" s="80"/>
      <c r="AL1840" s="80"/>
      <c r="AM1840" s="80"/>
      <c r="AN1840" s="80"/>
      <c r="AO1840" s="80"/>
      <c r="AP1840" s="80"/>
      <c r="AQ1840" s="80"/>
      <c r="AR1840" s="80"/>
      <c r="AS1840" s="80"/>
      <c r="AT1840" s="2"/>
      <c r="AU1840" s="2"/>
    </row>
    <row r="1841" spans="1:47" hidden="1" outlineLevel="1">
      <c r="A1841" s="298"/>
      <c r="B1841" s="6" t="s">
        <v>734</v>
      </c>
      <c r="C1841" s="18" t="s">
        <v>732</v>
      </c>
      <c r="D1841" s="18"/>
      <c r="E1841" s="18"/>
      <c r="F1841" s="18"/>
      <c r="G1841" s="18"/>
      <c r="H1841" s="18"/>
      <c r="I1841" s="18"/>
      <c r="J1841" s="18"/>
      <c r="K1841" s="6"/>
      <c r="L1841" s="6"/>
      <c r="M1841" s="6"/>
      <c r="N1841" s="6"/>
      <c r="O1841" s="6"/>
      <c r="P1841" s="6"/>
      <c r="Q1841" s="6"/>
      <c r="R1841" s="6"/>
      <c r="S1841" s="6"/>
      <c r="T1841" s="80"/>
      <c r="U1841" s="80"/>
      <c r="V1841" s="80"/>
      <c r="W1841" s="80"/>
      <c r="X1841" s="80"/>
      <c r="Y1841" s="19">
        <v>119.35483870967741</v>
      </c>
      <c r="Z1841" s="19">
        <v>153.33125000000001</v>
      </c>
      <c r="AA1841" s="19">
        <v>182.55618750000002</v>
      </c>
      <c r="AB1841" s="19">
        <v>199.40787312500007</v>
      </c>
      <c r="AC1841" s="19">
        <v>204.64010931875012</v>
      </c>
      <c r="AD1841" s="19">
        <v>210.77931259831266</v>
      </c>
      <c r="AE1841" s="19">
        <v>217.10269197626209</v>
      </c>
      <c r="AF1841" s="19">
        <v>223.61577273555</v>
      </c>
      <c r="AG1841" s="19">
        <v>230.32424591761645</v>
      </c>
      <c r="AH1841" s="19">
        <v>237.23397329514492</v>
      </c>
      <c r="AI1841" s="19">
        <v>244.35099249399929</v>
      </c>
      <c r="AJ1841" s="19">
        <v>251.68152226881924</v>
      </c>
      <c r="AK1841" s="19">
        <v>259.23196793688379</v>
      </c>
      <c r="AL1841" s="19">
        <v>267.00892697499029</v>
      </c>
      <c r="AM1841" s="19">
        <v>275.01919478424003</v>
      </c>
      <c r="AN1841" s="19">
        <v>283.26977062776723</v>
      </c>
      <c r="AO1841" s="19">
        <v>291.76786374660026</v>
      </c>
      <c r="AP1841" s="19">
        <v>300.52089965899825</v>
      </c>
      <c r="AQ1841" s="19">
        <v>300.52089965899825</v>
      </c>
      <c r="AR1841" s="19">
        <v>300.52089965899825</v>
      </c>
      <c r="AS1841" s="19">
        <v>300.52089965899825</v>
      </c>
      <c r="AT1841" s="2"/>
      <c r="AU1841" s="2"/>
    </row>
    <row r="1842" spans="1:47" hidden="1" outlineLevel="1">
      <c r="A1842" s="298"/>
      <c r="B1842" s="241" t="s">
        <v>1099</v>
      </c>
      <c r="C1842" s="18" t="s">
        <v>733</v>
      </c>
      <c r="D1842" s="18"/>
      <c r="E1842" s="18"/>
      <c r="F1842" s="18"/>
      <c r="G1842" s="18"/>
      <c r="H1842" s="18"/>
      <c r="I1842" s="18"/>
      <c r="J1842" s="18"/>
      <c r="K1842" s="6"/>
      <c r="L1842" s="6"/>
      <c r="M1842" s="6"/>
      <c r="N1842" s="6"/>
      <c r="O1842" s="6"/>
      <c r="P1842" s="6"/>
      <c r="Q1842" s="6"/>
      <c r="R1842" s="6"/>
      <c r="S1842" s="6"/>
      <c r="T1842" s="80"/>
      <c r="U1842" s="80"/>
      <c r="V1842" s="80"/>
      <c r="W1842" s="80"/>
      <c r="X1842" s="80"/>
      <c r="Y1842" s="80"/>
      <c r="Z1842" s="80">
        <v>0.28466722972972991</v>
      </c>
      <c r="AA1842" s="80">
        <v>0.19060000815228473</v>
      </c>
      <c r="AB1842" s="80">
        <v>9.230958345358764E-2</v>
      </c>
      <c r="AC1842" s="80">
        <v>2.6238864653404192E-2</v>
      </c>
      <c r="AD1842" s="80">
        <v>3.0000000000000249E-2</v>
      </c>
      <c r="AE1842" s="80">
        <v>3.0000000000000249E-2</v>
      </c>
      <c r="AF1842" s="80">
        <v>3.0000000000000249E-2</v>
      </c>
      <c r="AG1842" s="80">
        <v>2.9999999999999805E-2</v>
      </c>
      <c r="AH1842" s="80">
        <v>2.9999999999999805E-2</v>
      </c>
      <c r="AI1842" s="80">
        <v>3.0000000000000027E-2</v>
      </c>
      <c r="AJ1842" s="80">
        <v>2.9999999999999805E-2</v>
      </c>
      <c r="AK1842" s="80">
        <v>2.9999999999999805E-2</v>
      </c>
      <c r="AL1842" s="80">
        <v>3.0000000000000027E-2</v>
      </c>
      <c r="AM1842" s="80">
        <v>3.0000000000000027E-2</v>
      </c>
      <c r="AN1842" s="80">
        <v>3.0000000000000027E-2</v>
      </c>
      <c r="AO1842" s="80">
        <v>3.0000000000000027E-2</v>
      </c>
      <c r="AP1842" s="80">
        <v>3.0000000000000027E-2</v>
      </c>
      <c r="AQ1842" s="80">
        <v>3.0000000000000027E-2</v>
      </c>
      <c r="AR1842" s="80">
        <v>3.0000000000000027E-2</v>
      </c>
      <c r="AS1842" s="80">
        <v>3.0000000000000027E-2</v>
      </c>
      <c r="AT1842" s="2"/>
      <c r="AU1842" s="2"/>
    </row>
    <row r="1843" spans="1:47" hidden="1" outlineLevel="1">
      <c r="A1843" s="298"/>
      <c r="B1843" s="2" t="s">
        <v>164</v>
      </c>
      <c r="C1843" s="18" t="s">
        <v>733</v>
      </c>
      <c r="D1843" s="18"/>
      <c r="E1843" s="18"/>
      <c r="F1843" s="18"/>
      <c r="G1843" s="18"/>
      <c r="H1843" s="18"/>
      <c r="I1843" s="18"/>
      <c r="J1843" s="18"/>
      <c r="K1843" s="6"/>
      <c r="L1843" s="6"/>
      <c r="M1843" s="6"/>
      <c r="N1843" s="6"/>
      <c r="O1843" s="6"/>
      <c r="P1843" s="6"/>
      <c r="Q1843" s="6"/>
      <c r="R1843" s="6"/>
      <c r="S1843" s="6"/>
      <c r="T1843" s="80"/>
      <c r="U1843" s="80"/>
      <c r="V1843" s="80"/>
      <c r="W1843" s="80"/>
      <c r="X1843" s="80"/>
      <c r="Y1843" s="5"/>
      <c r="Z1843" s="5">
        <v>0.36947289156626506</v>
      </c>
      <c r="AA1843" s="5">
        <v>0.3629347664015905</v>
      </c>
      <c r="AB1843" s="5">
        <v>0.38118954183552545</v>
      </c>
      <c r="AC1843" s="5">
        <v>0.37614569483753935</v>
      </c>
      <c r="AD1843" s="5">
        <v>0.37614569483753929</v>
      </c>
      <c r="AE1843" s="5">
        <v>0.3761456948375394</v>
      </c>
      <c r="AF1843" s="5">
        <v>0.37614569483753951</v>
      </c>
      <c r="AG1843" s="5">
        <v>0.37614569483753957</v>
      </c>
      <c r="AH1843" s="5">
        <v>0.3761456948375394</v>
      </c>
      <c r="AI1843" s="5">
        <v>0.37614569483753951</v>
      </c>
      <c r="AJ1843" s="5">
        <v>0.37614569483753951</v>
      </c>
      <c r="AK1843" s="5">
        <v>0.37614569483753957</v>
      </c>
      <c r="AL1843" s="5">
        <v>0.37614569483753962</v>
      </c>
      <c r="AM1843" s="5">
        <v>0.37614569483753973</v>
      </c>
      <c r="AN1843" s="5">
        <v>0.37614569483753979</v>
      </c>
      <c r="AO1843" s="5">
        <v>0.3761456948375399</v>
      </c>
      <c r="AP1843" s="5">
        <v>0.37614569483753996</v>
      </c>
      <c r="AQ1843" s="5">
        <v>0.37614569483753996</v>
      </c>
      <c r="AR1843" s="5">
        <v>0.37614569483753996</v>
      </c>
      <c r="AS1843" s="5">
        <v>0.37614569483753996</v>
      </c>
      <c r="AT1843" s="2"/>
      <c r="AU1843" s="2"/>
    </row>
    <row r="1844" spans="1:47" hidden="1" outlineLevel="1">
      <c r="A1844" s="298"/>
      <c r="B1844" s="2"/>
      <c r="C1844" s="18"/>
      <c r="D1844" s="18"/>
      <c r="E1844" s="18"/>
      <c r="F1844" s="18"/>
      <c r="G1844" s="18"/>
      <c r="H1844" s="18"/>
      <c r="I1844" s="18"/>
      <c r="J1844" s="18"/>
      <c r="K1844" s="6"/>
      <c r="L1844" s="6"/>
      <c r="M1844" s="6"/>
      <c r="N1844" s="6"/>
      <c r="O1844" s="6"/>
      <c r="P1844" s="6"/>
      <c r="Q1844" s="6"/>
      <c r="R1844" s="6"/>
      <c r="S1844" s="6"/>
      <c r="T1844" s="80"/>
      <c r="U1844" s="80"/>
      <c r="V1844" s="80"/>
      <c r="W1844" s="80"/>
      <c r="X1844" s="80"/>
      <c r="Y1844" s="80"/>
      <c r="Z1844" s="80"/>
      <c r="AA1844" s="80"/>
      <c r="AB1844" s="80"/>
      <c r="AC1844" s="80"/>
      <c r="AD1844" s="80"/>
      <c r="AE1844" s="80"/>
      <c r="AF1844" s="80"/>
      <c r="AG1844" s="80"/>
      <c r="AH1844" s="80"/>
      <c r="AI1844" s="80"/>
      <c r="AJ1844" s="80"/>
      <c r="AK1844" s="80"/>
      <c r="AL1844" s="80"/>
      <c r="AM1844" s="80"/>
      <c r="AN1844" s="80"/>
      <c r="AO1844" s="80"/>
      <c r="AP1844" s="80"/>
      <c r="AQ1844" s="80"/>
      <c r="AR1844" s="80"/>
      <c r="AS1844" s="80"/>
      <c r="AT1844" s="2"/>
      <c r="AU1844" s="2"/>
    </row>
    <row r="1845" spans="1:47" hidden="1" outlineLevel="1">
      <c r="A1845" s="298"/>
      <c r="B1845" s="2" t="s">
        <v>181</v>
      </c>
      <c r="C1845" s="18" t="s">
        <v>732</v>
      </c>
      <c r="D1845" s="18"/>
      <c r="E1845" s="18"/>
      <c r="F1845" s="18"/>
      <c r="G1845" s="18"/>
      <c r="H1845" s="18"/>
      <c r="I1845" s="18"/>
      <c r="J1845" s="18"/>
      <c r="K1845" s="6"/>
      <c r="L1845" s="6"/>
      <c r="M1845" s="6"/>
      <c r="N1845" s="6"/>
      <c r="O1845" s="6"/>
      <c r="P1845" s="6"/>
      <c r="Q1845" s="6"/>
      <c r="R1845" s="6"/>
      <c r="S1845" s="6"/>
      <c r="T1845" s="80"/>
      <c r="U1845" s="80"/>
      <c r="V1845" s="80"/>
      <c r="W1845" s="80"/>
      <c r="X1845" s="80"/>
      <c r="Y1845" s="19">
        <v>87.573763440860219</v>
      </c>
      <c r="Z1845" s="19">
        <v>104.85863500000001</v>
      </c>
      <c r="AA1845" s="19">
        <v>108.00439405000002</v>
      </c>
      <c r="AB1845" s="19">
        <v>111.24452587150003</v>
      </c>
      <c r="AC1845" s="19">
        <v>114.58186164764501</v>
      </c>
      <c r="AD1845" s="19">
        <v>118.01931749707438</v>
      </c>
      <c r="AE1845" s="19">
        <v>121.55989702198663</v>
      </c>
      <c r="AF1845" s="19">
        <v>125.20669393264622</v>
      </c>
      <c r="AG1845" s="19">
        <v>128.96289475062559</v>
      </c>
      <c r="AH1845" s="19">
        <v>132.83178159314437</v>
      </c>
      <c r="AI1845" s="19">
        <v>136.81673504093871</v>
      </c>
      <c r="AJ1845" s="19">
        <v>140.92123709216688</v>
      </c>
      <c r="AK1845" s="19">
        <v>145.14887420493187</v>
      </c>
      <c r="AL1845" s="19">
        <v>149.50334043107983</v>
      </c>
      <c r="AM1845" s="19">
        <v>153.98844064401223</v>
      </c>
      <c r="AN1845" s="19">
        <v>158.60809386333261</v>
      </c>
      <c r="AO1845" s="19">
        <v>163.36633667923257</v>
      </c>
      <c r="AP1845" s="19">
        <v>168.26732677960953</v>
      </c>
      <c r="AQ1845" s="19">
        <v>168.26732677960953</v>
      </c>
      <c r="AR1845" s="19">
        <v>168.26732677960953</v>
      </c>
      <c r="AS1845" s="19">
        <v>168.26732677960953</v>
      </c>
      <c r="AT1845" s="2"/>
      <c r="AU1845" s="2"/>
    </row>
    <row r="1846" spans="1:47" hidden="1" outlineLevel="1">
      <c r="A1846" s="298"/>
      <c r="B1846" s="2" t="s">
        <v>123</v>
      </c>
      <c r="C1846" s="18"/>
      <c r="D1846" s="18"/>
      <c r="E1846" s="18"/>
      <c r="F1846" s="18"/>
      <c r="G1846" s="18"/>
      <c r="H1846" s="18"/>
      <c r="I1846" s="18"/>
      <c r="J1846" s="18"/>
      <c r="K1846" s="6"/>
      <c r="L1846" s="6"/>
      <c r="M1846" s="6"/>
      <c r="N1846" s="6"/>
      <c r="O1846" s="6"/>
      <c r="P1846" s="6"/>
      <c r="Q1846" s="6"/>
      <c r="R1846" s="6"/>
      <c r="S1846" s="6"/>
      <c r="T1846" s="80"/>
      <c r="U1846" s="80"/>
      <c r="V1846" s="80"/>
      <c r="W1846" s="80"/>
      <c r="X1846" s="80"/>
      <c r="Y1846" s="5"/>
      <c r="Z1846" s="5">
        <v>0.25267140963855422</v>
      </c>
      <c r="AA1846" s="5">
        <v>0.21472046530815111</v>
      </c>
      <c r="AB1846" s="5">
        <v>0.21265584544941893</v>
      </c>
      <c r="AC1846" s="5">
        <v>0.21061107770471293</v>
      </c>
      <c r="AD1846" s="5">
        <v>0.21061107770471291</v>
      </c>
      <c r="AE1846" s="5">
        <v>0.21061107770471293</v>
      </c>
      <c r="AF1846" s="5">
        <v>0.21061107770471296</v>
      </c>
      <c r="AG1846" s="5">
        <v>0.21061107770471302</v>
      </c>
      <c r="AH1846" s="5">
        <v>0.21061107770471296</v>
      </c>
      <c r="AI1846" s="5">
        <v>0.21061107770471302</v>
      </c>
      <c r="AJ1846" s="5">
        <v>0.21061107770471305</v>
      </c>
      <c r="AK1846" s="5">
        <v>0.21061107770471307</v>
      </c>
      <c r="AL1846" s="5">
        <v>0.21061107770471313</v>
      </c>
      <c r="AM1846" s="5">
        <v>0.21061107770471316</v>
      </c>
      <c r="AN1846" s="5">
        <v>0.21061107770471324</v>
      </c>
      <c r="AO1846" s="5">
        <v>0.21061107770471327</v>
      </c>
      <c r="AP1846" s="5">
        <v>0.2106110777047133</v>
      </c>
      <c r="AQ1846" s="5">
        <v>0.2106110777047133</v>
      </c>
      <c r="AR1846" s="5">
        <v>0.2106110777047133</v>
      </c>
      <c r="AS1846" s="5">
        <v>0.2106110777047133</v>
      </c>
      <c r="AT1846" s="2"/>
      <c r="AU1846" s="2"/>
    </row>
    <row r="1847" spans="1:47" hidden="1" outlineLevel="1">
      <c r="A1847" s="298"/>
      <c r="B1847" s="2"/>
      <c r="C1847" s="18"/>
      <c r="D1847" s="18"/>
      <c r="E1847" s="18"/>
      <c r="F1847" s="18"/>
      <c r="G1847" s="18"/>
      <c r="H1847" s="18"/>
      <c r="I1847" s="18"/>
      <c r="J1847" s="18"/>
      <c r="K1847" s="6"/>
      <c r="L1847" s="6"/>
      <c r="M1847" s="6"/>
      <c r="N1847" s="6"/>
      <c r="O1847" s="6"/>
      <c r="P1847" s="6"/>
      <c r="Q1847" s="6"/>
      <c r="R1847" s="6"/>
      <c r="S1847" s="6"/>
      <c r="T1847" s="80"/>
      <c r="U1847" s="80"/>
      <c r="V1847" s="80"/>
      <c r="W1847" s="80"/>
      <c r="X1847" s="80"/>
      <c r="Y1847" s="80"/>
      <c r="Z1847" s="80"/>
      <c r="AA1847" s="80"/>
      <c r="AB1847" s="80"/>
      <c r="AC1847" s="80"/>
      <c r="AD1847" s="80"/>
      <c r="AE1847" s="80"/>
      <c r="AF1847" s="80"/>
      <c r="AG1847" s="80"/>
      <c r="AH1847" s="80"/>
      <c r="AI1847" s="80"/>
      <c r="AJ1847" s="80"/>
      <c r="AK1847" s="80"/>
      <c r="AL1847" s="80"/>
      <c r="AM1847" s="80"/>
      <c r="AN1847" s="80"/>
      <c r="AO1847" s="80"/>
      <c r="AP1847" s="80"/>
      <c r="AQ1847" s="80"/>
      <c r="AR1847" s="80"/>
      <c r="AS1847" s="80"/>
      <c r="AT1847" s="2"/>
      <c r="AU1847" s="2"/>
    </row>
    <row r="1848" spans="1:47" hidden="1" outlineLevel="1">
      <c r="A1848" s="298"/>
      <c r="B1848" s="6" t="s">
        <v>239</v>
      </c>
      <c r="C1848" s="18" t="s">
        <v>732</v>
      </c>
      <c r="D1848" s="18"/>
      <c r="E1848" s="18"/>
      <c r="F1848" s="18"/>
      <c r="G1848" s="18"/>
      <c r="H1848" s="18"/>
      <c r="I1848" s="18"/>
      <c r="J1848" s="18"/>
      <c r="K1848" s="6"/>
      <c r="L1848" s="6"/>
      <c r="M1848" s="6"/>
      <c r="N1848" s="6"/>
      <c r="O1848" s="6"/>
      <c r="P1848" s="6"/>
      <c r="Q1848" s="6"/>
      <c r="R1848" s="6"/>
      <c r="S1848" s="6"/>
      <c r="T1848" s="80"/>
      <c r="U1848" s="80"/>
      <c r="V1848" s="80"/>
      <c r="W1848" s="80"/>
      <c r="X1848" s="80"/>
      <c r="Y1848" s="19">
        <v>31.78107526881719</v>
      </c>
      <c r="Z1848" s="19">
        <v>48.472615000000005</v>
      </c>
      <c r="AA1848" s="19">
        <v>74.551793450000005</v>
      </c>
      <c r="AB1848" s="19">
        <v>88.163347253500035</v>
      </c>
      <c r="AC1848" s="19">
        <v>90.058247671105107</v>
      </c>
      <c r="AD1848" s="19">
        <v>92.759995101238275</v>
      </c>
      <c r="AE1848" s="19">
        <v>95.542794954275465</v>
      </c>
      <c r="AF1848" s="19">
        <v>98.409078802903778</v>
      </c>
      <c r="AG1848" s="19">
        <v>101.36135116699086</v>
      </c>
      <c r="AH1848" s="19">
        <v>104.40219170200055</v>
      </c>
      <c r="AI1848" s="19">
        <v>107.53425745306058</v>
      </c>
      <c r="AJ1848" s="19">
        <v>110.76028517665236</v>
      </c>
      <c r="AK1848" s="19">
        <v>114.08309373195192</v>
      </c>
      <c r="AL1848" s="19">
        <v>117.50558654391045</v>
      </c>
      <c r="AM1848" s="19">
        <v>121.0307541402278</v>
      </c>
      <c r="AN1848" s="19">
        <v>124.66167676443462</v>
      </c>
      <c r="AO1848" s="19">
        <v>128.40152706736768</v>
      </c>
      <c r="AP1848" s="19">
        <v>132.25357287938871</v>
      </c>
      <c r="AQ1848" s="19">
        <v>132.25357287938871</v>
      </c>
      <c r="AR1848" s="19">
        <v>132.25357287938871</v>
      </c>
      <c r="AS1848" s="19">
        <v>132.25357287938871</v>
      </c>
      <c r="AT1848" s="2"/>
      <c r="AU1848" s="2"/>
    </row>
    <row r="1849" spans="1:47" hidden="1" outlineLevel="1">
      <c r="A1849" s="298"/>
      <c r="B1849" s="2"/>
      <c r="C1849" s="18"/>
      <c r="D1849" s="18"/>
      <c r="E1849" s="18"/>
      <c r="F1849" s="18"/>
      <c r="G1849" s="18"/>
      <c r="H1849" s="18"/>
      <c r="I1849" s="18"/>
      <c r="J1849" s="18"/>
      <c r="K1849" s="6"/>
      <c r="L1849" s="6"/>
      <c r="M1849" s="6"/>
      <c r="N1849" s="6"/>
      <c r="O1849" s="6"/>
      <c r="P1849" s="6"/>
      <c r="Q1849" s="6"/>
      <c r="R1849" s="6"/>
      <c r="S1849" s="6"/>
      <c r="T1849" s="80"/>
      <c r="U1849" s="80"/>
      <c r="V1849" s="80"/>
      <c r="W1849" s="80"/>
      <c r="X1849" s="80"/>
      <c r="Y1849" s="80"/>
      <c r="Z1849" s="80"/>
      <c r="AA1849" s="80"/>
      <c r="AB1849" s="80"/>
      <c r="AC1849" s="80"/>
      <c r="AD1849" s="80"/>
      <c r="AE1849" s="80"/>
      <c r="AF1849" s="80"/>
      <c r="AG1849" s="80"/>
      <c r="AH1849" s="80"/>
      <c r="AI1849" s="80"/>
      <c r="AJ1849" s="80"/>
      <c r="AK1849" s="80"/>
      <c r="AL1849" s="80"/>
      <c r="AM1849" s="80"/>
      <c r="AN1849" s="80"/>
      <c r="AO1849" s="80"/>
      <c r="AP1849" s="80"/>
      <c r="AQ1849" s="80"/>
      <c r="AR1849" s="80"/>
      <c r="AS1849" s="80"/>
      <c r="AT1849" s="2"/>
      <c r="AU1849" s="2"/>
    </row>
    <row r="1850" spans="1:47" hidden="1" outlineLevel="1">
      <c r="A1850" s="298"/>
      <c r="B1850" s="2" t="s">
        <v>119</v>
      </c>
      <c r="C1850" s="18" t="s">
        <v>732</v>
      </c>
      <c r="D1850" s="18"/>
      <c r="E1850" s="18"/>
      <c r="F1850" s="18"/>
      <c r="G1850" s="18"/>
      <c r="H1850" s="18"/>
      <c r="I1850" s="18"/>
      <c r="J1850" s="18"/>
      <c r="K1850" s="6"/>
      <c r="L1850" s="6"/>
      <c r="M1850" s="6"/>
      <c r="N1850" s="6"/>
      <c r="O1850" s="6"/>
      <c r="P1850" s="6"/>
      <c r="Q1850" s="6"/>
      <c r="R1850" s="6"/>
      <c r="S1850" s="6"/>
      <c r="T1850" s="80"/>
      <c r="U1850" s="80"/>
      <c r="V1850" s="80"/>
      <c r="W1850" s="80"/>
      <c r="X1850" s="80"/>
      <c r="Y1850" s="19">
        <v>-38.698897782089624</v>
      </c>
      <c r="Z1850" s="19">
        <v>-46.493316624895563</v>
      </c>
      <c r="AA1850" s="19">
        <v>-45</v>
      </c>
      <c r="AB1850" s="19">
        <v>-45</v>
      </c>
      <c r="AC1850" s="19">
        <v>-37.5</v>
      </c>
      <c r="AD1850" s="19">
        <v>-30</v>
      </c>
      <c r="AE1850" s="19">
        <v>-30</v>
      </c>
      <c r="AF1850" s="19">
        <v>-30</v>
      </c>
      <c r="AG1850" s="19">
        <v>-30</v>
      </c>
      <c r="AH1850" s="19">
        <v>-30</v>
      </c>
      <c r="AI1850" s="19">
        <v>-30</v>
      </c>
      <c r="AJ1850" s="19">
        <v>-30</v>
      </c>
      <c r="AK1850" s="19">
        <v>-30</v>
      </c>
      <c r="AL1850" s="19">
        <v>-30</v>
      </c>
      <c r="AM1850" s="19">
        <v>-30</v>
      </c>
      <c r="AN1850" s="19">
        <v>-30</v>
      </c>
      <c r="AO1850" s="19">
        <v>-30</v>
      </c>
      <c r="AP1850" s="19">
        <v>-30</v>
      </c>
      <c r="AQ1850" s="19">
        <v>-30</v>
      </c>
      <c r="AR1850" s="19">
        <v>-30</v>
      </c>
      <c r="AS1850" s="19">
        <v>-30</v>
      </c>
      <c r="AT1850" s="2"/>
      <c r="AU1850" s="2"/>
    </row>
    <row r="1851" spans="1:47" hidden="1" outlineLevel="1">
      <c r="A1851" s="298"/>
      <c r="B1851" s="2"/>
      <c r="C1851" s="18"/>
      <c r="D1851" s="18"/>
      <c r="E1851" s="18"/>
      <c r="F1851" s="18"/>
      <c r="G1851" s="18"/>
      <c r="H1851" s="18"/>
      <c r="I1851" s="18"/>
      <c r="J1851" s="18"/>
      <c r="K1851" s="6"/>
      <c r="L1851" s="6"/>
      <c r="M1851" s="6"/>
      <c r="N1851" s="6"/>
      <c r="O1851" s="6"/>
      <c r="P1851" s="6"/>
      <c r="Q1851" s="6"/>
      <c r="R1851" s="6"/>
      <c r="S1851" s="6"/>
      <c r="T1851" s="80"/>
      <c r="U1851" s="80"/>
      <c r="V1851" s="80"/>
      <c r="W1851" s="80"/>
      <c r="X1851" s="80"/>
      <c r="Y1851" s="80"/>
      <c r="Z1851" s="80"/>
      <c r="AA1851" s="80"/>
      <c r="AB1851" s="80"/>
      <c r="AC1851" s="80"/>
      <c r="AD1851" s="80"/>
      <c r="AE1851" s="80"/>
      <c r="AF1851" s="80"/>
      <c r="AG1851" s="80"/>
      <c r="AH1851" s="80"/>
      <c r="AI1851" s="80"/>
      <c r="AJ1851" s="80"/>
      <c r="AK1851" s="80"/>
      <c r="AL1851" s="80"/>
      <c r="AM1851" s="80"/>
      <c r="AN1851" s="80"/>
      <c r="AO1851" s="80"/>
      <c r="AP1851" s="80"/>
      <c r="AQ1851" s="80"/>
      <c r="AR1851" s="80"/>
      <c r="AS1851" s="80"/>
      <c r="AT1851" s="2"/>
      <c r="AU1851" s="2"/>
    </row>
    <row r="1852" spans="1:47" hidden="1" outlineLevel="1">
      <c r="A1852" s="298"/>
      <c r="B1852" s="2" t="s">
        <v>444</v>
      </c>
      <c r="C1852" s="18" t="s">
        <v>732</v>
      </c>
      <c r="D1852" s="18"/>
      <c r="E1852" s="18"/>
      <c r="F1852" s="18"/>
      <c r="G1852" s="18"/>
      <c r="H1852" s="18"/>
      <c r="I1852" s="18"/>
      <c r="J1852" s="18"/>
      <c r="K1852" s="6"/>
      <c r="L1852" s="6"/>
      <c r="M1852" s="6"/>
      <c r="N1852" s="6"/>
      <c r="O1852" s="6"/>
      <c r="P1852" s="6"/>
      <c r="Q1852" s="6"/>
      <c r="R1852" s="6"/>
      <c r="S1852" s="6"/>
      <c r="T1852" s="80"/>
      <c r="U1852" s="80"/>
      <c r="V1852" s="80"/>
      <c r="W1852" s="80"/>
      <c r="X1852" s="80"/>
      <c r="Y1852" s="19">
        <v>-6.9178225132724336</v>
      </c>
      <c r="Z1852" s="19">
        <v>1.9792983751044417</v>
      </c>
      <c r="AA1852" s="19">
        <v>29.551793450000005</v>
      </c>
      <c r="AB1852" s="19">
        <v>43.163347253500035</v>
      </c>
      <c r="AC1852" s="19">
        <v>52.558247671105107</v>
      </c>
      <c r="AD1852" s="19">
        <v>62.759995101238275</v>
      </c>
      <c r="AE1852" s="19">
        <v>65.542794954275465</v>
      </c>
      <c r="AF1852" s="19">
        <v>68.409078802903778</v>
      </c>
      <c r="AG1852" s="19">
        <v>71.361351166990858</v>
      </c>
      <c r="AH1852" s="19">
        <v>74.40219170200055</v>
      </c>
      <c r="AI1852" s="19">
        <v>77.534257453060576</v>
      </c>
      <c r="AJ1852" s="19">
        <v>80.76028517665236</v>
      </c>
      <c r="AK1852" s="19">
        <v>84.083093731951919</v>
      </c>
      <c r="AL1852" s="19">
        <v>87.505586543910454</v>
      </c>
      <c r="AM1852" s="19">
        <v>91.030754140227799</v>
      </c>
      <c r="AN1852" s="19">
        <v>94.661676764434617</v>
      </c>
      <c r="AO1852" s="19">
        <v>98.401527067367681</v>
      </c>
      <c r="AP1852" s="19">
        <v>102.25357287938871</v>
      </c>
      <c r="AQ1852" s="19">
        <v>102.25357287938871</v>
      </c>
      <c r="AR1852" s="19">
        <v>102.25357287938871</v>
      </c>
      <c r="AS1852" s="19">
        <v>102.25357287938871</v>
      </c>
      <c r="AT1852" s="2"/>
      <c r="AU1852" s="2"/>
    </row>
    <row r="1853" spans="1:47" hidden="1" outlineLevel="1">
      <c r="A1853" s="298"/>
      <c r="B1853" s="2" t="s">
        <v>120</v>
      </c>
      <c r="C1853" s="18" t="s">
        <v>732</v>
      </c>
      <c r="D1853" s="18"/>
      <c r="E1853" s="18"/>
      <c r="F1853" s="18"/>
      <c r="G1853" s="18"/>
      <c r="H1853" s="18"/>
      <c r="I1853" s="18"/>
      <c r="J1853" s="18"/>
      <c r="K1853" s="6"/>
      <c r="L1853" s="6"/>
      <c r="M1853" s="6"/>
      <c r="N1853" s="6"/>
      <c r="O1853" s="6"/>
      <c r="P1853" s="6"/>
      <c r="Q1853" s="6"/>
      <c r="R1853" s="6"/>
      <c r="S1853" s="6"/>
      <c r="T1853" s="80"/>
      <c r="U1853" s="80"/>
      <c r="V1853" s="80"/>
      <c r="W1853" s="80"/>
      <c r="X1853" s="80"/>
      <c r="Y1853" s="19">
        <v>1.1760298272563143</v>
      </c>
      <c r="Z1853" s="19">
        <v>-0.33648072376775473</v>
      </c>
      <c r="AA1853" s="19">
        <v>-5.0238048865000033</v>
      </c>
      <c r="AB1853" s="19">
        <v>-7.3377690330950074</v>
      </c>
      <c r="AC1853" s="19">
        <v>-8.9349021040878664</v>
      </c>
      <c r="AD1853" s="19">
        <v>-10.669199167210508</v>
      </c>
      <c r="AE1853" s="19">
        <v>-11.142275142226831</v>
      </c>
      <c r="AF1853" s="19">
        <v>-11.62954339649364</v>
      </c>
      <c r="AG1853" s="19">
        <v>-12.131429698388446</v>
      </c>
      <c r="AH1853" s="19">
        <v>-12.648372589340097</v>
      </c>
      <c r="AI1853" s="19">
        <v>-13.180823767020296</v>
      </c>
      <c r="AJ1853" s="19">
        <v>-13.729248480030904</v>
      </c>
      <c r="AK1853" s="19">
        <v>-14.294125934431831</v>
      </c>
      <c r="AL1853" s="19">
        <v>-14.875949712464781</v>
      </c>
      <c r="AM1853" s="19">
        <v>-15.475228203838727</v>
      </c>
      <c r="AN1853" s="19">
        <v>-16.09248504995389</v>
      </c>
      <c r="AO1853" s="19">
        <v>-16.728259601452503</v>
      </c>
      <c r="AP1853" s="19">
        <v>-17.383107389496075</v>
      </c>
      <c r="AQ1853" s="19">
        <v>-17.383107389496075</v>
      </c>
      <c r="AR1853" s="19">
        <v>-17.383107389496075</v>
      </c>
      <c r="AS1853" s="19">
        <v>-17.383107389496075</v>
      </c>
      <c r="AT1853" s="2"/>
      <c r="AU1853" s="2"/>
    </row>
    <row r="1854" spans="1:47" hidden="1" outlineLevel="1">
      <c r="A1854" s="298"/>
      <c r="B1854" s="6" t="s">
        <v>884</v>
      </c>
      <c r="C1854" s="18" t="s">
        <v>732</v>
      </c>
      <c r="D1854" s="18"/>
      <c r="E1854" s="18"/>
      <c r="F1854" s="18"/>
      <c r="G1854" s="18"/>
      <c r="H1854" s="18"/>
      <c r="I1854" s="18"/>
      <c r="J1854" s="18"/>
      <c r="K1854" s="6"/>
      <c r="L1854" s="6"/>
      <c r="M1854" s="6"/>
      <c r="N1854" s="6"/>
      <c r="O1854" s="6"/>
      <c r="P1854" s="6"/>
      <c r="Q1854" s="6"/>
      <c r="R1854" s="6"/>
      <c r="S1854" s="6"/>
      <c r="T1854" s="80"/>
      <c r="U1854" s="80"/>
      <c r="V1854" s="80"/>
      <c r="W1854" s="80"/>
      <c r="X1854" s="80"/>
      <c r="Y1854" s="19">
        <v>-5.7417926860161188</v>
      </c>
      <c r="Z1854" s="19">
        <v>1.642817651336687</v>
      </c>
      <c r="AA1854" s="19">
        <v>24.527988563500003</v>
      </c>
      <c r="AB1854" s="19">
        <v>35.825578220405028</v>
      </c>
      <c r="AC1854" s="19">
        <v>43.623345567017239</v>
      </c>
      <c r="AD1854" s="19">
        <v>52.090795934027767</v>
      </c>
      <c r="AE1854" s="19">
        <v>54.400519812048636</v>
      </c>
      <c r="AF1854" s="19">
        <v>56.77953540641014</v>
      </c>
      <c r="AG1854" s="19">
        <v>59.229921468602413</v>
      </c>
      <c r="AH1854" s="19">
        <v>61.753819112660452</v>
      </c>
      <c r="AI1854" s="19">
        <v>64.353433686040276</v>
      </c>
      <c r="AJ1854" s="19">
        <v>67.031036696621456</v>
      </c>
      <c r="AK1854" s="19">
        <v>69.788967797520087</v>
      </c>
      <c r="AL1854" s="19">
        <v>72.62963683144568</v>
      </c>
      <c r="AM1854" s="19">
        <v>75.555525936389074</v>
      </c>
      <c r="AN1854" s="19">
        <v>78.569191714480723</v>
      </c>
      <c r="AO1854" s="19">
        <v>81.673267465915174</v>
      </c>
      <c r="AP1854" s="19">
        <v>84.870465489892638</v>
      </c>
      <c r="AQ1854" s="19">
        <v>84.870465489892638</v>
      </c>
      <c r="AR1854" s="19">
        <v>84.870465489892638</v>
      </c>
      <c r="AS1854" s="19">
        <v>84.870465489892638</v>
      </c>
      <c r="AT1854" s="2"/>
      <c r="AU1854" s="2"/>
    </row>
    <row r="1855" spans="1:47" hidden="1" outlineLevel="1">
      <c r="A1855" s="298"/>
      <c r="B1855" s="2"/>
      <c r="C1855" s="18"/>
      <c r="D1855" s="18"/>
      <c r="E1855" s="18"/>
      <c r="F1855" s="18"/>
      <c r="G1855" s="18"/>
      <c r="H1855" s="18"/>
      <c r="I1855" s="18"/>
      <c r="J1855" s="18"/>
      <c r="K1855" s="6"/>
      <c r="L1855" s="6"/>
      <c r="M1855" s="6"/>
      <c r="N1855" s="6"/>
      <c r="O1855" s="6"/>
      <c r="P1855" s="6"/>
      <c r="Q1855" s="6"/>
      <c r="R1855" s="6"/>
      <c r="S1855" s="6"/>
      <c r="T1855" s="80"/>
      <c r="U1855" s="80"/>
      <c r="V1855" s="80"/>
      <c r="W1855" s="80"/>
      <c r="X1855" s="80"/>
      <c r="Y1855" s="80"/>
      <c r="Z1855" s="80"/>
      <c r="AA1855" s="92"/>
      <c r="AB1855" s="80"/>
      <c r="AC1855" s="80"/>
      <c r="AD1855" s="80"/>
      <c r="AE1855" s="80"/>
      <c r="AF1855" s="80"/>
      <c r="AG1855" s="80"/>
      <c r="AH1855" s="80"/>
      <c r="AI1855" s="80"/>
      <c r="AJ1855" s="80"/>
      <c r="AK1855" s="80"/>
      <c r="AL1855" s="80"/>
      <c r="AM1855" s="80"/>
      <c r="AN1855" s="80"/>
      <c r="AO1855" s="80"/>
      <c r="AP1855" s="80"/>
      <c r="AQ1855" s="80"/>
      <c r="AR1855" s="80"/>
      <c r="AS1855" s="80"/>
      <c r="AT1855" s="2"/>
      <c r="AU1855" s="2"/>
    </row>
    <row r="1856" spans="1:47" hidden="1" outlineLevel="1">
      <c r="A1856" s="298"/>
      <c r="B1856" s="2" t="s">
        <v>121</v>
      </c>
      <c r="C1856" s="18" t="s">
        <v>732</v>
      </c>
      <c r="D1856" s="18"/>
      <c r="E1856" s="18"/>
      <c r="F1856" s="18"/>
      <c r="G1856" s="18"/>
      <c r="H1856" s="18"/>
      <c r="I1856" s="18"/>
      <c r="J1856" s="18"/>
      <c r="K1856" s="6"/>
      <c r="L1856" s="6"/>
      <c r="M1856" s="6"/>
      <c r="N1856" s="6"/>
      <c r="O1856" s="6"/>
      <c r="P1856" s="6"/>
      <c r="Q1856" s="6"/>
      <c r="R1856" s="6"/>
      <c r="S1856" s="6"/>
      <c r="T1856" s="80"/>
      <c r="U1856" s="80"/>
      <c r="V1856" s="80"/>
      <c r="W1856" s="80"/>
      <c r="X1856" s="80"/>
      <c r="Y1856" s="19">
        <v>403.22580645161287</v>
      </c>
      <c r="Z1856" s="19">
        <v>500</v>
      </c>
      <c r="AA1856" s="19">
        <v>500</v>
      </c>
      <c r="AB1856" s="19">
        <v>500</v>
      </c>
      <c r="AC1856" s="19">
        <v>500</v>
      </c>
      <c r="AD1856" s="19">
        <v>500</v>
      </c>
      <c r="AE1856" s="19">
        <v>500</v>
      </c>
      <c r="AF1856" s="19">
        <v>500</v>
      </c>
      <c r="AG1856" s="19">
        <v>500</v>
      </c>
      <c r="AH1856" s="19">
        <v>500</v>
      </c>
      <c r="AI1856" s="19">
        <v>500</v>
      </c>
      <c r="AJ1856" s="19">
        <v>500</v>
      </c>
      <c r="AK1856" s="19">
        <v>500</v>
      </c>
      <c r="AL1856" s="19">
        <v>500</v>
      </c>
      <c r="AM1856" s="19">
        <v>500</v>
      </c>
      <c r="AN1856" s="19">
        <v>500</v>
      </c>
      <c r="AO1856" s="19">
        <v>500</v>
      </c>
      <c r="AP1856" s="19">
        <v>500</v>
      </c>
      <c r="AQ1856" s="19">
        <v>500</v>
      </c>
      <c r="AR1856" s="19">
        <v>500</v>
      </c>
      <c r="AS1856" s="19">
        <v>500</v>
      </c>
      <c r="AT1856" s="2"/>
      <c r="AU1856" s="2"/>
    </row>
    <row r="1857" spans="1:47" hidden="1" outlineLevel="1">
      <c r="A1857" s="298"/>
      <c r="B1857" s="2" t="s">
        <v>91</v>
      </c>
      <c r="C1857" s="18" t="s">
        <v>733</v>
      </c>
      <c r="D1857" s="18"/>
      <c r="E1857" s="18"/>
      <c r="F1857" s="18"/>
      <c r="G1857" s="18"/>
      <c r="H1857" s="18"/>
      <c r="I1857" s="18"/>
      <c r="J1857" s="18"/>
      <c r="K1857" s="6"/>
      <c r="L1857" s="6"/>
      <c r="M1857" s="6"/>
      <c r="N1857" s="6"/>
      <c r="O1857" s="6"/>
      <c r="P1857" s="6"/>
      <c r="Q1857" s="6"/>
      <c r="R1857" s="6"/>
      <c r="S1857" s="6"/>
      <c r="T1857" s="80"/>
      <c r="U1857" s="80"/>
      <c r="V1857" s="80"/>
      <c r="W1857" s="80"/>
      <c r="X1857" s="80"/>
      <c r="Y1857" s="80">
        <v>-9.597326649958228E-2</v>
      </c>
      <c r="Z1857" s="80">
        <v>-9.2986633249791131E-2</v>
      </c>
      <c r="AA1857" s="80">
        <v>-0.09</v>
      </c>
      <c r="AB1857" s="80">
        <v>-0.09</v>
      </c>
      <c r="AC1857" s="80">
        <v>-7.4999999999999997E-2</v>
      </c>
      <c r="AD1857" s="80">
        <v>-0.06</v>
      </c>
      <c r="AE1857" s="80">
        <v>-0.06</v>
      </c>
      <c r="AF1857" s="80">
        <v>-0.06</v>
      </c>
      <c r="AG1857" s="80">
        <v>-0.06</v>
      </c>
      <c r="AH1857" s="80">
        <v>-0.06</v>
      </c>
      <c r="AI1857" s="80">
        <v>-0.06</v>
      </c>
      <c r="AJ1857" s="80">
        <v>-0.06</v>
      </c>
      <c r="AK1857" s="80">
        <v>-0.06</v>
      </c>
      <c r="AL1857" s="80">
        <v>-0.06</v>
      </c>
      <c r="AM1857" s="80">
        <v>-0.06</v>
      </c>
      <c r="AN1857" s="80">
        <v>-0.06</v>
      </c>
      <c r="AO1857" s="80">
        <v>-0.06</v>
      </c>
      <c r="AP1857" s="80">
        <v>-0.06</v>
      </c>
      <c r="AQ1857" s="80">
        <v>-0.06</v>
      </c>
      <c r="AR1857" s="80">
        <v>-0.06</v>
      </c>
      <c r="AS1857" s="80">
        <v>-0.06</v>
      </c>
      <c r="AT1857" s="2"/>
      <c r="AU1857" s="2"/>
    </row>
    <row r="1858" spans="1:47" hidden="1" outlineLevel="1">
      <c r="A1858" s="298"/>
      <c r="B1858" s="2"/>
      <c r="C1858" s="18"/>
      <c r="D1858" s="18"/>
      <c r="E1858" s="18"/>
      <c r="F1858" s="18"/>
      <c r="G1858" s="18"/>
      <c r="H1858" s="18"/>
      <c r="I1858" s="18"/>
      <c r="J1858" s="18"/>
      <c r="K1858" s="6"/>
      <c r="L1858" s="6"/>
      <c r="M1858" s="6"/>
      <c r="N1858" s="6"/>
      <c r="O1858" s="6"/>
      <c r="P1858" s="6"/>
      <c r="Q1858" s="6"/>
      <c r="R1858" s="6"/>
      <c r="S1858" s="6"/>
      <c r="T1858" s="80"/>
      <c r="U1858" s="80"/>
      <c r="V1858" s="80"/>
      <c r="W1858" s="80"/>
      <c r="X1858" s="80"/>
      <c r="Y1858" s="80"/>
      <c r="Z1858" s="80"/>
      <c r="AA1858" s="80"/>
      <c r="AB1858" s="80"/>
      <c r="AC1858" s="80"/>
      <c r="AD1858" s="80"/>
      <c r="AE1858" s="80"/>
      <c r="AF1858" s="80"/>
      <c r="AG1858" s="80"/>
      <c r="AH1858" s="80"/>
      <c r="AI1858" s="80"/>
      <c r="AJ1858" s="80"/>
      <c r="AK1858" s="80"/>
      <c r="AL1858" s="80"/>
      <c r="AM1858" s="80"/>
      <c r="AN1858" s="80"/>
      <c r="AO1858" s="80"/>
      <c r="AP1858" s="80"/>
      <c r="AQ1858" s="80"/>
      <c r="AR1858" s="80"/>
      <c r="AS1858" s="80"/>
      <c r="AT1858" s="2"/>
      <c r="AU1858" s="2"/>
    </row>
    <row r="1859" spans="1:47" hidden="1" outlineLevel="1">
      <c r="A1859" s="298"/>
      <c r="B1859" s="2" t="s">
        <v>122</v>
      </c>
      <c r="C1859" s="18" t="s">
        <v>732</v>
      </c>
      <c r="D1859" s="18"/>
      <c r="E1859" s="18"/>
      <c r="F1859" s="18"/>
      <c r="G1859" s="18"/>
      <c r="H1859" s="18"/>
      <c r="I1859" s="18"/>
      <c r="J1859" s="18"/>
      <c r="K1859" s="6"/>
      <c r="L1859" s="6"/>
      <c r="M1859" s="6"/>
      <c r="N1859" s="6"/>
      <c r="O1859" s="6"/>
      <c r="P1859" s="6"/>
      <c r="Q1859" s="6"/>
      <c r="R1859" s="6"/>
      <c r="S1859" s="6"/>
      <c r="T1859" s="80"/>
      <c r="U1859" s="80"/>
      <c r="V1859" s="80"/>
      <c r="W1859" s="80"/>
      <c r="X1859" s="80"/>
      <c r="Y1859" s="19">
        <v>54.089677419354835</v>
      </c>
      <c r="Z1859" s="19">
        <v>64.765627499999994</v>
      </c>
      <c r="AA1859" s="19">
        <v>66.708596325000002</v>
      </c>
      <c r="AB1859" s="19">
        <v>68.709854214749996</v>
      </c>
      <c r="AC1859" s="19">
        <v>70.771149841192511</v>
      </c>
      <c r="AD1859" s="19">
        <v>72.894284336428285</v>
      </c>
      <c r="AE1859" s="19">
        <v>75.081112866521138</v>
      </c>
      <c r="AF1859" s="19">
        <v>77.333546252516783</v>
      </c>
      <c r="AG1859" s="19">
        <v>79.653552640092286</v>
      </c>
      <c r="AH1859" s="19">
        <v>82.043159219295063</v>
      </c>
      <c r="AI1859" s="19">
        <v>84.504453995873902</v>
      </c>
      <c r="AJ1859" s="19">
        <v>87.039587615750122</v>
      </c>
      <c r="AK1859" s="19">
        <v>89.650775244222629</v>
      </c>
      <c r="AL1859" s="19">
        <v>92.340298501549299</v>
      </c>
      <c r="AM1859" s="19">
        <v>95.110507456595769</v>
      </c>
      <c r="AN1859" s="19">
        <v>97.963822680293646</v>
      </c>
      <c r="AO1859" s="19">
        <v>100.90273736070247</v>
      </c>
      <c r="AP1859" s="19">
        <v>103.92981948152354</v>
      </c>
      <c r="AQ1859" s="19">
        <v>103.92981948152354</v>
      </c>
      <c r="AR1859" s="19">
        <v>103.92981948152354</v>
      </c>
      <c r="AS1859" s="19">
        <v>103.92981948152354</v>
      </c>
      <c r="AT1859" s="2"/>
      <c r="AU1859" s="2"/>
    </row>
    <row r="1860" spans="1:47" hidden="1" outlineLevel="1">
      <c r="A1860" s="298"/>
      <c r="B1860" s="2" t="s">
        <v>479</v>
      </c>
      <c r="C1860" s="18" t="s">
        <v>733</v>
      </c>
      <c r="D1860" s="18"/>
      <c r="E1860" s="18"/>
      <c r="F1860" s="18"/>
      <c r="G1860" s="18"/>
      <c r="H1860" s="18"/>
      <c r="I1860" s="18"/>
      <c r="J1860" s="18"/>
      <c r="K1860" s="6"/>
      <c r="L1860" s="6"/>
      <c r="M1860" s="6"/>
      <c r="N1860" s="6"/>
      <c r="O1860" s="6"/>
      <c r="P1860" s="6"/>
      <c r="Q1860" s="6"/>
      <c r="R1860" s="6"/>
      <c r="S1860" s="6"/>
      <c r="T1860" s="80"/>
      <c r="U1860" s="80"/>
      <c r="V1860" s="80"/>
      <c r="W1860" s="80"/>
      <c r="X1860" s="80"/>
      <c r="Y1860" s="80"/>
      <c r="Z1860" s="80"/>
      <c r="AA1860" s="80"/>
      <c r="AB1860" s="80"/>
      <c r="AC1860" s="80"/>
      <c r="AD1860" s="80"/>
      <c r="AE1860" s="80"/>
      <c r="AF1860" s="80"/>
      <c r="AG1860" s="80"/>
      <c r="AH1860" s="80"/>
      <c r="AI1860" s="80"/>
      <c r="AJ1860" s="80"/>
      <c r="AK1860" s="80"/>
      <c r="AL1860" s="80"/>
      <c r="AM1860" s="80"/>
      <c r="AN1860" s="80"/>
      <c r="AO1860" s="80"/>
      <c r="AP1860" s="80"/>
      <c r="AQ1860" s="80"/>
      <c r="AR1860" s="80"/>
      <c r="AS1860" s="80"/>
      <c r="AT1860" s="2"/>
      <c r="AU1860" s="2"/>
    </row>
    <row r="1861" spans="1:47" hidden="1" outlineLevel="1">
      <c r="A1861" s="298"/>
      <c r="B1861" s="2"/>
      <c r="C1861" s="18"/>
      <c r="D1861" s="18"/>
      <c r="E1861" s="18"/>
      <c r="F1861" s="18"/>
      <c r="G1861" s="18"/>
      <c r="H1861" s="18"/>
      <c r="I1861" s="18"/>
      <c r="J1861" s="18"/>
      <c r="K1861" s="6"/>
      <c r="L1861" s="6"/>
      <c r="M1861" s="6"/>
      <c r="N1861" s="6"/>
      <c r="O1861" s="6"/>
      <c r="P1861" s="6"/>
      <c r="Q1861" s="6"/>
      <c r="R1861" s="6"/>
      <c r="S1861" s="6"/>
      <c r="T1861" s="80"/>
      <c r="U1861" s="80"/>
      <c r="V1861" s="80"/>
      <c r="W1861" s="80"/>
      <c r="X1861" s="80"/>
      <c r="Y1861" s="80"/>
      <c r="Z1861" s="80"/>
      <c r="AA1861" s="80"/>
      <c r="AB1861" s="80"/>
      <c r="AC1861" s="80"/>
      <c r="AD1861" s="80"/>
      <c r="AE1861" s="80"/>
      <c r="AF1861" s="80"/>
      <c r="AG1861" s="80"/>
      <c r="AH1861" s="80"/>
      <c r="AI1861" s="80"/>
      <c r="AJ1861" s="80"/>
      <c r="AK1861" s="80"/>
      <c r="AL1861" s="80"/>
      <c r="AM1861" s="80"/>
      <c r="AN1861" s="80"/>
      <c r="AO1861" s="80"/>
      <c r="AP1861" s="80"/>
      <c r="AQ1861" s="80"/>
      <c r="AR1861" s="80"/>
      <c r="AS1861" s="80"/>
      <c r="AT1861" s="2"/>
      <c r="AU1861" s="2"/>
    </row>
    <row r="1862" spans="1:47" hidden="1" outlineLevel="1">
      <c r="A1862" s="298"/>
      <c r="B1862" s="2"/>
      <c r="C1862" s="18"/>
      <c r="D1862" s="18"/>
      <c r="E1862" s="18"/>
      <c r="F1862" s="18"/>
      <c r="G1862" s="18"/>
      <c r="H1862" s="18"/>
      <c r="I1862" s="18"/>
      <c r="J1862" s="18"/>
      <c r="K1862" s="6"/>
      <c r="L1862" s="6"/>
      <c r="M1862" s="6"/>
      <c r="N1862" s="6"/>
      <c r="O1862" s="6"/>
      <c r="P1862" s="6"/>
      <c r="Q1862" s="6"/>
      <c r="R1862" s="6"/>
      <c r="S1862" s="6"/>
      <c r="T1862" s="2"/>
      <c r="U1862" s="2"/>
      <c r="V1862" s="2"/>
      <c r="W1862" s="2"/>
      <c r="X1862" s="2"/>
      <c r="Y1862" s="2"/>
      <c r="Z1862" s="2"/>
      <c r="AA1862" s="2"/>
      <c r="AB1862" s="2"/>
      <c r="AC1862" s="2"/>
      <c r="AD1862" s="2"/>
      <c r="AE1862" s="2"/>
      <c r="AF1862" s="2"/>
      <c r="AG1862" s="2"/>
      <c r="AH1862" s="2"/>
      <c r="AI1862" s="2"/>
      <c r="AJ1862" s="2"/>
      <c r="AK1862" s="2"/>
      <c r="AL1862" s="2"/>
      <c r="AM1862" s="2"/>
      <c r="AN1862" s="2"/>
      <c r="AO1862" s="2"/>
      <c r="AP1862" s="2"/>
      <c r="AQ1862" s="2"/>
      <c r="AR1862" s="2"/>
      <c r="AS1862" s="2"/>
      <c r="AT1862" s="2"/>
      <c r="AU1862" s="2"/>
    </row>
    <row r="1863" spans="1:47" hidden="1" outlineLevel="1">
      <c r="A1863" s="298"/>
      <c r="B1863" s="139" t="s">
        <v>1123</v>
      </c>
      <c r="C1863" s="140" t="s">
        <v>281</v>
      </c>
      <c r="D1863" s="140"/>
      <c r="E1863" s="140"/>
      <c r="F1863" s="140"/>
      <c r="G1863" s="140"/>
      <c r="H1863" s="140"/>
      <c r="I1863" s="140"/>
      <c r="J1863" s="140"/>
      <c r="K1863" s="141"/>
      <c r="L1863" s="141"/>
      <c r="M1863" s="141"/>
      <c r="N1863" s="141"/>
      <c r="O1863" s="141"/>
      <c r="P1863" s="141"/>
      <c r="Q1863" s="141"/>
      <c r="R1863" s="595">
        <v>49</v>
      </c>
      <c r="S1863" s="595">
        <v>88</v>
      </c>
      <c r="T1863" s="595">
        <v>201</v>
      </c>
      <c r="U1863" s="595">
        <v>234</v>
      </c>
      <c r="V1863" s="595">
        <v>141</v>
      </c>
      <c r="W1863" s="595">
        <v>150</v>
      </c>
      <c r="X1863" s="142">
        <v>157.5</v>
      </c>
      <c r="Y1863" s="142">
        <v>165.375</v>
      </c>
      <c r="Z1863" s="142">
        <v>173.64375000000001</v>
      </c>
      <c r="AA1863" s="142">
        <v>182.32593750000001</v>
      </c>
      <c r="AB1863" s="142">
        <v>191.44223437500003</v>
      </c>
      <c r="AC1863" s="142">
        <v>201.01434609375005</v>
      </c>
      <c r="AD1863" s="142">
        <v>211.06506339843756</v>
      </c>
      <c r="AE1863" s="142">
        <v>221.61831656835943</v>
      </c>
      <c r="AF1863" s="142">
        <v>232.6992323967774</v>
      </c>
      <c r="AG1863" s="142">
        <v>244.33419401661629</v>
      </c>
      <c r="AH1863" s="142">
        <v>256.55090371744711</v>
      </c>
      <c r="AI1863" s="142">
        <v>269.37844890331951</v>
      </c>
      <c r="AJ1863" s="142">
        <v>282.84737134848552</v>
      </c>
      <c r="AK1863" s="142">
        <v>296.98973991590981</v>
      </c>
      <c r="AL1863" s="142">
        <v>311.83922691170534</v>
      </c>
      <c r="AM1863" s="142">
        <v>327.43118825729061</v>
      </c>
      <c r="AN1863" s="142">
        <v>343.80274767015516</v>
      </c>
      <c r="AO1863" s="142">
        <v>360.99288505366292</v>
      </c>
      <c r="AP1863" s="142">
        <v>379.04252930634607</v>
      </c>
      <c r="AQ1863" s="142">
        <v>379.04252930634607</v>
      </c>
      <c r="AR1863" s="142">
        <v>379.04252930634607</v>
      </c>
      <c r="AS1863" s="142">
        <v>379.04252930634607</v>
      </c>
      <c r="AT1863" s="2"/>
      <c r="AU1863" s="2"/>
    </row>
    <row r="1864" spans="1:47" hidden="1" outlineLevel="1">
      <c r="A1864" s="298"/>
      <c r="B1864" s="432" t="s">
        <v>1099</v>
      </c>
      <c r="C1864" s="140" t="s">
        <v>733</v>
      </c>
      <c r="D1864" s="140"/>
      <c r="E1864" s="140"/>
      <c r="F1864" s="140"/>
      <c r="G1864" s="140"/>
      <c r="H1864" s="140"/>
      <c r="I1864" s="140"/>
      <c r="J1864" s="140"/>
      <c r="K1864" s="141"/>
      <c r="L1864" s="141"/>
      <c r="M1864" s="141"/>
      <c r="N1864" s="141"/>
      <c r="O1864" s="141"/>
      <c r="P1864" s="141"/>
      <c r="Q1864" s="141"/>
      <c r="R1864" s="141"/>
      <c r="S1864" s="141"/>
      <c r="T1864" s="141"/>
      <c r="U1864" s="141"/>
      <c r="V1864" s="141"/>
      <c r="W1864" s="143"/>
      <c r="X1864" s="596">
        <v>0.05</v>
      </c>
      <c r="Y1864" s="596">
        <v>0.05</v>
      </c>
      <c r="Z1864" s="596">
        <v>0.05</v>
      </c>
      <c r="AA1864" s="596">
        <v>0.05</v>
      </c>
      <c r="AB1864" s="596">
        <v>0.05</v>
      </c>
      <c r="AC1864" s="596">
        <v>0.05</v>
      </c>
      <c r="AD1864" s="596">
        <v>0.05</v>
      </c>
      <c r="AE1864" s="596">
        <v>0.05</v>
      </c>
      <c r="AF1864" s="596">
        <v>0.05</v>
      </c>
      <c r="AG1864" s="596">
        <v>0.05</v>
      </c>
      <c r="AH1864" s="596">
        <v>0.05</v>
      </c>
      <c r="AI1864" s="596">
        <v>0.05</v>
      </c>
      <c r="AJ1864" s="596">
        <v>0.05</v>
      </c>
      <c r="AK1864" s="596">
        <v>0.05</v>
      </c>
      <c r="AL1864" s="596">
        <v>0.05</v>
      </c>
      <c r="AM1864" s="596">
        <v>0.05</v>
      </c>
      <c r="AN1864" s="596">
        <v>0.05</v>
      </c>
      <c r="AO1864" s="597">
        <v>0.05</v>
      </c>
      <c r="AP1864" s="597">
        <v>0.05</v>
      </c>
      <c r="AQ1864" s="597">
        <v>0.05</v>
      </c>
      <c r="AR1864" s="597">
        <v>0.05</v>
      </c>
      <c r="AS1864" s="597">
        <v>0.05</v>
      </c>
      <c r="AT1864" s="2"/>
      <c r="AU1864" s="2"/>
    </row>
    <row r="1865" spans="1:47" hidden="1" outlineLevel="1">
      <c r="A1865" s="298"/>
      <c r="B1865" s="144" t="s">
        <v>72</v>
      </c>
      <c r="C1865" s="145" t="s">
        <v>732</v>
      </c>
      <c r="D1865" s="145"/>
      <c r="E1865" s="145"/>
      <c r="F1865" s="145"/>
      <c r="G1865" s="145"/>
      <c r="H1865" s="145"/>
      <c r="I1865" s="145"/>
      <c r="J1865" s="145"/>
      <c r="K1865" s="598">
        <v>1122</v>
      </c>
      <c r="L1865" s="598">
        <v>1147</v>
      </c>
      <c r="M1865" s="598">
        <v>1135</v>
      </c>
      <c r="N1865" s="598">
        <v>1217</v>
      </c>
      <c r="O1865" s="598">
        <v>1341</v>
      </c>
      <c r="P1865" s="146">
        <v>1696</v>
      </c>
      <c r="Q1865" s="146">
        <v>1814</v>
      </c>
      <c r="R1865" s="146">
        <v>1954</v>
      </c>
      <c r="S1865" s="146">
        <v>2116</v>
      </c>
      <c r="T1865" s="146">
        <v>2259</v>
      </c>
      <c r="U1865" s="146">
        <v>2165</v>
      </c>
      <c r="V1865" s="147">
        <v>1909</v>
      </c>
      <c r="W1865" s="147">
        <v>1663.1067278999999</v>
      </c>
      <c r="X1865" s="147">
        <v>1462.9433528383997</v>
      </c>
      <c r="Y1865" s="147">
        <v>1100.0264675292001</v>
      </c>
      <c r="Z1865" s="147">
        <v>983.14075783010003</v>
      </c>
      <c r="AA1865" s="147">
        <v>883.42760823190508</v>
      </c>
      <c r="AB1865" s="147">
        <v>843.25943108822639</v>
      </c>
      <c r="AC1865" s="147">
        <v>868.3801535726376</v>
      </c>
      <c r="AD1865" s="147">
        <v>885.29790382435635</v>
      </c>
      <c r="AE1865" s="147">
        <v>901.46026104731686</v>
      </c>
      <c r="AF1865" s="147">
        <v>911.222734734558</v>
      </c>
      <c r="AG1865" s="147">
        <v>921.92988481871907</v>
      </c>
      <c r="AH1865" s="147">
        <v>933.61252883014106</v>
      </c>
      <c r="AI1865" s="147">
        <v>946.30313494441498</v>
      </c>
      <c r="AJ1865" s="147">
        <v>960.0358957625574</v>
      </c>
      <c r="AK1865" s="147">
        <v>974.84680575853565</v>
      </c>
      <c r="AL1865" s="147">
        <v>990.77374257204247</v>
      </c>
      <c r="AM1865" s="147">
        <v>1007.8565523332447</v>
      </c>
      <c r="AN1865" s="147">
        <v>1026.137139215502</v>
      </c>
      <c r="AO1865" s="147">
        <v>1045.6595594217652</v>
      </c>
      <c r="AP1865" s="147">
        <v>1066.4701198205817</v>
      </c>
      <c r="AQ1865" s="147">
        <v>1066.4701198205817</v>
      </c>
      <c r="AR1865" s="147">
        <v>1066.4701198205817</v>
      </c>
      <c r="AS1865" s="147">
        <v>1066.4701198205817</v>
      </c>
      <c r="AT1865" s="2"/>
      <c r="AU1865" s="2"/>
    </row>
    <row r="1866" spans="1:47" hidden="1" outlineLevel="1">
      <c r="A1866" s="298"/>
      <c r="B1866" s="432" t="s">
        <v>1099</v>
      </c>
      <c r="C1866" s="140" t="s">
        <v>733</v>
      </c>
      <c r="D1866" s="140"/>
      <c r="E1866" s="140"/>
      <c r="F1866" s="140"/>
      <c r="G1866" s="140"/>
      <c r="H1866" s="140"/>
      <c r="I1866" s="140"/>
      <c r="J1866" s="140"/>
      <c r="K1866" s="141"/>
      <c r="L1866" s="148">
        <v>2.2281639928698693E-2</v>
      </c>
      <c r="M1866" s="148">
        <v>-1.0462074978204061E-2</v>
      </c>
      <c r="N1866" s="148">
        <v>7.2246696035242364E-2</v>
      </c>
      <c r="O1866" s="148">
        <v>0.10188989317995079</v>
      </c>
      <c r="P1866" s="148">
        <v>0.26472781506338561</v>
      </c>
      <c r="Q1866" s="148">
        <v>6.9575471698113178E-2</v>
      </c>
      <c r="R1866" s="148">
        <v>7.7177508269018702E-2</v>
      </c>
      <c r="S1866" s="148">
        <v>8.290685772773787E-2</v>
      </c>
      <c r="T1866" s="148">
        <v>6.7580340264650207E-2</v>
      </c>
      <c r="U1866" s="148">
        <v>-4.1611332447985871E-2</v>
      </c>
      <c r="V1866" s="148">
        <v>-0.11824480369515011</v>
      </c>
      <c r="W1866" s="148">
        <v>-0.1288073714510215</v>
      </c>
      <c r="X1866" s="148">
        <v>-0.12035509910680586</v>
      </c>
      <c r="Y1866" s="148">
        <v>-0.24807309497327357</v>
      </c>
      <c r="Z1866" s="148">
        <v>-0.10625717939463797</v>
      </c>
      <c r="AA1866" s="148">
        <v>-0.10142306562314929</v>
      </c>
      <c r="AB1866" s="148">
        <v>-4.5468555396487309E-2</v>
      </c>
      <c r="AC1866" s="148">
        <v>2.979002849928758E-2</v>
      </c>
      <c r="AD1866" s="148">
        <v>1.9481963264725399E-2</v>
      </c>
      <c r="AE1866" s="148">
        <v>1.825640516389071E-2</v>
      </c>
      <c r="AF1866" s="148">
        <v>1.0829621791535349E-2</v>
      </c>
      <c r="AG1866" s="148">
        <v>1.1750310517965934E-2</v>
      </c>
      <c r="AH1866" s="148">
        <v>1.2671944150849601E-2</v>
      </c>
      <c r="AI1866" s="148">
        <v>1.3593011792778498E-2</v>
      </c>
      <c r="AJ1866" s="148">
        <v>1.4512010275596454E-2</v>
      </c>
      <c r="AK1866" s="148">
        <v>1.5427454391394368E-2</v>
      </c>
      <c r="AL1866" s="148">
        <v>1.6337886855067429E-2</v>
      </c>
      <c r="AM1866" s="148">
        <v>1.724188785711589E-2</v>
      </c>
      <c r="AN1866" s="148">
        <v>1.8138084075493444E-2</v>
      </c>
      <c r="AO1866" s="148">
        <v>1.9025157028414785E-2</v>
      </c>
      <c r="AP1866" s="148">
        <v>1.9901850665740906E-2</v>
      </c>
      <c r="AQ1866" s="148">
        <v>1.9901850665740906E-2</v>
      </c>
      <c r="AR1866" s="148">
        <v>1.9901850665740906E-2</v>
      </c>
      <c r="AS1866" s="148">
        <v>1.9901850665740906E-2</v>
      </c>
      <c r="AT1866" s="2"/>
      <c r="AU1866" s="2"/>
    </row>
    <row r="1867" spans="1:47" hidden="1" outlineLevel="1">
      <c r="A1867" s="298"/>
      <c r="B1867" s="72"/>
      <c r="C1867" s="140"/>
      <c r="D1867" s="140"/>
      <c r="E1867" s="140"/>
      <c r="F1867" s="140"/>
      <c r="G1867" s="140"/>
      <c r="H1867" s="140"/>
      <c r="I1867" s="140"/>
      <c r="J1867" s="140"/>
      <c r="K1867" s="141"/>
      <c r="L1867" s="141"/>
      <c r="M1867" s="141"/>
      <c r="N1867" s="141"/>
      <c r="O1867" s="141"/>
      <c r="P1867" s="141"/>
      <c r="Q1867" s="141"/>
      <c r="R1867" s="141"/>
      <c r="S1867" s="141"/>
      <c r="T1867" s="141"/>
      <c r="U1867" s="141"/>
      <c r="V1867" s="141"/>
      <c r="W1867" s="141"/>
      <c r="X1867" s="141"/>
      <c r="Y1867" s="141"/>
      <c r="Z1867" s="141"/>
      <c r="AA1867" s="141"/>
      <c r="AB1867" s="141"/>
      <c r="AC1867" s="141"/>
      <c r="AD1867" s="141"/>
      <c r="AE1867" s="141"/>
      <c r="AF1867" s="141"/>
      <c r="AG1867" s="141"/>
      <c r="AH1867" s="141"/>
      <c r="AI1867" s="141"/>
      <c r="AJ1867" s="141"/>
      <c r="AK1867" s="141"/>
      <c r="AL1867" s="141"/>
      <c r="AM1867" s="141"/>
      <c r="AN1867" s="141"/>
      <c r="AO1867" s="141"/>
      <c r="AP1867" s="141"/>
      <c r="AQ1867" s="141"/>
      <c r="AR1867" s="141"/>
      <c r="AS1867" s="141"/>
      <c r="AT1867" s="2"/>
      <c r="AU1867" s="2"/>
    </row>
    <row r="1868" spans="1:47" hidden="1" outlineLevel="1">
      <c r="A1868" s="298"/>
      <c r="B1868" s="2"/>
      <c r="C1868" s="18"/>
      <c r="D1868" s="18"/>
      <c r="E1868" s="18"/>
      <c r="F1868" s="18"/>
      <c r="G1868" s="18"/>
      <c r="H1868" s="18"/>
      <c r="I1868" s="18"/>
      <c r="J1868" s="18"/>
      <c r="K1868" s="6"/>
      <c r="L1868" s="6"/>
      <c r="M1868" s="6"/>
      <c r="N1868" s="6"/>
      <c r="O1868" s="6"/>
      <c r="P1868" s="6"/>
      <c r="Q1868" s="6"/>
      <c r="R1868" s="6"/>
      <c r="S1868" s="6"/>
      <c r="T1868" s="2"/>
      <c r="U1868" s="2"/>
      <c r="V1868" s="2"/>
      <c r="W1868" s="2"/>
      <c r="X1868" s="2"/>
      <c r="Y1868" s="2"/>
      <c r="Z1868" s="2"/>
      <c r="AA1868" s="2"/>
      <c r="AB1868" s="2"/>
      <c r="AC1868" s="2"/>
      <c r="AD1868" s="2"/>
      <c r="AE1868" s="2"/>
      <c r="AF1868" s="2"/>
      <c r="AG1868" s="2"/>
      <c r="AH1868" s="2"/>
      <c r="AI1868" s="2"/>
      <c r="AJ1868" s="2"/>
      <c r="AK1868" s="2"/>
      <c r="AL1868" s="2"/>
      <c r="AM1868" s="2"/>
      <c r="AN1868" s="2"/>
      <c r="AO1868" s="2"/>
      <c r="AP1868" s="2"/>
      <c r="AQ1868" s="2"/>
      <c r="AR1868" s="2"/>
      <c r="AS1868" s="2"/>
      <c r="AT1868" s="2"/>
      <c r="AU1868" s="2"/>
    </row>
    <row r="1869" spans="1:47" ht="12.75" hidden="1" customHeight="1" outlineLevel="1">
      <c r="A1869" s="298"/>
      <c r="B1869" s="6" t="s">
        <v>731</v>
      </c>
      <c r="C1869" s="18"/>
      <c r="D1869" s="18"/>
      <c r="E1869" s="18"/>
      <c r="F1869" s="18"/>
      <c r="G1869" s="18"/>
      <c r="H1869" s="18"/>
      <c r="I1869" s="18"/>
      <c r="J1869" s="18"/>
      <c r="K1869" s="7"/>
      <c r="L1869" s="7"/>
      <c r="M1869" s="7"/>
      <c r="N1869" s="7"/>
      <c r="O1869" s="7"/>
      <c r="P1869" s="7"/>
      <c r="Q1869" s="7"/>
      <c r="R1869" s="7"/>
      <c r="S1869" s="7"/>
      <c r="T1869" s="7"/>
      <c r="U1869" s="7"/>
      <c r="V1869" s="7"/>
      <c r="W1869" s="7"/>
      <c r="X1869" s="7"/>
      <c r="Y1869" s="7"/>
      <c r="Z1869" s="7"/>
      <c r="AA1869" s="7"/>
      <c r="AB1869" s="7"/>
      <c r="AC1869" s="7"/>
      <c r="AD1869" s="7"/>
      <c r="AE1869" s="7"/>
      <c r="AF1869" s="7"/>
      <c r="AG1869" s="7"/>
      <c r="AH1869" s="7"/>
      <c r="AI1869" s="7"/>
      <c r="AJ1869" s="7"/>
      <c r="AK1869" s="7"/>
      <c r="AL1869" s="7"/>
      <c r="AM1869" s="7"/>
      <c r="AN1869" s="7"/>
      <c r="AO1869" s="7"/>
      <c r="AP1869" s="7"/>
      <c r="AQ1869" s="7"/>
      <c r="AR1869" s="7"/>
      <c r="AS1869" s="7"/>
      <c r="AT1869" s="2"/>
      <c r="AU1869" s="2"/>
    </row>
    <row r="1870" spans="1:47" ht="12.75" hidden="1" customHeight="1" outlineLevel="1">
      <c r="A1870" s="298"/>
      <c r="B1870" s="55" t="s">
        <v>777</v>
      </c>
      <c r="C1870" s="18"/>
      <c r="D1870" s="18"/>
      <c r="E1870" s="18"/>
      <c r="F1870" s="18"/>
      <c r="G1870" s="18"/>
      <c r="H1870" s="18"/>
      <c r="I1870" s="18"/>
      <c r="J1870" s="18"/>
      <c r="K1870" s="7"/>
      <c r="L1870" s="7"/>
      <c r="M1870" s="7"/>
      <c r="N1870" s="7"/>
      <c r="O1870" s="7"/>
      <c r="P1870" s="532">
        <v>364</v>
      </c>
      <c r="Q1870" s="532">
        <v>347</v>
      </c>
      <c r="R1870" s="532">
        <v>357</v>
      </c>
      <c r="S1870" s="532">
        <v>387</v>
      </c>
      <c r="T1870" s="7"/>
      <c r="U1870" s="31">
        <v>647.82205746061175</v>
      </c>
      <c r="V1870" s="532">
        <v>699</v>
      </c>
      <c r="W1870" s="7"/>
      <c r="X1870" s="7"/>
      <c r="Y1870" s="7"/>
      <c r="Z1870" s="7"/>
      <c r="AA1870" s="7"/>
      <c r="AB1870" s="7"/>
      <c r="AC1870" s="7"/>
      <c r="AD1870" s="7"/>
      <c r="AE1870" s="7"/>
      <c r="AF1870" s="7"/>
      <c r="AG1870" s="7"/>
      <c r="AH1870" s="7"/>
      <c r="AI1870" s="7"/>
      <c r="AJ1870" s="7"/>
      <c r="AK1870" s="7"/>
      <c r="AL1870" s="7"/>
      <c r="AM1870" s="7"/>
      <c r="AN1870" s="7"/>
      <c r="AO1870" s="7"/>
      <c r="AP1870" s="7"/>
      <c r="AQ1870" s="7"/>
      <c r="AR1870" s="7"/>
      <c r="AS1870" s="7"/>
      <c r="AT1870" s="2"/>
      <c r="AU1870" s="2"/>
    </row>
    <row r="1871" spans="1:47" ht="12.75" hidden="1" customHeight="1" outlineLevel="1">
      <c r="A1871" s="298"/>
      <c r="B1871" s="241" t="s">
        <v>1099</v>
      </c>
      <c r="C1871" s="18" t="s">
        <v>733</v>
      </c>
      <c r="D1871" s="18"/>
      <c r="E1871" s="18"/>
      <c r="F1871" s="18"/>
      <c r="G1871" s="18"/>
      <c r="H1871" s="18"/>
      <c r="I1871" s="18"/>
      <c r="J1871" s="18"/>
      <c r="K1871" s="7"/>
      <c r="L1871" s="7"/>
      <c r="M1871" s="7"/>
      <c r="N1871" s="7"/>
      <c r="O1871" s="7"/>
      <c r="P1871" s="7"/>
      <c r="Q1871" s="7"/>
      <c r="R1871" s="7"/>
      <c r="S1871" s="7"/>
      <c r="T1871" s="7"/>
      <c r="U1871" s="7"/>
      <c r="V1871" s="7"/>
      <c r="W1871" s="7"/>
      <c r="X1871" s="7"/>
      <c r="Y1871" s="7"/>
      <c r="Z1871" s="7"/>
      <c r="AA1871" s="7"/>
      <c r="AB1871" s="7"/>
      <c r="AC1871" s="7"/>
      <c r="AD1871" s="7"/>
      <c r="AE1871" s="7"/>
      <c r="AF1871" s="7"/>
      <c r="AG1871" s="7"/>
      <c r="AH1871" s="7"/>
      <c r="AI1871" s="7"/>
      <c r="AJ1871" s="7"/>
      <c r="AK1871" s="7"/>
      <c r="AL1871" s="7"/>
      <c r="AM1871" s="7"/>
      <c r="AN1871" s="7"/>
      <c r="AO1871" s="7"/>
      <c r="AP1871" s="7"/>
      <c r="AQ1871" s="7"/>
      <c r="AR1871" s="7"/>
      <c r="AS1871" s="7"/>
      <c r="AT1871" s="2"/>
      <c r="AU1871" s="2"/>
    </row>
    <row r="1872" spans="1:47" ht="12.75" hidden="1" customHeight="1" outlineLevel="1">
      <c r="A1872" s="298"/>
      <c r="B1872" s="55" t="s">
        <v>778</v>
      </c>
      <c r="C1872" s="18"/>
      <c r="D1872" s="18"/>
      <c r="E1872" s="18"/>
      <c r="F1872" s="18"/>
      <c r="G1872" s="18"/>
      <c r="H1872" s="18"/>
      <c r="I1872" s="18"/>
      <c r="J1872" s="18"/>
      <c r="K1872" s="7"/>
      <c r="L1872" s="7"/>
      <c r="M1872" s="7"/>
      <c r="N1872" s="7"/>
      <c r="O1872" s="7"/>
      <c r="P1872" s="532">
        <v>547</v>
      </c>
      <c r="Q1872" s="532">
        <v>597</v>
      </c>
      <c r="R1872" s="532">
        <v>501</v>
      </c>
      <c r="S1872" s="532">
        <v>422</v>
      </c>
      <c r="T1872" s="7"/>
      <c r="U1872" s="7"/>
      <c r="V1872" s="7"/>
      <c r="W1872" s="7"/>
      <c r="X1872" s="7"/>
      <c r="Y1872" s="7"/>
      <c r="Z1872" s="7"/>
      <c r="AA1872" s="7"/>
      <c r="AB1872" s="7"/>
      <c r="AC1872" s="7"/>
      <c r="AD1872" s="7"/>
      <c r="AE1872" s="7"/>
      <c r="AF1872" s="7"/>
      <c r="AG1872" s="7"/>
      <c r="AH1872" s="7"/>
      <c r="AI1872" s="7"/>
      <c r="AJ1872" s="7"/>
      <c r="AK1872" s="7"/>
      <c r="AL1872" s="7"/>
      <c r="AM1872" s="7"/>
      <c r="AN1872" s="7"/>
      <c r="AO1872" s="7"/>
      <c r="AP1872" s="7"/>
      <c r="AQ1872" s="7"/>
      <c r="AR1872" s="7"/>
      <c r="AS1872" s="7"/>
      <c r="AT1872" s="2"/>
      <c r="AU1872" s="2"/>
    </row>
    <row r="1873" spans="1:47" ht="12.75" hidden="1" customHeight="1" outlineLevel="1">
      <c r="A1873" s="298"/>
      <c r="B1873" s="241" t="s">
        <v>1099</v>
      </c>
      <c r="C1873" s="18" t="s">
        <v>733</v>
      </c>
      <c r="D1873" s="18"/>
      <c r="E1873" s="18"/>
      <c r="F1873" s="18"/>
      <c r="G1873" s="18"/>
      <c r="H1873" s="18"/>
      <c r="I1873" s="18"/>
      <c r="J1873" s="18"/>
      <c r="K1873" s="7"/>
      <c r="L1873" s="7"/>
      <c r="M1873" s="7"/>
      <c r="N1873" s="7"/>
      <c r="O1873" s="7"/>
      <c r="P1873" s="7"/>
      <c r="Q1873" s="7"/>
      <c r="R1873" s="7"/>
      <c r="S1873" s="7"/>
      <c r="T1873" s="7"/>
      <c r="U1873" s="7"/>
      <c r="V1873" s="7"/>
      <c r="W1873" s="7"/>
      <c r="X1873" s="7"/>
      <c r="Y1873" s="7"/>
      <c r="Z1873" s="7"/>
      <c r="AA1873" s="7"/>
      <c r="AB1873" s="7"/>
      <c r="AC1873" s="7"/>
      <c r="AD1873" s="7"/>
      <c r="AE1873" s="7"/>
      <c r="AF1873" s="7"/>
      <c r="AG1873" s="7"/>
      <c r="AH1873" s="7"/>
      <c r="AI1873" s="7"/>
      <c r="AJ1873" s="7"/>
      <c r="AK1873" s="7"/>
      <c r="AL1873" s="7"/>
      <c r="AM1873" s="7"/>
      <c r="AN1873" s="7"/>
      <c r="AO1873" s="7"/>
      <c r="AP1873" s="7"/>
      <c r="AQ1873" s="7"/>
      <c r="AR1873" s="7"/>
      <c r="AS1873" s="7"/>
      <c r="AT1873" s="2"/>
      <c r="AU1873" s="2"/>
    </row>
    <row r="1874" spans="1:47" ht="12.75" hidden="1" customHeight="1" outlineLevel="1">
      <c r="A1874" s="298"/>
      <c r="B1874" s="55" t="s">
        <v>779</v>
      </c>
      <c r="C1874" s="18"/>
      <c r="D1874" s="18"/>
      <c r="E1874" s="18"/>
      <c r="F1874" s="18"/>
      <c r="G1874" s="18"/>
      <c r="H1874" s="18"/>
      <c r="I1874" s="18"/>
      <c r="J1874" s="18"/>
      <c r="K1874" s="7"/>
      <c r="L1874" s="7"/>
      <c r="M1874" s="7"/>
      <c r="N1874" s="7"/>
      <c r="O1874" s="7"/>
      <c r="P1874" s="532">
        <v>118</v>
      </c>
      <c r="Q1874" s="532">
        <v>111</v>
      </c>
      <c r="R1874" s="532">
        <v>127</v>
      </c>
      <c r="S1874" s="532">
        <v>122</v>
      </c>
      <c r="T1874" s="7"/>
      <c r="U1874" s="7"/>
      <c r="V1874" s="7"/>
      <c r="W1874" s="7"/>
      <c r="X1874" s="7"/>
      <c r="Y1874" s="7"/>
      <c r="Z1874" s="7"/>
      <c r="AA1874" s="7"/>
      <c r="AB1874" s="7"/>
      <c r="AC1874" s="7"/>
      <c r="AD1874" s="7"/>
      <c r="AE1874" s="7"/>
      <c r="AF1874" s="7"/>
      <c r="AG1874" s="7"/>
      <c r="AH1874" s="7"/>
      <c r="AI1874" s="7"/>
      <c r="AJ1874" s="7"/>
      <c r="AK1874" s="7"/>
      <c r="AL1874" s="7"/>
      <c r="AM1874" s="7"/>
      <c r="AN1874" s="7"/>
      <c r="AO1874" s="7"/>
      <c r="AP1874" s="7"/>
      <c r="AQ1874" s="7"/>
      <c r="AR1874" s="7"/>
      <c r="AS1874" s="7"/>
      <c r="AT1874" s="2"/>
      <c r="AU1874" s="2"/>
    </row>
    <row r="1875" spans="1:47" ht="12.75" hidden="1" customHeight="1" outlineLevel="1">
      <c r="A1875" s="298"/>
      <c r="B1875" s="241" t="s">
        <v>1099</v>
      </c>
      <c r="C1875" s="18" t="s">
        <v>733</v>
      </c>
      <c r="D1875" s="18"/>
      <c r="E1875" s="18"/>
      <c r="F1875" s="18"/>
      <c r="G1875" s="18"/>
      <c r="H1875" s="18"/>
      <c r="I1875" s="18"/>
      <c r="J1875" s="18"/>
      <c r="K1875" s="7"/>
      <c r="L1875" s="7"/>
      <c r="M1875" s="7"/>
      <c r="N1875" s="7"/>
      <c r="O1875" s="7"/>
      <c r="P1875" s="7"/>
      <c r="Q1875" s="7"/>
      <c r="R1875" s="7"/>
      <c r="S1875" s="7"/>
      <c r="T1875" s="7"/>
      <c r="U1875" s="7"/>
      <c r="V1875" s="7"/>
      <c r="W1875" s="7"/>
      <c r="X1875" s="7"/>
      <c r="Y1875" s="7"/>
      <c r="Z1875" s="7"/>
      <c r="AA1875" s="7"/>
      <c r="AB1875" s="7"/>
      <c r="AC1875" s="7"/>
      <c r="AD1875" s="7"/>
      <c r="AE1875" s="7"/>
      <c r="AF1875" s="7"/>
      <c r="AG1875" s="7"/>
      <c r="AH1875" s="7"/>
      <c r="AI1875" s="7"/>
      <c r="AJ1875" s="7"/>
      <c r="AK1875" s="7"/>
      <c r="AL1875" s="7"/>
      <c r="AM1875" s="7"/>
      <c r="AN1875" s="7"/>
      <c r="AO1875" s="7"/>
      <c r="AP1875" s="7"/>
      <c r="AQ1875" s="7"/>
      <c r="AR1875" s="7"/>
      <c r="AS1875" s="7"/>
      <c r="AT1875" s="2"/>
      <c r="AU1875" s="2"/>
    </row>
    <row r="1876" spans="1:47" ht="12.75" hidden="1" customHeight="1" outlineLevel="1">
      <c r="A1876" s="298"/>
      <c r="B1876" s="55" t="s">
        <v>780</v>
      </c>
      <c r="C1876" s="18"/>
      <c r="D1876" s="18"/>
      <c r="E1876" s="18"/>
      <c r="F1876" s="18"/>
      <c r="G1876" s="18"/>
      <c r="H1876" s="18"/>
      <c r="I1876" s="18"/>
      <c r="J1876" s="18"/>
      <c r="K1876" s="7"/>
      <c r="L1876" s="7"/>
      <c r="M1876" s="7"/>
      <c r="N1876" s="7"/>
      <c r="O1876" s="7"/>
      <c r="P1876" s="532">
        <v>27</v>
      </c>
      <c r="Q1876" s="7">
        <v>103</v>
      </c>
      <c r="R1876" s="532">
        <v>75</v>
      </c>
      <c r="S1876" s="532">
        <v>118</v>
      </c>
      <c r="T1876" s="7"/>
      <c r="U1876" s="7"/>
      <c r="V1876" s="7"/>
      <c r="W1876" s="7"/>
      <c r="X1876" s="7"/>
      <c r="Y1876" s="7"/>
      <c r="Z1876" s="7"/>
      <c r="AA1876" s="7"/>
      <c r="AB1876" s="7"/>
      <c r="AC1876" s="7"/>
      <c r="AD1876" s="7"/>
      <c r="AE1876" s="7"/>
      <c r="AF1876" s="7"/>
      <c r="AG1876" s="7"/>
      <c r="AH1876" s="7"/>
      <c r="AI1876" s="7"/>
      <c r="AJ1876" s="7"/>
      <c r="AK1876" s="7"/>
      <c r="AL1876" s="7"/>
      <c r="AM1876" s="7"/>
      <c r="AN1876" s="7"/>
      <c r="AO1876" s="7"/>
      <c r="AP1876" s="7"/>
      <c r="AQ1876" s="7"/>
      <c r="AR1876" s="7"/>
      <c r="AS1876" s="7"/>
      <c r="AT1876" s="2"/>
      <c r="AU1876" s="2"/>
    </row>
    <row r="1877" spans="1:47" ht="12.75" hidden="1" customHeight="1" outlineLevel="1">
      <c r="A1877" s="298"/>
      <c r="B1877" s="241" t="s">
        <v>1099</v>
      </c>
      <c r="C1877" s="18" t="s">
        <v>733</v>
      </c>
      <c r="D1877" s="18"/>
      <c r="E1877" s="18"/>
      <c r="F1877" s="18"/>
      <c r="G1877" s="18"/>
      <c r="H1877" s="18"/>
      <c r="I1877" s="18"/>
      <c r="J1877" s="18"/>
      <c r="K1877" s="7"/>
      <c r="L1877" s="7"/>
      <c r="M1877" s="7"/>
      <c r="N1877" s="7"/>
      <c r="O1877" s="7"/>
      <c r="P1877" s="7"/>
      <c r="Q1877" s="7"/>
      <c r="R1877" s="7"/>
      <c r="S1877" s="7"/>
      <c r="T1877" s="7"/>
      <c r="U1877" s="7"/>
      <c r="V1877" s="7"/>
      <c r="W1877" s="7"/>
      <c r="X1877" s="7"/>
      <c r="Y1877" s="7"/>
      <c r="Z1877" s="7"/>
      <c r="AA1877" s="7"/>
      <c r="AB1877" s="7"/>
      <c r="AC1877" s="7"/>
      <c r="AD1877" s="7"/>
      <c r="AE1877" s="7"/>
      <c r="AF1877" s="7"/>
      <c r="AG1877" s="7"/>
      <c r="AH1877" s="7"/>
      <c r="AI1877" s="7"/>
      <c r="AJ1877" s="7"/>
      <c r="AK1877" s="7"/>
      <c r="AL1877" s="7"/>
      <c r="AM1877" s="7"/>
      <c r="AN1877" s="7"/>
      <c r="AO1877" s="7"/>
      <c r="AP1877" s="7"/>
      <c r="AQ1877" s="7"/>
      <c r="AR1877" s="7"/>
      <c r="AS1877" s="7"/>
      <c r="AT1877" s="2"/>
      <c r="AU1877" s="2"/>
    </row>
    <row r="1878" spans="1:47" ht="12.75" hidden="1" customHeight="1" outlineLevel="1">
      <c r="A1878" s="298"/>
      <c r="B1878" s="55"/>
      <c r="C1878" s="18"/>
      <c r="D1878" s="18"/>
      <c r="E1878" s="18"/>
      <c r="F1878" s="18"/>
      <c r="G1878" s="18"/>
      <c r="H1878" s="18"/>
      <c r="I1878" s="18"/>
      <c r="J1878" s="18"/>
      <c r="K1878" s="7"/>
      <c r="L1878" s="7"/>
      <c r="M1878" s="7"/>
      <c r="N1878" s="7"/>
      <c r="O1878" s="7"/>
      <c r="P1878" s="7"/>
      <c r="Q1878" s="7"/>
      <c r="R1878" s="7"/>
      <c r="S1878" s="7"/>
      <c r="T1878" s="7"/>
      <c r="U1878" s="7"/>
      <c r="V1878" s="7"/>
      <c r="W1878" s="7"/>
      <c r="X1878" s="7"/>
      <c r="Y1878" s="7"/>
      <c r="Z1878" s="7"/>
      <c r="AA1878" s="7"/>
      <c r="AB1878" s="7"/>
      <c r="AC1878" s="7"/>
      <c r="AD1878" s="7"/>
      <c r="AE1878" s="7"/>
      <c r="AF1878" s="7"/>
      <c r="AG1878" s="7"/>
      <c r="AH1878" s="7"/>
      <c r="AI1878" s="7"/>
      <c r="AJ1878" s="7"/>
      <c r="AK1878" s="7"/>
      <c r="AL1878" s="7"/>
      <c r="AM1878" s="7"/>
      <c r="AN1878" s="7"/>
      <c r="AO1878" s="7"/>
      <c r="AP1878" s="7"/>
      <c r="AQ1878" s="7"/>
      <c r="AR1878" s="7"/>
      <c r="AS1878" s="7"/>
      <c r="AT1878" s="2"/>
      <c r="AU1878" s="2"/>
    </row>
    <row r="1879" spans="1:47" ht="12.75" hidden="1" customHeight="1" outlineLevel="1">
      <c r="A1879" s="298"/>
      <c r="B1879" s="6" t="s">
        <v>883</v>
      </c>
      <c r="C1879" s="18"/>
      <c r="D1879" s="18"/>
      <c r="E1879" s="18"/>
      <c r="F1879" s="18"/>
      <c r="G1879" s="18"/>
      <c r="H1879" s="18"/>
      <c r="I1879" s="18"/>
      <c r="J1879" s="18"/>
      <c r="K1879" s="7"/>
      <c r="L1879" s="7"/>
      <c r="M1879" s="7"/>
      <c r="N1879" s="7"/>
      <c r="O1879" s="7"/>
      <c r="P1879" s="7"/>
      <c r="Q1879" s="7"/>
      <c r="R1879" s="7"/>
      <c r="S1879" s="7"/>
      <c r="T1879" s="7"/>
      <c r="U1879" s="7"/>
      <c r="V1879" s="7"/>
      <c r="W1879" s="7"/>
      <c r="X1879" s="7"/>
      <c r="Y1879" s="7"/>
      <c r="Z1879" s="7"/>
      <c r="AA1879" s="7"/>
      <c r="AB1879" s="7"/>
      <c r="AC1879" s="7"/>
      <c r="AD1879" s="7"/>
      <c r="AE1879" s="7"/>
      <c r="AF1879" s="7"/>
      <c r="AG1879" s="7"/>
      <c r="AH1879" s="7"/>
      <c r="AI1879" s="7"/>
      <c r="AJ1879" s="7"/>
      <c r="AK1879" s="7"/>
      <c r="AL1879" s="7"/>
      <c r="AM1879" s="7"/>
      <c r="AN1879" s="7"/>
      <c r="AO1879" s="7"/>
      <c r="AP1879" s="7"/>
      <c r="AQ1879" s="7"/>
      <c r="AR1879" s="7"/>
      <c r="AS1879" s="7"/>
      <c r="AT1879" s="2"/>
      <c r="AU1879" s="2"/>
    </row>
    <row r="1880" spans="1:47" ht="12.75" hidden="1" customHeight="1" outlineLevel="1">
      <c r="A1880" s="298"/>
      <c r="B1880" s="2" t="s">
        <v>874</v>
      </c>
      <c r="C1880" s="18" t="s">
        <v>732</v>
      </c>
      <c r="D1880" s="18"/>
      <c r="E1880" s="18"/>
      <c r="F1880" s="18"/>
      <c r="G1880" s="18"/>
      <c r="H1880" s="18"/>
      <c r="I1880" s="18"/>
      <c r="J1880" s="18"/>
      <c r="K1880" s="7"/>
      <c r="L1880" s="7"/>
      <c r="M1880" s="7"/>
      <c r="N1880" s="7"/>
      <c r="O1880" s="7"/>
      <c r="P1880" s="7"/>
      <c r="Q1880" s="7"/>
      <c r="R1880" s="7"/>
      <c r="S1880" s="7"/>
      <c r="T1880" s="7"/>
      <c r="U1880" s="31">
        <v>278.91000000000003</v>
      </c>
      <c r="V1880" s="31">
        <v>305.18100000000004</v>
      </c>
      <c r="W1880" s="31">
        <v>347.32500000000005</v>
      </c>
      <c r="X1880" s="31">
        <v>408.92500000000001</v>
      </c>
      <c r="Y1880" s="31">
        <v>492.96000000000004</v>
      </c>
      <c r="Z1880" s="536">
        <v>762</v>
      </c>
      <c r="AA1880" s="31">
        <v>851.73</v>
      </c>
      <c r="AB1880" s="31">
        <v>1108.1400000000001</v>
      </c>
      <c r="AC1880" s="31">
        <v>1196.9100000000001</v>
      </c>
      <c r="AD1880" s="31">
        <v>1147.4100000000001</v>
      </c>
      <c r="AE1880" s="31">
        <v>1115.0700000000002</v>
      </c>
      <c r="AF1880" s="31">
        <v>1115.0700000000002</v>
      </c>
      <c r="AG1880" s="31">
        <v>1115.0700000000002</v>
      </c>
      <c r="AH1880" s="31">
        <v>1115.0700000000002</v>
      </c>
      <c r="AI1880" s="31">
        <v>1115.0700000000002</v>
      </c>
      <c r="AJ1880" s="31">
        <v>1115.0700000000002</v>
      </c>
      <c r="AK1880" s="31">
        <v>1115.0700000000002</v>
      </c>
      <c r="AL1880" s="31">
        <v>1115.0700000000002</v>
      </c>
      <c r="AM1880" s="31">
        <v>1115.0700000000002</v>
      </c>
      <c r="AN1880" s="31">
        <v>1115.0700000000002</v>
      </c>
      <c r="AO1880" s="31">
        <v>1115.0700000000002</v>
      </c>
      <c r="AP1880" s="31">
        <v>1115.0700000000002</v>
      </c>
      <c r="AQ1880" s="31">
        <v>1115.0700000000002</v>
      </c>
      <c r="AR1880" s="31">
        <v>1115.0700000000002</v>
      </c>
      <c r="AS1880" s="31">
        <v>1115.0700000000002</v>
      </c>
      <c r="AT1880" s="2"/>
      <c r="AU1880" s="2"/>
    </row>
    <row r="1881" spans="1:47" ht="12.75" hidden="1" customHeight="1" outlineLevel="1">
      <c r="A1881" s="298"/>
      <c r="B1881" s="241" t="s">
        <v>1099</v>
      </c>
      <c r="C1881" s="18"/>
      <c r="D1881" s="18"/>
      <c r="E1881" s="18"/>
      <c r="F1881" s="18"/>
      <c r="G1881" s="18"/>
      <c r="H1881" s="18"/>
      <c r="I1881" s="18"/>
      <c r="J1881" s="18"/>
      <c r="K1881" s="7"/>
      <c r="L1881" s="7"/>
      <c r="M1881" s="7"/>
      <c r="N1881" s="7"/>
      <c r="O1881" s="7"/>
      <c r="P1881" s="7"/>
      <c r="Q1881" s="7"/>
      <c r="R1881" s="7"/>
      <c r="S1881" s="7"/>
      <c r="T1881" s="7"/>
      <c r="U1881" s="7"/>
      <c r="V1881" s="7">
        <v>9.4191674733785202E-2</v>
      </c>
      <c r="W1881" s="7">
        <v>0.13809509766335393</v>
      </c>
      <c r="X1881" s="7">
        <v>0.17735550277117951</v>
      </c>
      <c r="Y1881" s="7">
        <v>0.20550223146053681</v>
      </c>
      <c r="Z1881" s="7">
        <v>0.54576436222005831</v>
      </c>
      <c r="AA1881" s="7">
        <v>0.11775590551181114</v>
      </c>
      <c r="AB1881" s="7">
        <v>0.30104610616040306</v>
      </c>
      <c r="AC1881" s="7">
        <v>8.0107206670637199E-2</v>
      </c>
      <c r="AD1881" s="7">
        <v>-4.1356492969396141E-2</v>
      </c>
      <c r="AE1881" s="7">
        <v>-2.8185217141213581E-2</v>
      </c>
      <c r="AF1881" s="7">
        <v>0</v>
      </c>
      <c r="AG1881" s="7">
        <v>0</v>
      </c>
      <c r="AH1881" s="7">
        <v>0</v>
      </c>
      <c r="AI1881" s="7">
        <v>0</v>
      </c>
      <c r="AJ1881" s="7">
        <v>0</v>
      </c>
      <c r="AK1881" s="7">
        <v>0</v>
      </c>
      <c r="AL1881" s="7">
        <v>0</v>
      </c>
      <c r="AM1881" s="7">
        <v>0</v>
      </c>
      <c r="AN1881" s="7">
        <v>0</v>
      </c>
      <c r="AO1881" s="7">
        <v>0</v>
      </c>
      <c r="AP1881" s="7">
        <v>0</v>
      </c>
      <c r="AQ1881" s="7">
        <v>0</v>
      </c>
      <c r="AR1881" s="7">
        <v>0</v>
      </c>
      <c r="AS1881" s="7">
        <v>0</v>
      </c>
      <c r="AT1881" s="2"/>
      <c r="AU1881" s="2"/>
    </row>
    <row r="1882" spans="1:47" ht="12.75" hidden="1" customHeight="1" outlineLevel="1">
      <c r="A1882" s="298"/>
      <c r="B1882" s="2" t="s">
        <v>875</v>
      </c>
      <c r="C1882" s="18" t="s">
        <v>732</v>
      </c>
      <c r="D1882" s="18"/>
      <c r="E1882" s="18"/>
      <c r="F1882" s="2"/>
      <c r="G1882" s="18"/>
      <c r="H1882" s="18"/>
      <c r="I1882" s="18"/>
      <c r="J1882" s="18"/>
      <c r="K1882" s="7"/>
      <c r="L1882" s="7"/>
      <c r="M1882" s="7"/>
      <c r="N1882" s="7"/>
      <c r="O1882" s="7"/>
      <c r="P1882" s="7"/>
      <c r="Q1882" s="7"/>
      <c r="R1882" s="7"/>
      <c r="S1882" s="7"/>
      <c r="T1882" s="7"/>
      <c r="U1882" s="31">
        <v>103.30000000000001</v>
      </c>
      <c r="V1882" s="31">
        <v>122.8725</v>
      </c>
      <c r="W1882" s="31">
        <v>174.29400000000001</v>
      </c>
      <c r="X1882" s="31">
        <v>231.81102000000001</v>
      </c>
      <c r="Y1882" s="31">
        <v>305.99054640000003</v>
      </c>
      <c r="Z1882" s="536">
        <v>286</v>
      </c>
      <c r="AA1882" s="31">
        <v>359.28795175951291</v>
      </c>
      <c r="AB1882" s="31">
        <v>448.5794431758074</v>
      </c>
      <c r="AC1882" s="31">
        <v>551.09037774148999</v>
      </c>
      <c r="AD1882" s="31">
        <v>666.00566006417068</v>
      </c>
      <c r="AE1882" s="31">
        <v>791.5633635441261</v>
      </c>
      <c r="AF1882" s="31">
        <v>924.9603747174441</v>
      </c>
      <c r="AG1882" s="31">
        <v>1062.338706689563</v>
      </c>
      <c r="AH1882" s="31">
        <v>1198.8741722101051</v>
      </c>
      <c r="AI1882" s="31">
        <v>1328.9801672012745</v>
      </c>
      <c r="AJ1882" s="31">
        <v>1470.7656964968851</v>
      </c>
      <c r="AK1882" s="31">
        <v>1625.1919373151297</v>
      </c>
      <c r="AL1882" s="31">
        <v>1793.2954175389061</v>
      </c>
      <c r="AM1882" s="31">
        <v>1976.1937486863092</v>
      </c>
      <c r="AN1882" s="31">
        <v>2175.0917866994678</v>
      </c>
      <c r="AO1882" s="31">
        <v>2391.2882520706867</v>
      </c>
      <c r="AP1882" s="31">
        <v>2626.1828431273784</v>
      </c>
      <c r="AQ1882" s="31">
        <v>2626.1828431273784</v>
      </c>
      <c r="AR1882" s="31">
        <v>2626.1828431273784</v>
      </c>
      <c r="AS1882" s="31">
        <v>2626.1828431273784</v>
      </c>
      <c r="AT1882" s="2"/>
      <c r="AU1882" s="2"/>
    </row>
    <row r="1883" spans="1:47" ht="12.75" hidden="1" customHeight="1" outlineLevel="1">
      <c r="A1883" s="298"/>
      <c r="B1883" s="241" t="s">
        <v>1099</v>
      </c>
      <c r="C1883" s="18"/>
      <c r="D1883" s="18"/>
      <c r="E1883" s="18"/>
      <c r="F1883" s="2"/>
      <c r="G1883" s="18"/>
      <c r="H1883" s="18"/>
      <c r="I1883" s="18"/>
      <c r="J1883" s="18"/>
      <c r="K1883" s="7"/>
      <c r="L1883" s="7"/>
      <c r="M1883" s="7"/>
      <c r="N1883" s="7"/>
      <c r="O1883" s="7"/>
      <c r="P1883" s="7"/>
      <c r="Q1883" s="7"/>
      <c r="R1883" s="7"/>
      <c r="S1883" s="7"/>
      <c r="T1883" s="7"/>
      <c r="U1883" s="7"/>
      <c r="V1883" s="7">
        <v>0.18947241045498542</v>
      </c>
      <c r="W1883" s="7">
        <v>0.41849478117560901</v>
      </c>
      <c r="X1883" s="532">
        <v>0.33</v>
      </c>
      <c r="Y1883" s="532">
        <v>0.32</v>
      </c>
      <c r="Z1883" s="7">
        <v>0.27616323728407699</v>
      </c>
      <c r="AA1883" s="29">
        <v>0.25625157957871636</v>
      </c>
      <c r="AB1883" s="29">
        <v>0.2485234781155734</v>
      </c>
      <c r="AC1883" s="29">
        <v>0.22852347811557316</v>
      </c>
      <c r="AD1883" s="29">
        <v>0.20852347811557337</v>
      </c>
      <c r="AE1883" s="29">
        <v>0.18852347811557291</v>
      </c>
      <c r="AF1883" s="29">
        <v>0.16852347811557311</v>
      </c>
      <c r="AG1883" s="29">
        <v>0.14852347811557332</v>
      </c>
      <c r="AH1883" s="29">
        <v>0.12852347811557308</v>
      </c>
      <c r="AI1883" s="29">
        <v>0.10852347811557328</v>
      </c>
      <c r="AJ1883" s="29">
        <v>0.10668746817659391</v>
      </c>
      <c r="AK1883" s="29">
        <v>0.1049971733676287</v>
      </c>
      <c r="AL1883" s="29">
        <v>0.10343607814193856</v>
      </c>
      <c r="AM1883" s="29">
        <v>0.10199007333571974</v>
      </c>
      <c r="AN1883" s="29">
        <v>0.10064703329082869</v>
      </c>
      <c r="AO1883" s="29">
        <v>9.9396479124809867E-2</v>
      </c>
      <c r="AP1883" s="29">
        <v>9.8229308345946897E-2</v>
      </c>
      <c r="AQ1883" s="29">
        <v>9.8229308345946897E-2</v>
      </c>
      <c r="AR1883" s="29">
        <v>9.8229308345946897E-2</v>
      </c>
      <c r="AS1883" s="29">
        <v>9.8229308345946897E-2</v>
      </c>
      <c r="AT1883" s="2"/>
      <c r="AU1883" s="2"/>
    </row>
    <row r="1884" spans="1:47" ht="12.75" hidden="1" customHeight="1" outlineLevel="1">
      <c r="A1884" s="298"/>
      <c r="B1884" s="2" t="s">
        <v>876</v>
      </c>
      <c r="C1884" s="18" t="s">
        <v>732</v>
      </c>
      <c r="D1884" s="18"/>
      <c r="E1884" s="18"/>
      <c r="F1884" s="2"/>
      <c r="G1884" s="18"/>
      <c r="H1884" s="18"/>
      <c r="I1884" s="18"/>
      <c r="J1884" s="18"/>
      <c r="K1884" s="7"/>
      <c r="L1884" s="7"/>
      <c r="M1884" s="7"/>
      <c r="N1884" s="7"/>
      <c r="O1884" s="7"/>
      <c r="P1884" s="7"/>
      <c r="Q1884" s="7"/>
      <c r="R1884" s="7"/>
      <c r="S1884" s="7"/>
      <c r="T1884" s="7"/>
      <c r="U1884" s="31">
        <v>647.82205746061175</v>
      </c>
      <c r="V1884" s="31">
        <v>714.9464999999999</v>
      </c>
      <c r="W1884" s="31">
        <v>741.38099999999997</v>
      </c>
      <c r="X1884" s="31">
        <v>846.26397999999995</v>
      </c>
      <c r="Y1884" s="31">
        <v>1097.0494535999999</v>
      </c>
      <c r="Z1884" s="31">
        <v>1370</v>
      </c>
      <c r="AA1884" s="31">
        <v>1369.9820482404871</v>
      </c>
      <c r="AB1884" s="31">
        <v>1801.2805568241922</v>
      </c>
      <c r="AC1884" s="31">
        <v>1878.9996222585096</v>
      </c>
      <c r="AD1884" s="31">
        <v>1663.5843399358293</v>
      </c>
      <c r="AE1884" s="31">
        <v>1472.366636455874</v>
      </c>
      <c r="AF1884" s="31">
        <v>1338.9696252825559</v>
      </c>
      <c r="AG1884" s="31">
        <v>1201.5912933104371</v>
      </c>
      <c r="AH1884" s="31">
        <v>1065.0558277898949</v>
      </c>
      <c r="AI1884" s="31">
        <v>934.9498327987252</v>
      </c>
      <c r="AJ1884" s="31">
        <v>793.16430350311464</v>
      </c>
      <c r="AK1884" s="31">
        <v>638.73806268487033</v>
      </c>
      <c r="AL1884" s="31">
        <v>470.63458246109388</v>
      </c>
      <c r="AM1884" s="31">
        <v>287.7362513136909</v>
      </c>
      <c r="AN1884" s="31">
        <v>88.838213300532146</v>
      </c>
      <c r="AO1884" s="31">
        <v>-127.35825207068685</v>
      </c>
      <c r="AP1884" s="31">
        <v>-362.25284312737853</v>
      </c>
      <c r="AQ1884" s="31">
        <v>-362.25284312737853</v>
      </c>
      <c r="AR1884" s="31">
        <v>-362.25284312737853</v>
      </c>
      <c r="AS1884" s="31">
        <v>-362.25284312737853</v>
      </c>
      <c r="AT1884" s="2"/>
      <c r="AU1884" s="2"/>
    </row>
    <row r="1885" spans="1:47" ht="12.75" hidden="1" customHeight="1" outlineLevel="1">
      <c r="A1885" s="298"/>
      <c r="B1885" s="241" t="s">
        <v>1099</v>
      </c>
      <c r="C1885" s="18"/>
      <c r="D1885" s="18"/>
      <c r="E1885" s="18"/>
      <c r="F1885" s="2"/>
      <c r="G1885" s="18"/>
      <c r="H1885" s="18"/>
      <c r="I1885" s="18"/>
      <c r="J1885" s="18"/>
      <c r="K1885" s="7"/>
      <c r="L1885" s="7"/>
      <c r="M1885" s="7"/>
      <c r="N1885" s="7"/>
      <c r="O1885" s="7"/>
      <c r="P1885" s="7"/>
      <c r="Q1885" s="7"/>
      <c r="R1885" s="7"/>
      <c r="S1885" s="7"/>
      <c r="T1885" s="7"/>
      <c r="U1885" s="7"/>
      <c r="V1885" s="7">
        <v>0.10361555579399107</v>
      </c>
      <c r="W1885" s="7">
        <v>3.6974095264471041E-2</v>
      </c>
      <c r="X1885" s="7">
        <v>0.14146974362709597</v>
      </c>
      <c r="Y1885" s="7">
        <v>0.29634426080618481</v>
      </c>
      <c r="Z1885" s="7">
        <v>0.24880423166367294</v>
      </c>
      <c r="AA1885" s="7">
        <v>-1.3103474096998191E-5</v>
      </c>
      <c r="AB1885" s="7">
        <v>0.31482055486612825</v>
      </c>
      <c r="AC1885" s="7">
        <v>4.3146563226853729E-2</v>
      </c>
      <c r="AD1885" s="7">
        <v>-0.11464360065371193</v>
      </c>
      <c r="AE1885" s="7">
        <v>-0.11494319758223459</v>
      </c>
      <c r="AF1885" s="7">
        <v>-9.0600403371280835E-2</v>
      </c>
      <c r="AG1885" s="7">
        <v>-0.1026000361607371</v>
      </c>
      <c r="AH1885" s="7">
        <v>-0.11362887387805631</v>
      </c>
      <c r="AI1885" s="7">
        <v>-0.12215884988973169</v>
      </c>
      <c r="AJ1885" s="7">
        <v>-0.15165041408818991</v>
      </c>
      <c r="AK1885" s="7">
        <v>-0.19469640796515986</v>
      </c>
      <c r="AL1885" s="7">
        <v>-0.26318062136014031</v>
      </c>
      <c r="AM1885" s="7">
        <v>-0.3886206793197623</v>
      </c>
      <c r="AN1885" s="7">
        <v>-0.69125123131016097</v>
      </c>
      <c r="AO1885" s="7">
        <v>-2.4335976303332965</v>
      </c>
      <c r="AP1885" s="7">
        <v>1.8443609835844765</v>
      </c>
      <c r="AQ1885" s="7">
        <v>1.8443609835844765</v>
      </c>
      <c r="AR1885" s="7">
        <v>1.8443609835844765</v>
      </c>
      <c r="AS1885" s="7">
        <v>1.8443609835844765</v>
      </c>
      <c r="AT1885" s="2"/>
      <c r="AU1885" s="2"/>
    </row>
    <row r="1886" spans="1:47" ht="12.75" hidden="1" customHeight="1" outlineLevel="1">
      <c r="A1886" s="298"/>
      <c r="B1886" s="2"/>
      <c r="C1886" s="18"/>
      <c r="D1886" s="18"/>
      <c r="E1886" s="18"/>
      <c r="F1886" s="2"/>
      <c r="G1886" s="18"/>
      <c r="H1886" s="18"/>
      <c r="I1886" s="18"/>
      <c r="J1886" s="18"/>
      <c r="K1886" s="7"/>
      <c r="L1886" s="7"/>
      <c r="M1886" s="7"/>
      <c r="N1886" s="7"/>
      <c r="O1886" s="7"/>
      <c r="P1886" s="7"/>
      <c r="Q1886" s="7"/>
      <c r="R1886" s="7"/>
      <c r="S1886" s="7"/>
      <c r="T1886" s="7"/>
      <c r="U1886" s="7"/>
      <c r="V1886" s="7"/>
      <c r="W1886" s="7"/>
      <c r="X1886" s="7"/>
      <c r="Y1886" s="7"/>
      <c r="Z1886" s="7"/>
      <c r="AA1886" s="7"/>
      <c r="AB1886" s="7"/>
      <c r="AC1886" s="7"/>
      <c r="AD1886" s="7"/>
      <c r="AE1886" s="7"/>
      <c r="AF1886" s="7"/>
      <c r="AG1886" s="7"/>
      <c r="AH1886" s="7"/>
      <c r="AI1886" s="7"/>
      <c r="AJ1886" s="7"/>
      <c r="AK1886" s="7"/>
      <c r="AL1886" s="7"/>
      <c r="AM1886" s="7"/>
      <c r="AN1886" s="7"/>
      <c r="AO1886" s="7"/>
      <c r="AP1886" s="7"/>
      <c r="AQ1886" s="7"/>
      <c r="AR1886" s="7"/>
      <c r="AS1886" s="7"/>
      <c r="AT1886" s="2"/>
      <c r="AU1886" s="2"/>
    </row>
    <row r="1887" spans="1:47" ht="12.75" hidden="1" customHeight="1" outlineLevel="1">
      <c r="A1887" s="298"/>
      <c r="B1887" s="6" t="s">
        <v>882</v>
      </c>
      <c r="C1887" s="18"/>
      <c r="D1887" s="18"/>
      <c r="E1887" s="18"/>
      <c r="F1887" s="2"/>
      <c r="G1887" s="18"/>
      <c r="H1887" s="18"/>
      <c r="I1887" s="18"/>
      <c r="J1887" s="18"/>
      <c r="K1887" s="7"/>
      <c r="L1887" s="7"/>
      <c r="M1887" s="7"/>
      <c r="N1887" s="7"/>
      <c r="O1887" s="7"/>
      <c r="P1887" s="7"/>
      <c r="Q1887" s="7"/>
      <c r="R1887" s="7"/>
      <c r="S1887" s="7"/>
      <c r="T1887" s="7"/>
      <c r="U1887" s="7"/>
      <c r="V1887" s="7"/>
      <c r="W1887" s="7"/>
      <c r="X1887" s="7"/>
      <c r="Y1887" s="7"/>
      <c r="Z1887" s="7"/>
      <c r="AA1887" s="7"/>
      <c r="AB1887" s="7"/>
      <c r="AC1887" s="7"/>
      <c r="AD1887" s="7"/>
      <c r="AE1887" s="7"/>
      <c r="AF1887" s="7"/>
      <c r="AG1887" s="7"/>
      <c r="AH1887" s="7"/>
      <c r="AI1887" s="7"/>
      <c r="AJ1887" s="7"/>
      <c r="AK1887" s="7"/>
      <c r="AL1887" s="7"/>
      <c r="AM1887" s="7"/>
      <c r="AN1887" s="7"/>
      <c r="AO1887" s="7"/>
      <c r="AP1887" s="7"/>
      <c r="AQ1887" s="7"/>
      <c r="AR1887" s="7"/>
      <c r="AS1887" s="7"/>
      <c r="AT1887" s="2"/>
      <c r="AU1887" s="2"/>
    </row>
    <row r="1888" spans="1:47" ht="12.75" hidden="1" customHeight="1" outlineLevel="1">
      <c r="A1888" s="298"/>
      <c r="B1888" s="2" t="s">
        <v>874</v>
      </c>
      <c r="C1888" s="18"/>
      <c r="D1888" s="18"/>
      <c r="E1888" s="18"/>
      <c r="F1888" s="2"/>
      <c r="G1888" s="18"/>
      <c r="H1888" s="18"/>
      <c r="I1888" s="18"/>
      <c r="J1888" s="18"/>
      <c r="K1888" s="7"/>
      <c r="L1888" s="7"/>
      <c r="M1888" s="7"/>
      <c r="N1888" s="7"/>
      <c r="O1888" s="7"/>
      <c r="P1888" s="7"/>
      <c r="Q1888" s="7"/>
      <c r="R1888" s="7"/>
      <c r="S1888" s="7"/>
      <c r="T1888" s="7"/>
      <c r="U1888" s="530">
        <v>0.27</v>
      </c>
      <c r="V1888" s="530">
        <v>0.26700000000000002</v>
      </c>
      <c r="W1888" s="530">
        <v>0.27500000000000002</v>
      </c>
      <c r="X1888" s="2">
        <v>0.27500000000000002</v>
      </c>
      <c r="Y1888" s="530">
        <v>0.26</v>
      </c>
      <c r="Z1888" s="2">
        <v>0.31513647642679898</v>
      </c>
      <c r="AA1888" s="530">
        <v>0.33</v>
      </c>
      <c r="AB1888" s="2">
        <v>0.33</v>
      </c>
      <c r="AC1888" s="2">
        <v>0.33</v>
      </c>
      <c r="AD1888" s="2">
        <v>0.33</v>
      </c>
      <c r="AE1888" s="2">
        <v>0.33</v>
      </c>
      <c r="AF1888" s="2">
        <v>0.33</v>
      </c>
      <c r="AG1888" s="2">
        <v>0.33</v>
      </c>
      <c r="AH1888" s="2">
        <v>0.33</v>
      </c>
      <c r="AI1888" s="2">
        <v>0.33</v>
      </c>
      <c r="AJ1888" s="2">
        <v>0.33</v>
      </c>
      <c r="AK1888" s="2">
        <v>0.33</v>
      </c>
      <c r="AL1888" s="2">
        <v>0.33</v>
      </c>
      <c r="AM1888" s="2">
        <v>0.33</v>
      </c>
      <c r="AN1888" s="2">
        <v>0.33</v>
      </c>
      <c r="AO1888" s="2">
        <v>0.33</v>
      </c>
      <c r="AP1888" s="2">
        <v>0.33</v>
      </c>
      <c r="AQ1888" s="2">
        <v>0.33</v>
      </c>
      <c r="AR1888" s="2">
        <v>0.33</v>
      </c>
      <c r="AS1888" s="2">
        <v>0.33</v>
      </c>
      <c r="AT1888" s="2"/>
      <c r="AU1888" s="2"/>
    </row>
    <row r="1889" spans="1:47" ht="12.75" hidden="1" customHeight="1" outlineLevel="1">
      <c r="A1889" s="298"/>
      <c r="B1889" s="2" t="s">
        <v>875</v>
      </c>
      <c r="C1889" s="18"/>
      <c r="D1889" s="18"/>
      <c r="E1889" s="18"/>
      <c r="F1889" s="2"/>
      <c r="G1889" s="18"/>
      <c r="H1889" s="18"/>
      <c r="I1889" s="18"/>
      <c r="J1889" s="18"/>
      <c r="K1889" s="7"/>
      <c r="L1889" s="7"/>
      <c r="M1889" s="7"/>
      <c r="N1889" s="7"/>
      <c r="O1889" s="7"/>
      <c r="P1889" s="7"/>
      <c r="Q1889" s="7"/>
      <c r="R1889" s="7"/>
      <c r="S1889" s="7"/>
      <c r="T1889" s="7"/>
      <c r="U1889" s="530">
        <v>0.1</v>
      </c>
      <c r="V1889" s="709">
        <v>0.1075</v>
      </c>
      <c r="W1889" s="709">
        <v>0.13800000000000001</v>
      </c>
      <c r="X1889" s="2">
        <v>0.15589174176193679</v>
      </c>
      <c r="Y1889" s="2">
        <v>0.1613874189873418</v>
      </c>
      <c r="Z1889" s="2">
        <v>0.11827956989247312</v>
      </c>
      <c r="AA1889" s="2">
        <v>0.13920494062747496</v>
      </c>
      <c r="AB1889" s="2">
        <v>0.13358530172001412</v>
      </c>
      <c r="AC1889" s="2">
        <v>0.15194110221711882</v>
      </c>
      <c r="AD1889" s="2">
        <v>0.19154606271618368</v>
      </c>
      <c r="AE1889" s="2">
        <v>0.23425965183312403</v>
      </c>
      <c r="AF1889" s="2">
        <v>0.27373790314218527</v>
      </c>
      <c r="AG1889" s="2">
        <v>0.31439440860892659</v>
      </c>
      <c r="AH1889" s="2">
        <v>0.3548014715034345</v>
      </c>
      <c r="AI1889" s="2">
        <v>0.39330576123151068</v>
      </c>
      <c r="AJ1889" s="2">
        <v>0.43526655711656853</v>
      </c>
      <c r="AK1889" s="2">
        <v>0.48096831527526773</v>
      </c>
      <c r="AL1889" s="2">
        <v>0.5307177915178769</v>
      </c>
      <c r="AM1889" s="2">
        <v>0.58484573799535633</v>
      </c>
      <c r="AN1889" s="2">
        <v>0.64370872645737431</v>
      </c>
      <c r="AO1889" s="2">
        <v>0.70769110744915265</v>
      </c>
      <c r="AP1889" s="2">
        <v>0.77720711545646004</v>
      </c>
      <c r="AQ1889" s="2">
        <v>0.77720711545646004</v>
      </c>
      <c r="AR1889" s="2">
        <v>0.77720711545646004</v>
      </c>
      <c r="AS1889" s="2">
        <v>0.77720711545646004</v>
      </c>
      <c r="AT1889" s="2"/>
      <c r="AU1889" s="2"/>
    </row>
    <row r="1890" spans="1:47" ht="12.75" hidden="1" customHeight="1" outlineLevel="1">
      <c r="A1890" s="298"/>
      <c r="B1890" s="2" t="s">
        <v>876</v>
      </c>
      <c r="C1890" s="18"/>
      <c r="D1890" s="18"/>
      <c r="E1890" s="18"/>
      <c r="F1890" s="2"/>
      <c r="G1890" s="18"/>
      <c r="H1890" s="18"/>
      <c r="I1890" s="18"/>
      <c r="J1890" s="18"/>
      <c r="K1890" s="7"/>
      <c r="L1890" s="7"/>
      <c r="M1890" s="7"/>
      <c r="N1890" s="7"/>
      <c r="O1890" s="7"/>
      <c r="P1890" s="7"/>
      <c r="Q1890" s="7"/>
      <c r="R1890" s="7"/>
      <c r="S1890" s="7"/>
      <c r="T1890" s="7"/>
      <c r="U1890" s="5">
        <v>0.62712687072663287</v>
      </c>
      <c r="V1890" s="5">
        <v>0.62549999999999994</v>
      </c>
      <c r="W1890" s="5">
        <v>0.58699999999999997</v>
      </c>
      <c r="X1890" s="5">
        <v>0.56910825823806321</v>
      </c>
      <c r="Y1890" s="5">
        <v>0.57861258101265822</v>
      </c>
      <c r="Z1890" s="2">
        <v>0.56658395368072789</v>
      </c>
      <c r="AA1890" s="5">
        <v>0.53079505937252502</v>
      </c>
      <c r="AB1890" s="5">
        <v>0.53641469827998578</v>
      </c>
      <c r="AC1890" s="5">
        <v>0.51805889778288106</v>
      </c>
      <c r="AD1890" s="5">
        <v>0.4784539372838163</v>
      </c>
      <c r="AE1890" s="5">
        <v>0.43574034816687596</v>
      </c>
      <c r="AF1890" s="5">
        <v>0.39626209685781472</v>
      </c>
      <c r="AG1890" s="5">
        <v>0.35560559139107345</v>
      </c>
      <c r="AH1890" s="5">
        <v>0.31519852849656554</v>
      </c>
      <c r="AI1890" s="5">
        <v>0.27669423876848925</v>
      </c>
      <c r="AJ1890" s="5">
        <v>0.2347334428834314</v>
      </c>
      <c r="AK1890" s="5">
        <v>0.18903168472473225</v>
      </c>
      <c r="AL1890" s="5">
        <v>0.13928220848212308</v>
      </c>
      <c r="AM1890" s="5">
        <v>8.5154262004643655E-2</v>
      </c>
      <c r="AN1890" s="5">
        <v>2.6291273542625671E-2</v>
      </c>
      <c r="AO1890" s="5">
        <v>-3.7691107449152661E-2</v>
      </c>
      <c r="AP1890" s="5">
        <v>-0.10720711545646006</v>
      </c>
      <c r="AQ1890" s="5">
        <v>-0.10720711545646006</v>
      </c>
      <c r="AR1890" s="5">
        <v>-0.10720711545646006</v>
      </c>
      <c r="AS1890" s="5">
        <v>-0.10720711545646006</v>
      </c>
      <c r="AT1890" s="2"/>
      <c r="AU1890" s="2"/>
    </row>
    <row r="1891" spans="1:47" ht="12.75" hidden="1" customHeight="1" outlineLevel="1">
      <c r="A1891" s="298"/>
      <c r="B1891" s="2" t="s">
        <v>230</v>
      </c>
      <c r="C1891" s="18"/>
      <c r="D1891" s="18"/>
      <c r="E1891" s="18"/>
      <c r="F1891" s="2"/>
      <c r="G1891" s="18"/>
      <c r="H1891" s="18"/>
      <c r="I1891" s="18"/>
      <c r="J1891" s="18"/>
      <c r="K1891" s="7"/>
      <c r="L1891" s="7"/>
      <c r="M1891" s="7"/>
      <c r="N1891" s="7"/>
      <c r="O1891" s="7"/>
      <c r="P1891" s="7"/>
      <c r="Q1891" s="7"/>
      <c r="R1891" s="7"/>
      <c r="S1891" s="7"/>
      <c r="T1891" s="7"/>
      <c r="U1891" s="5">
        <v>0.99712687072663286</v>
      </c>
      <c r="V1891" s="5">
        <v>1</v>
      </c>
      <c r="W1891" s="5">
        <v>1</v>
      </c>
      <c r="X1891" s="709">
        <v>1</v>
      </c>
      <c r="Y1891" s="709">
        <v>1</v>
      </c>
      <c r="Z1891" s="709">
        <v>1</v>
      </c>
      <c r="AA1891" s="709">
        <v>1</v>
      </c>
      <c r="AB1891" s="709">
        <v>1</v>
      </c>
      <c r="AC1891" s="709">
        <v>1</v>
      </c>
      <c r="AD1891" s="709">
        <v>1</v>
      </c>
      <c r="AE1891" s="709">
        <v>1</v>
      </c>
      <c r="AF1891" s="709">
        <v>1</v>
      </c>
      <c r="AG1891" s="709">
        <v>1</v>
      </c>
      <c r="AH1891" s="709">
        <v>1</v>
      </c>
      <c r="AI1891" s="709">
        <v>1</v>
      </c>
      <c r="AJ1891" s="709">
        <v>1</v>
      </c>
      <c r="AK1891" s="709">
        <v>1</v>
      </c>
      <c r="AL1891" s="709">
        <v>1</v>
      </c>
      <c r="AM1891" s="709">
        <v>1</v>
      </c>
      <c r="AN1891" s="709">
        <v>1</v>
      </c>
      <c r="AO1891" s="709">
        <v>1</v>
      </c>
      <c r="AP1891" s="709">
        <v>1</v>
      </c>
      <c r="AQ1891" s="709">
        <v>1</v>
      </c>
      <c r="AR1891" s="709">
        <v>1</v>
      </c>
      <c r="AS1891" s="709">
        <v>1</v>
      </c>
      <c r="AT1891" s="2"/>
      <c r="AU1891" s="2"/>
    </row>
    <row r="1892" spans="1:47" ht="12.75" hidden="1" customHeight="1" outlineLevel="1">
      <c r="A1892" s="298"/>
      <c r="B1892" s="55"/>
      <c r="C1892" s="18"/>
      <c r="D1892" s="18"/>
      <c r="E1892" s="18"/>
      <c r="F1892" s="2"/>
      <c r="G1892" s="18"/>
      <c r="H1892" s="18"/>
      <c r="I1892" s="18"/>
      <c r="J1892" s="18"/>
      <c r="K1892" s="7"/>
      <c r="L1892" s="7"/>
      <c r="M1892" s="7"/>
      <c r="N1892" s="7"/>
      <c r="O1892" s="7"/>
      <c r="P1892" s="7"/>
      <c r="Q1892" s="7"/>
      <c r="R1892" s="7"/>
      <c r="S1892" s="7"/>
      <c r="T1892" s="7"/>
      <c r="U1892" s="7"/>
      <c r="V1892" s="7"/>
      <c r="W1892" s="7"/>
      <c r="X1892" s="7"/>
      <c r="Y1892" s="7"/>
      <c r="Z1892" s="7"/>
      <c r="AA1892" s="7"/>
      <c r="AB1892" s="7"/>
      <c r="AC1892" s="7"/>
      <c r="AD1892" s="7"/>
      <c r="AE1892" s="7"/>
      <c r="AF1892" s="7"/>
      <c r="AG1892" s="7"/>
      <c r="AH1892" s="7"/>
      <c r="AI1892" s="7"/>
      <c r="AJ1892" s="7"/>
      <c r="AK1892" s="7"/>
      <c r="AL1892" s="7"/>
      <c r="AM1892" s="7"/>
      <c r="AN1892" s="7"/>
      <c r="AO1892" s="7"/>
      <c r="AP1892" s="7"/>
      <c r="AQ1892" s="7"/>
      <c r="AR1892" s="7"/>
      <c r="AS1892" s="7"/>
      <c r="AT1892" s="2"/>
      <c r="AU1892" s="2"/>
    </row>
    <row r="1893" spans="1:47" ht="12.75" hidden="1" customHeight="1" outlineLevel="1">
      <c r="A1893" s="298"/>
      <c r="B1893" s="6" t="s">
        <v>869</v>
      </c>
      <c r="C1893" s="18"/>
      <c r="D1893" s="18"/>
      <c r="E1893" s="18"/>
      <c r="F1893" s="2"/>
      <c r="G1893" s="18"/>
      <c r="H1893" s="18"/>
      <c r="I1893" s="18"/>
      <c r="J1893" s="18"/>
      <c r="K1893" s="7"/>
      <c r="L1893" s="7"/>
      <c r="M1893" s="7"/>
      <c r="N1893" s="7"/>
      <c r="O1893" s="7"/>
      <c r="P1893" s="7"/>
      <c r="Q1893" s="7"/>
      <c r="R1893" s="7"/>
      <c r="S1893" s="7"/>
      <c r="T1893" s="7"/>
      <c r="U1893" s="7"/>
      <c r="V1893" s="7"/>
      <c r="W1893" s="7"/>
      <c r="X1893" s="7"/>
      <c r="Y1893" s="7"/>
      <c r="Z1893" s="7"/>
      <c r="AA1893" s="7"/>
      <c r="AB1893" s="7"/>
      <c r="AC1893" s="7"/>
      <c r="AD1893" s="7"/>
      <c r="AE1893" s="7"/>
      <c r="AF1893" s="7"/>
      <c r="AG1893" s="7"/>
      <c r="AH1893" s="7"/>
      <c r="AI1893" s="7"/>
      <c r="AJ1893" s="7"/>
      <c r="AK1893" s="7"/>
      <c r="AL1893" s="7"/>
      <c r="AM1893" s="7"/>
      <c r="AN1893" s="7"/>
      <c r="AO1893" s="7"/>
      <c r="AP1893" s="7"/>
      <c r="AQ1893" s="7"/>
      <c r="AR1893" s="7"/>
      <c r="AS1893" s="7"/>
      <c r="AT1893" s="2"/>
      <c r="AU1893" s="2"/>
    </row>
    <row r="1894" spans="1:47" ht="12.75" hidden="1" customHeight="1" outlineLevel="1">
      <c r="A1894" s="298"/>
      <c r="B1894" s="2" t="s">
        <v>866</v>
      </c>
      <c r="C1894" s="18" t="s">
        <v>732</v>
      </c>
      <c r="D1894" s="18"/>
      <c r="E1894" s="18"/>
      <c r="F1894" s="2"/>
      <c r="G1894" s="18"/>
      <c r="H1894" s="18"/>
      <c r="I1894" s="18"/>
      <c r="J1894" s="18"/>
      <c r="K1894" s="7"/>
      <c r="L1894" s="7"/>
      <c r="M1894" s="7"/>
      <c r="N1894" s="7"/>
      <c r="O1894" s="7"/>
      <c r="P1894" s="7"/>
      <c r="Q1894" s="7"/>
      <c r="R1894" s="7"/>
      <c r="S1894" s="7"/>
      <c r="T1894" s="7"/>
      <c r="U1894" s="31">
        <v>96.45080200000001</v>
      </c>
      <c r="V1894" s="31">
        <v>113.25439919999999</v>
      </c>
      <c r="W1894" s="31">
        <v>162.25015200000001</v>
      </c>
      <c r="X1894" s="31">
        <v>213.03165000600001</v>
      </c>
      <c r="Y1894" s="31">
        <v>279.96233958831601</v>
      </c>
      <c r="Z1894" s="536">
        <v>251</v>
      </c>
      <c r="AA1894" s="31">
        <v>314.06577090574046</v>
      </c>
      <c r="AB1894" s="31">
        <v>392.07432819901874</v>
      </c>
      <c r="AC1894" s="31">
        <v>481.92811700990063</v>
      </c>
      <c r="AD1894" s="31">
        <v>582.67378116519694</v>
      </c>
      <c r="AE1894" s="31">
        <v>692.39842765434742</v>
      </c>
      <c r="AF1894" s="31">
        <v>808.13416374569579</v>
      </c>
      <c r="AG1894" s="31">
        <v>925.84321001602575</v>
      </c>
      <c r="AH1894" s="31">
        <v>1040.5052721946336</v>
      </c>
      <c r="AI1894" s="31">
        <v>1146.3199143680451</v>
      </c>
      <c r="AJ1894" s="31">
        <v>1261.1630563707545</v>
      </c>
      <c r="AK1894" s="31">
        <v>1385.7418812350379</v>
      </c>
      <c r="AL1894" s="31">
        <v>1520.8162193482667</v>
      </c>
      <c r="AM1894" s="31">
        <v>1667.2023379381239</v>
      </c>
      <c r="AN1894" s="31">
        <v>1825.7769968486446</v>
      </c>
      <c r="AO1894" s="31">
        <v>1997.4817889862322</v>
      </c>
      <c r="AP1894" s="31">
        <v>2183.3277850657551</v>
      </c>
      <c r="AQ1894" s="31">
        <v>2183.3277850657551</v>
      </c>
      <c r="AR1894" s="31">
        <v>2183.3277850657551</v>
      </c>
      <c r="AS1894" s="31">
        <v>2183.3277850657551</v>
      </c>
      <c r="AT1894" s="2"/>
      <c r="AU1894" s="2"/>
    </row>
    <row r="1895" spans="1:47" ht="12.75" hidden="1" customHeight="1" outlineLevel="1">
      <c r="A1895" s="298"/>
      <c r="B1895" s="241" t="s">
        <v>1099</v>
      </c>
      <c r="C1895" s="18" t="s">
        <v>733</v>
      </c>
      <c r="D1895" s="18"/>
      <c r="E1895" s="18"/>
      <c r="F1895" s="2"/>
      <c r="G1895" s="18"/>
      <c r="H1895" s="18"/>
      <c r="I1895" s="18"/>
      <c r="J1895" s="18"/>
      <c r="K1895" s="7"/>
      <c r="L1895" s="7"/>
      <c r="M1895" s="7"/>
      <c r="N1895" s="7"/>
      <c r="O1895" s="7"/>
      <c r="P1895" s="7"/>
      <c r="Q1895" s="7"/>
      <c r="R1895" s="7"/>
      <c r="S1895" s="7"/>
      <c r="T1895" s="7"/>
      <c r="U1895" s="7"/>
      <c r="V1895" s="7"/>
      <c r="W1895" s="7"/>
      <c r="X1895" s="7"/>
      <c r="Y1895" s="7"/>
      <c r="Z1895" s="7"/>
      <c r="AA1895" s="7"/>
      <c r="AB1895" s="7"/>
      <c r="AC1895" s="7"/>
      <c r="AD1895" s="7"/>
      <c r="AE1895" s="7"/>
      <c r="AF1895" s="7"/>
      <c r="AG1895" s="7"/>
      <c r="AH1895" s="7"/>
      <c r="AI1895" s="7"/>
      <c r="AJ1895" s="7"/>
      <c r="AK1895" s="7"/>
      <c r="AL1895" s="7"/>
      <c r="AM1895" s="7"/>
      <c r="AN1895" s="7"/>
      <c r="AO1895" s="7"/>
      <c r="AP1895" s="7"/>
      <c r="AQ1895" s="7"/>
      <c r="AR1895" s="7"/>
      <c r="AS1895" s="7"/>
      <c r="AT1895" s="2"/>
      <c r="AU1895" s="2"/>
    </row>
    <row r="1896" spans="1:47" ht="12.75" hidden="1" customHeight="1" outlineLevel="1">
      <c r="A1896" s="298"/>
      <c r="B1896" s="2" t="s">
        <v>867</v>
      </c>
      <c r="C1896" s="18" t="s">
        <v>846</v>
      </c>
      <c r="D1896" s="18"/>
      <c r="E1896" s="18"/>
      <c r="F1896" s="2"/>
      <c r="G1896" s="18"/>
      <c r="H1896" s="18"/>
      <c r="I1896" s="18"/>
      <c r="J1896" s="18"/>
      <c r="K1896" s="7"/>
      <c r="L1896" s="7"/>
      <c r="M1896" s="7"/>
      <c r="N1896" s="7"/>
      <c r="O1896" s="7"/>
      <c r="P1896" s="7"/>
      <c r="Q1896" s="7"/>
      <c r="R1896" s="7"/>
      <c r="S1896" s="7"/>
      <c r="T1896" s="536">
        <v>118.631</v>
      </c>
      <c r="U1896" s="536">
        <v>123.087</v>
      </c>
      <c r="V1896" s="536">
        <v>120.879</v>
      </c>
      <c r="W1896" s="536">
        <v>125.104</v>
      </c>
      <c r="X1896" s="31">
        <v>123.85296</v>
      </c>
      <c r="Y1896" s="31">
        <v>122.61443039999999</v>
      </c>
      <c r="Z1896" s="31">
        <v>126.29286331199999</v>
      </c>
      <c r="AA1896" s="31">
        <v>128.81872057824</v>
      </c>
      <c r="AB1896" s="31">
        <v>131.39509498980482</v>
      </c>
      <c r="AC1896" s="31">
        <v>134.0229968896009</v>
      </c>
      <c r="AD1896" s="31">
        <v>136.70345682739293</v>
      </c>
      <c r="AE1896" s="31">
        <v>139.4375259639408</v>
      </c>
      <c r="AF1896" s="31">
        <v>142.22627648321961</v>
      </c>
      <c r="AG1896" s="31">
        <v>145.070802012884</v>
      </c>
      <c r="AH1896" s="31">
        <v>147.97221805314169</v>
      </c>
      <c r="AI1896" s="31">
        <v>150.93166241420454</v>
      </c>
      <c r="AJ1896" s="31">
        <v>153.95029566248863</v>
      </c>
      <c r="AK1896" s="31">
        <v>157.0293015757384</v>
      </c>
      <c r="AL1896" s="31">
        <v>160.16988760725317</v>
      </c>
      <c r="AM1896" s="31">
        <v>163.37328535939824</v>
      </c>
      <c r="AN1896" s="31">
        <v>166.6407510665862</v>
      </c>
      <c r="AO1896" s="31">
        <v>169.97356608791793</v>
      </c>
      <c r="AP1896" s="31">
        <v>173.3730374096763</v>
      </c>
      <c r="AQ1896" s="31">
        <v>173.3730374096763</v>
      </c>
      <c r="AR1896" s="31">
        <v>173.3730374096763</v>
      </c>
      <c r="AS1896" s="31">
        <v>173.3730374096763</v>
      </c>
      <c r="AT1896" s="2"/>
      <c r="AU1896" s="2"/>
    </row>
    <row r="1897" spans="1:47" ht="12.75" hidden="1" customHeight="1" outlineLevel="1">
      <c r="A1897" s="298"/>
      <c r="B1897" s="241" t="s">
        <v>1099</v>
      </c>
      <c r="C1897" s="18" t="s">
        <v>733</v>
      </c>
      <c r="D1897" s="18"/>
      <c r="E1897" s="18"/>
      <c r="F1897" s="2"/>
      <c r="G1897" s="18"/>
      <c r="H1897" s="18"/>
      <c r="I1897" s="18"/>
      <c r="J1897" s="18"/>
      <c r="K1897" s="7"/>
      <c r="L1897" s="7"/>
      <c r="M1897" s="7"/>
      <c r="N1897" s="7"/>
      <c r="O1897" s="7"/>
      <c r="P1897" s="7"/>
      <c r="Q1897" s="7"/>
      <c r="R1897" s="7"/>
      <c r="S1897" s="7"/>
      <c r="T1897" s="7"/>
      <c r="U1897" s="7">
        <v>3.756185145535329E-2</v>
      </c>
      <c r="V1897" s="7">
        <v>-1.7938531282751247E-2</v>
      </c>
      <c r="W1897" s="7">
        <v>3.4952307679580352E-2</v>
      </c>
      <c r="X1897" s="532">
        <v>-0.01</v>
      </c>
      <c r="Y1897" s="532">
        <v>-0.01</v>
      </c>
      <c r="Z1897" s="556">
        <v>0.03</v>
      </c>
      <c r="AA1897" s="594">
        <v>0.02</v>
      </c>
      <c r="AB1897" s="219">
        <v>0.02</v>
      </c>
      <c r="AC1897" s="219">
        <v>0.02</v>
      </c>
      <c r="AD1897" s="219">
        <v>0.02</v>
      </c>
      <c r="AE1897" s="219">
        <v>0.02</v>
      </c>
      <c r="AF1897" s="219">
        <v>0.02</v>
      </c>
      <c r="AG1897" s="219">
        <v>0.02</v>
      </c>
      <c r="AH1897" s="219">
        <v>0.02</v>
      </c>
      <c r="AI1897" s="219">
        <v>0.02</v>
      </c>
      <c r="AJ1897" s="219">
        <v>0.02</v>
      </c>
      <c r="AK1897" s="219">
        <v>0.02</v>
      </c>
      <c r="AL1897" s="219">
        <v>0.02</v>
      </c>
      <c r="AM1897" s="219">
        <v>0.02</v>
      </c>
      <c r="AN1897" s="219">
        <v>0.02</v>
      </c>
      <c r="AO1897" s="220">
        <v>0.02</v>
      </c>
      <c r="AP1897" s="220">
        <v>0.02</v>
      </c>
      <c r="AQ1897" s="220">
        <v>0.02</v>
      </c>
      <c r="AR1897" s="220">
        <v>0.02</v>
      </c>
      <c r="AS1897" s="220">
        <v>0.02</v>
      </c>
      <c r="AT1897" s="2"/>
      <c r="AU1897" s="2"/>
    </row>
    <row r="1898" spans="1:47" ht="12.75" hidden="1" customHeight="1" outlineLevel="1">
      <c r="A1898" s="298"/>
      <c r="B1898" s="2" t="s">
        <v>863</v>
      </c>
      <c r="C1898" s="18" t="s">
        <v>733</v>
      </c>
      <c r="D1898" s="18"/>
      <c r="E1898" s="18"/>
      <c r="F1898" s="2"/>
      <c r="G1898" s="18"/>
      <c r="H1898" s="18"/>
      <c r="I1898" s="18"/>
      <c r="J1898" s="18"/>
      <c r="K1898" s="7"/>
      <c r="L1898" s="7"/>
      <c r="M1898" s="7"/>
      <c r="N1898" s="7"/>
      <c r="O1898" s="7"/>
      <c r="P1898" s="7"/>
      <c r="Q1898" s="7"/>
      <c r="R1898" s="7"/>
      <c r="S1898" s="7"/>
      <c r="T1898" s="7"/>
      <c r="U1898" s="558">
        <v>0.13</v>
      </c>
      <c r="V1898" s="558">
        <v>0.14000000000000001</v>
      </c>
      <c r="W1898" s="558">
        <v>0.15</v>
      </c>
      <c r="X1898" s="558">
        <v>0.16</v>
      </c>
      <c r="Y1898" s="558">
        <v>0.17</v>
      </c>
      <c r="Z1898" s="29">
        <v>0.18000000000000002</v>
      </c>
      <c r="AA1898" s="29">
        <v>0.19000000000000003</v>
      </c>
      <c r="AB1898" s="29">
        <v>0.20000000000000004</v>
      </c>
      <c r="AC1898" s="29">
        <v>0.21000000000000005</v>
      </c>
      <c r="AD1898" s="29">
        <v>0.22000000000000006</v>
      </c>
      <c r="AE1898" s="29">
        <v>0.23000000000000007</v>
      </c>
      <c r="AF1898" s="29">
        <v>0.24000000000000007</v>
      </c>
      <c r="AG1898" s="29">
        <v>0.25000000000000006</v>
      </c>
      <c r="AH1898" s="29">
        <v>0.26000000000000006</v>
      </c>
      <c r="AI1898" s="29">
        <v>0.27000000000000007</v>
      </c>
      <c r="AJ1898" s="29">
        <v>0.28000000000000008</v>
      </c>
      <c r="AK1898" s="29">
        <v>0.29000000000000009</v>
      </c>
      <c r="AL1898" s="29">
        <v>0.3000000000000001</v>
      </c>
      <c r="AM1898" s="29">
        <v>0.31000000000000011</v>
      </c>
      <c r="AN1898" s="29">
        <v>0.32000000000000012</v>
      </c>
      <c r="AO1898" s="29">
        <v>0.33000000000000013</v>
      </c>
      <c r="AP1898" s="29">
        <v>0.34000000000000014</v>
      </c>
      <c r="AQ1898" s="29">
        <v>0.34000000000000014</v>
      </c>
      <c r="AR1898" s="29">
        <v>0.34000000000000014</v>
      </c>
      <c r="AS1898" s="29">
        <v>0.34000000000000014</v>
      </c>
      <c r="AT1898" s="2"/>
      <c r="AU1898" s="2"/>
    </row>
    <row r="1899" spans="1:47" ht="12.75" hidden="1" customHeight="1" outlineLevel="1">
      <c r="A1899" s="298"/>
      <c r="B1899" s="2" t="s">
        <v>868</v>
      </c>
      <c r="C1899" s="18" t="s">
        <v>772</v>
      </c>
      <c r="D1899" s="18"/>
      <c r="E1899" s="18"/>
      <c r="F1899" s="2"/>
      <c r="G1899" s="18"/>
      <c r="H1899" s="18"/>
      <c r="I1899" s="18"/>
      <c r="J1899" s="18"/>
      <c r="K1899" s="7"/>
      <c r="L1899" s="7"/>
      <c r="M1899" s="7"/>
      <c r="N1899" s="7"/>
      <c r="O1899" s="7"/>
      <c r="P1899" s="7"/>
      <c r="Q1899" s="7"/>
      <c r="R1899" s="7"/>
      <c r="S1899" s="7"/>
      <c r="T1899" s="7"/>
      <c r="U1899" s="31">
        <v>502.30680071402503</v>
      </c>
      <c r="V1899" s="31">
        <v>557.69267496540215</v>
      </c>
      <c r="W1899" s="31">
        <v>720.51232041608057</v>
      </c>
      <c r="X1899" s="31">
        <v>895.85250427704761</v>
      </c>
      <c r="Y1899" s="31">
        <v>1119.2519553119803</v>
      </c>
      <c r="Z1899" s="31">
        <v>920.11298703893067</v>
      </c>
      <c r="AA1899" s="31">
        <v>1069.3177553369135</v>
      </c>
      <c r="AB1899" s="31">
        <v>1243.3059501112541</v>
      </c>
      <c r="AC1899" s="31">
        <v>1426.9291144959379</v>
      </c>
      <c r="AD1899" s="31">
        <v>1614.5148829085883</v>
      </c>
      <c r="AE1899" s="31">
        <v>1799.1497897905424</v>
      </c>
      <c r="AF1899" s="31">
        <v>1972.9275569032006</v>
      </c>
      <c r="AG1899" s="31">
        <v>2127.3364388739406</v>
      </c>
      <c r="AH1899" s="31">
        <v>2253.7695517262086</v>
      </c>
      <c r="AI1899" s="31">
        <v>2344.1234068915246</v>
      </c>
      <c r="AJ1899" s="31">
        <v>2438.0995574849521</v>
      </c>
      <c r="AK1899" s="31">
        <v>2535.8432217060304</v>
      </c>
      <c r="AL1899" s="31">
        <v>2637.5054395669845</v>
      </c>
      <c r="AM1899" s="31">
        <v>2743.2433062898012</v>
      </c>
      <c r="AN1899" s="31">
        <v>2853.2202150602157</v>
      </c>
      <c r="AO1899" s="31">
        <v>2967.6061095137316</v>
      </c>
      <c r="AP1899" s="31">
        <v>3086.5777463438326</v>
      </c>
      <c r="AQ1899" s="31">
        <v>3086.5777463438326</v>
      </c>
      <c r="AR1899" s="31">
        <v>3086.5777463438326</v>
      </c>
      <c r="AS1899" s="31">
        <v>3086.5777463438326</v>
      </c>
      <c r="AT1899" s="2"/>
      <c r="AU1899" s="2"/>
    </row>
    <row r="1900" spans="1:47" ht="12.75" hidden="1" customHeight="1" outlineLevel="1">
      <c r="A1900" s="298"/>
      <c r="B1900" s="241" t="s">
        <v>1099</v>
      </c>
      <c r="C1900" s="18" t="s">
        <v>733</v>
      </c>
      <c r="D1900" s="18"/>
      <c r="E1900" s="18"/>
      <c r="F1900" s="2"/>
      <c r="G1900" s="18"/>
      <c r="H1900" s="18"/>
      <c r="I1900" s="18"/>
      <c r="J1900" s="18"/>
      <c r="K1900" s="7"/>
      <c r="L1900" s="7"/>
      <c r="M1900" s="7"/>
      <c r="N1900" s="7"/>
      <c r="O1900" s="7"/>
      <c r="P1900" s="7"/>
      <c r="Q1900" s="7"/>
      <c r="R1900" s="7"/>
      <c r="S1900" s="7"/>
      <c r="T1900" s="7"/>
      <c r="U1900" s="31"/>
      <c r="V1900" s="31"/>
      <c r="W1900" s="31"/>
      <c r="X1900" s="31"/>
      <c r="Y1900" s="31"/>
      <c r="Z1900" s="7">
        <v>-0.17792148347647208</v>
      </c>
      <c r="AA1900" s="559">
        <v>0.16215918088293413</v>
      </c>
      <c r="AB1900" s="557">
        <v>0.16270953503387919</v>
      </c>
      <c r="AC1900" s="557">
        <v>0.14768944391221872</v>
      </c>
      <c r="AD1900" s="557">
        <v>0.13146116825776244</v>
      </c>
      <c r="AE1900" s="557">
        <v>0.11435937124923234</v>
      </c>
      <c r="AF1900" s="557">
        <v>9.6588826621762047E-2</v>
      </c>
      <c r="AG1900" s="557">
        <v>7.8263837630768052E-2</v>
      </c>
      <c r="AH1900" s="557">
        <v>5.9432589289540205E-2</v>
      </c>
      <c r="AI1900" s="557">
        <v>4.0090103753559037E-2</v>
      </c>
      <c r="AJ1900" s="557">
        <v>4.0090103753559037E-2</v>
      </c>
      <c r="AK1900" s="557">
        <v>4.0090103753559037E-2</v>
      </c>
      <c r="AL1900" s="557">
        <v>4.0090103753559037E-2</v>
      </c>
      <c r="AM1900" s="557">
        <v>4.0090103753559037E-2</v>
      </c>
      <c r="AN1900" s="557">
        <v>4.0090103753559037E-2</v>
      </c>
      <c r="AO1900" s="575">
        <v>4.0090103753559037E-2</v>
      </c>
      <c r="AP1900" s="575">
        <v>4.0090103753559037E-2</v>
      </c>
      <c r="AQ1900" s="575">
        <v>4.0090103753559037E-2</v>
      </c>
      <c r="AR1900" s="575">
        <v>4.0090103753559037E-2</v>
      </c>
      <c r="AS1900" s="575">
        <v>4.0090103753559037E-2</v>
      </c>
      <c r="AT1900" s="2"/>
      <c r="AU1900" s="2"/>
    </row>
    <row r="1901" spans="1:47" ht="12.75" hidden="1" customHeight="1" outlineLevel="1">
      <c r="A1901" s="298"/>
      <c r="B1901" s="55"/>
      <c r="C1901" s="18"/>
      <c r="D1901" s="18"/>
      <c r="E1901" s="18"/>
      <c r="F1901" s="2"/>
      <c r="G1901" s="18"/>
      <c r="H1901" s="18"/>
      <c r="I1901" s="18"/>
      <c r="J1901" s="18"/>
      <c r="K1901" s="7"/>
      <c r="L1901" s="7"/>
      <c r="M1901" s="7"/>
      <c r="N1901" s="7"/>
      <c r="O1901" s="7"/>
      <c r="P1901" s="7"/>
      <c r="Q1901" s="7"/>
      <c r="R1901" s="7"/>
      <c r="S1901" s="7"/>
      <c r="T1901" s="7"/>
      <c r="U1901" s="7"/>
      <c r="V1901" s="7"/>
      <c r="W1901" s="7"/>
      <c r="X1901" s="7"/>
      <c r="Y1901" s="7"/>
      <c r="Z1901" s="7"/>
      <c r="AA1901" s="7"/>
      <c r="AB1901" s="7"/>
      <c r="AC1901" s="7"/>
      <c r="AD1901" s="7"/>
      <c r="AE1901" s="7"/>
      <c r="AF1901" s="7"/>
      <c r="AG1901" s="7"/>
      <c r="AH1901" s="7"/>
      <c r="AI1901" s="7"/>
      <c r="AJ1901" s="7"/>
      <c r="AK1901" s="7"/>
      <c r="AL1901" s="7"/>
      <c r="AM1901" s="7"/>
      <c r="AN1901" s="7"/>
      <c r="AO1901" s="7"/>
      <c r="AP1901" s="7"/>
      <c r="AQ1901" s="7"/>
      <c r="AR1901" s="7"/>
      <c r="AS1901" s="7"/>
      <c r="AT1901" s="2"/>
      <c r="AU1901" s="2"/>
    </row>
    <row r="1902" spans="1:47" ht="12.75" hidden="1" customHeight="1" outlineLevel="1">
      <c r="A1902" s="298"/>
      <c r="B1902" s="2" t="s">
        <v>865</v>
      </c>
      <c r="C1902" s="18" t="s">
        <v>732</v>
      </c>
      <c r="D1902" s="18"/>
      <c r="E1902" s="18"/>
      <c r="F1902" s="2"/>
      <c r="G1902" s="18"/>
      <c r="H1902" s="18"/>
      <c r="I1902" s="18"/>
      <c r="J1902" s="18"/>
      <c r="K1902" s="7"/>
      <c r="L1902" s="7"/>
      <c r="M1902" s="7"/>
      <c r="N1902" s="7"/>
      <c r="O1902" s="7"/>
      <c r="P1902" s="7"/>
      <c r="Q1902" s="7"/>
      <c r="R1902" s="7"/>
      <c r="S1902" s="7"/>
      <c r="T1902" s="3">
        <v>4.6793495999999992</v>
      </c>
      <c r="U1902" s="3">
        <v>6.8491979999999995</v>
      </c>
      <c r="V1902" s="3">
        <v>9.6181008000000006</v>
      </c>
      <c r="W1902" s="3">
        <v>12.043848000000002</v>
      </c>
      <c r="X1902" s="3">
        <v>18.779369994000003</v>
      </c>
      <c r="Y1902" s="3">
        <v>26.028206811684001</v>
      </c>
      <c r="Z1902" s="3">
        <v>35.186882083545314</v>
      </c>
      <c r="AA1902" s="3">
        <v>45.222180853772436</v>
      </c>
      <c r="AB1902" s="3">
        <v>56.505114976788668</v>
      </c>
      <c r="AC1902" s="3">
        <v>69.162260731589342</v>
      </c>
      <c r="AD1902" s="3">
        <v>83.331878898973699</v>
      </c>
      <c r="AE1902" s="3">
        <v>99.16493588977869</v>
      </c>
      <c r="AF1902" s="3">
        <v>116.82621097174831</v>
      </c>
      <c r="AG1902" s="3">
        <v>136.49549667353722</v>
      </c>
      <c r="AH1902" s="3">
        <v>158.36890001547155</v>
      </c>
      <c r="AI1902" s="3">
        <v>182.66025283322932</v>
      </c>
      <c r="AJ1902" s="3">
        <v>209.60264012613069</v>
      </c>
      <c r="AK1902" s="3">
        <v>239.45005608009174</v>
      </c>
      <c r="AL1902" s="3">
        <v>272.47919819063941</v>
      </c>
      <c r="AM1902" s="3">
        <v>308.99141074818516</v>
      </c>
      <c r="AN1902" s="3">
        <v>349.31478985082339</v>
      </c>
      <c r="AO1902" s="3">
        <v>393.80646308445455</v>
      </c>
      <c r="AP1902" s="3">
        <v>442.85505806162348</v>
      </c>
      <c r="AQ1902" s="3">
        <v>442.85505806162348</v>
      </c>
      <c r="AR1902" s="3">
        <v>442.85505806162348</v>
      </c>
      <c r="AS1902" s="3">
        <v>442.85505806162348</v>
      </c>
      <c r="AT1902" s="2"/>
      <c r="AU1902" s="2"/>
    </row>
    <row r="1903" spans="1:47" ht="12.75" hidden="1" customHeight="1" outlineLevel="1">
      <c r="A1903" s="298"/>
      <c r="B1903" s="241" t="s">
        <v>1099</v>
      </c>
      <c r="C1903" s="18" t="s">
        <v>733</v>
      </c>
      <c r="D1903" s="18"/>
      <c r="E1903" s="18"/>
      <c r="F1903" s="2"/>
      <c r="G1903" s="18"/>
      <c r="H1903" s="18"/>
      <c r="I1903" s="18"/>
      <c r="J1903" s="18"/>
      <c r="K1903" s="7"/>
      <c r="L1903" s="7"/>
      <c r="M1903" s="7"/>
      <c r="N1903" s="7"/>
      <c r="O1903" s="7"/>
      <c r="P1903" s="7"/>
      <c r="Q1903" s="7"/>
      <c r="R1903" s="7"/>
      <c r="S1903" s="7"/>
      <c r="T1903" s="3"/>
      <c r="U1903" s="3"/>
      <c r="V1903" s="3"/>
      <c r="W1903" s="3"/>
      <c r="X1903" s="3"/>
      <c r="Y1903" s="3"/>
      <c r="Z1903" s="3"/>
      <c r="AA1903" s="3"/>
      <c r="AB1903" s="3"/>
      <c r="AC1903" s="3"/>
      <c r="AD1903" s="3"/>
      <c r="AE1903" s="3"/>
      <c r="AF1903" s="3"/>
      <c r="AG1903" s="3"/>
      <c r="AH1903" s="3"/>
      <c r="AI1903" s="3"/>
      <c r="AJ1903" s="3"/>
      <c r="AK1903" s="3"/>
      <c r="AL1903" s="3"/>
      <c r="AM1903" s="3"/>
      <c r="AN1903" s="3"/>
      <c r="AO1903" s="3"/>
      <c r="AP1903" s="3"/>
      <c r="AQ1903" s="3"/>
      <c r="AR1903" s="3"/>
      <c r="AS1903" s="3"/>
      <c r="AT1903" s="2"/>
      <c r="AU1903" s="2"/>
    </row>
    <row r="1904" spans="1:47" ht="12.75" hidden="1" customHeight="1" outlineLevel="1">
      <c r="A1904" s="298"/>
      <c r="B1904" s="2" t="s">
        <v>864</v>
      </c>
      <c r="C1904" s="18" t="s">
        <v>846</v>
      </c>
      <c r="D1904" s="18"/>
      <c r="E1904" s="18"/>
      <c r="F1904" s="2"/>
      <c r="G1904" s="18"/>
      <c r="H1904" s="18"/>
      <c r="I1904" s="18"/>
      <c r="J1904" s="18"/>
      <c r="K1904" s="7"/>
      <c r="L1904" s="7"/>
      <c r="M1904" s="7"/>
      <c r="N1904" s="7"/>
      <c r="O1904" s="7"/>
      <c r="P1904" s="7"/>
      <c r="Q1904" s="7"/>
      <c r="R1904" s="7"/>
      <c r="S1904" s="7"/>
      <c r="T1904" s="31">
        <v>1949.729</v>
      </c>
      <c r="U1904" s="31">
        <v>1902.5549999999998</v>
      </c>
      <c r="V1904" s="31">
        <v>2003.771</v>
      </c>
      <c r="W1904" s="31">
        <v>2007.3080000000002</v>
      </c>
      <c r="X1904" s="31">
        <v>1987.2349200000001</v>
      </c>
      <c r="Y1904" s="31">
        <v>1967.3625708000002</v>
      </c>
      <c r="Z1904" s="31">
        <v>2026.3834479240002</v>
      </c>
      <c r="AA1904" s="31">
        <v>2066.9111168824802</v>
      </c>
      <c r="AB1904" s="31">
        <v>2108.24933922013</v>
      </c>
      <c r="AC1904" s="31">
        <v>2150.4143260045325</v>
      </c>
      <c r="AD1904" s="31">
        <v>2193.4226125246232</v>
      </c>
      <c r="AE1904" s="31">
        <v>2237.2910647751155</v>
      </c>
      <c r="AF1904" s="31">
        <v>2282.036886070618</v>
      </c>
      <c r="AG1904" s="31">
        <v>2327.6776237920303</v>
      </c>
      <c r="AH1904" s="31">
        <v>2374.231176267871</v>
      </c>
      <c r="AI1904" s="31">
        <v>2421.7157997932286</v>
      </c>
      <c r="AJ1904" s="31">
        <v>2470.1501157890934</v>
      </c>
      <c r="AK1904" s="31">
        <v>2519.5531181048755</v>
      </c>
      <c r="AL1904" s="31">
        <v>2569.9441804669732</v>
      </c>
      <c r="AM1904" s="31">
        <v>2621.3430640763127</v>
      </c>
      <c r="AN1904" s="31">
        <v>2673.7699253578389</v>
      </c>
      <c r="AO1904" s="31">
        <v>2727.245323864996</v>
      </c>
      <c r="AP1904" s="31">
        <v>2781.7902303422961</v>
      </c>
      <c r="AQ1904" s="31">
        <v>2781.7902303422961</v>
      </c>
      <c r="AR1904" s="31">
        <v>2781.7902303422961</v>
      </c>
      <c r="AS1904" s="31">
        <v>2781.7902303422961</v>
      </c>
      <c r="AT1904" s="2"/>
      <c r="AU1904" s="2"/>
    </row>
    <row r="1905" spans="1:47" ht="12.75" hidden="1" customHeight="1" outlineLevel="1">
      <c r="A1905" s="298"/>
      <c r="B1905" s="241" t="s">
        <v>1099</v>
      </c>
      <c r="C1905" s="18" t="s">
        <v>733</v>
      </c>
      <c r="D1905" s="18"/>
      <c r="E1905" s="18"/>
      <c r="F1905" s="2"/>
      <c r="G1905" s="18"/>
      <c r="H1905" s="18"/>
      <c r="I1905" s="18"/>
      <c r="J1905" s="18"/>
      <c r="K1905" s="7"/>
      <c r="L1905" s="7"/>
      <c r="M1905" s="7"/>
      <c r="N1905" s="7"/>
      <c r="O1905" s="7"/>
      <c r="P1905" s="7"/>
      <c r="Q1905" s="7"/>
      <c r="R1905" s="7"/>
      <c r="S1905" s="7"/>
      <c r="T1905" s="7"/>
      <c r="U1905" s="7">
        <v>-2.4195157378281928E-2</v>
      </c>
      <c r="V1905" s="7">
        <v>5.3200038895064861E-2</v>
      </c>
      <c r="W1905" s="7">
        <v>1.7651717686304469E-3</v>
      </c>
      <c r="X1905" s="532">
        <v>-0.01</v>
      </c>
      <c r="Y1905" s="532">
        <v>-0.01</v>
      </c>
      <c r="Z1905" s="556">
        <v>0.03</v>
      </c>
      <c r="AA1905" s="594">
        <v>0.02</v>
      </c>
      <c r="AB1905" s="219">
        <v>0.02</v>
      </c>
      <c r="AC1905" s="219">
        <v>0.02</v>
      </c>
      <c r="AD1905" s="219">
        <v>0.02</v>
      </c>
      <c r="AE1905" s="219">
        <v>0.02</v>
      </c>
      <c r="AF1905" s="219">
        <v>0.02</v>
      </c>
      <c r="AG1905" s="219">
        <v>0.02</v>
      </c>
      <c r="AH1905" s="219">
        <v>0.02</v>
      </c>
      <c r="AI1905" s="219">
        <v>0.02</v>
      </c>
      <c r="AJ1905" s="219">
        <v>0.02</v>
      </c>
      <c r="AK1905" s="219">
        <v>0.02</v>
      </c>
      <c r="AL1905" s="219">
        <v>0.02</v>
      </c>
      <c r="AM1905" s="219">
        <v>0.02</v>
      </c>
      <c r="AN1905" s="219">
        <v>0.02</v>
      </c>
      <c r="AO1905" s="220">
        <v>0.02</v>
      </c>
      <c r="AP1905" s="220">
        <v>0.02</v>
      </c>
      <c r="AQ1905" s="220">
        <v>0.02</v>
      </c>
      <c r="AR1905" s="220">
        <v>0.02</v>
      </c>
      <c r="AS1905" s="220">
        <v>0.02</v>
      </c>
      <c r="AT1905" s="2"/>
      <c r="AU1905" s="2"/>
    </row>
    <row r="1906" spans="1:47" ht="12.75" hidden="1" customHeight="1" outlineLevel="1">
      <c r="A1906" s="298"/>
      <c r="B1906" s="2" t="s">
        <v>863</v>
      </c>
      <c r="C1906" s="18" t="s">
        <v>733</v>
      </c>
      <c r="D1906" s="18"/>
      <c r="E1906" s="18"/>
      <c r="F1906" s="2"/>
      <c r="G1906" s="18"/>
      <c r="H1906" s="18"/>
      <c r="I1906" s="18"/>
      <c r="J1906" s="18"/>
      <c r="K1906" s="7"/>
      <c r="L1906" s="7"/>
      <c r="M1906" s="7"/>
      <c r="N1906" s="7"/>
      <c r="O1906" s="7"/>
      <c r="P1906" s="7"/>
      <c r="Q1906" s="7"/>
      <c r="R1906" s="7"/>
      <c r="S1906" s="7"/>
      <c r="T1906" s="558">
        <v>0.02</v>
      </c>
      <c r="U1906" s="558">
        <v>0.03</v>
      </c>
      <c r="V1906" s="558">
        <v>0.04</v>
      </c>
      <c r="W1906" s="558">
        <v>0.05</v>
      </c>
      <c r="X1906" s="29">
        <v>7.5000000000000011E-2</v>
      </c>
      <c r="Y1906" s="29">
        <v>0.1</v>
      </c>
      <c r="Z1906" s="29">
        <v>0.125</v>
      </c>
      <c r="AA1906" s="29">
        <v>0.15</v>
      </c>
      <c r="AB1906" s="29">
        <v>0.17499999999999999</v>
      </c>
      <c r="AC1906" s="29">
        <v>0.19999999999999998</v>
      </c>
      <c r="AD1906" s="29">
        <v>0.22499999999999998</v>
      </c>
      <c r="AE1906" s="29">
        <v>0.24999999999999997</v>
      </c>
      <c r="AF1906" s="29">
        <v>0.27499999999999997</v>
      </c>
      <c r="AG1906" s="29">
        <v>0.3</v>
      </c>
      <c r="AH1906" s="29">
        <v>0.32500000000000001</v>
      </c>
      <c r="AI1906" s="29">
        <v>0.35000000000000003</v>
      </c>
      <c r="AJ1906" s="29">
        <v>0.37500000000000006</v>
      </c>
      <c r="AK1906" s="29">
        <v>0.40000000000000008</v>
      </c>
      <c r="AL1906" s="29">
        <v>0.4250000000000001</v>
      </c>
      <c r="AM1906" s="29">
        <v>0.45000000000000012</v>
      </c>
      <c r="AN1906" s="29">
        <v>0.47500000000000014</v>
      </c>
      <c r="AO1906" s="29">
        <v>0.50000000000000011</v>
      </c>
      <c r="AP1906" s="29">
        <v>0.52500000000000013</v>
      </c>
      <c r="AQ1906" s="29">
        <v>0.52500000000000013</v>
      </c>
      <c r="AR1906" s="29">
        <v>0.52500000000000013</v>
      </c>
      <c r="AS1906" s="29">
        <v>0.52500000000000013</v>
      </c>
      <c r="AT1906" s="2"/>
      <c r="AU1906" s="2"/>
    </row>
    <row r="1907" spans="1:47" ht="12.75" hidden="1" customHeight="1" outlineLevel="1">
      <c r="A1907" s="298"/>
      <c r="B1907" s="2" t="s">
        <v>868</v>
      </c>
      <c r="C1907" s="18" t="s">
        <v>772</v>
      </c>
      <c r="D1907" s="18"/>
      <c r="E1907" s="18"/>
      <c r="F1907" s="2"/>
      <c r="G1907" s="18"/>
      <c r="H1907" s="18"/>
      <c r="I1907" s="18"/>
      <c r="J1907" s="18"/>
      <c r="K1907" s="7"/>
      <c r="L1907" s="7"/>
      <c r="M1907" s="7"/>
      <c r="N1907" s="7"/>
      <c r="O1907" s="7"/>
      <c r="P1907" s="7"/>
      <c r="Q1907" s="7"/>
      <c r="R1907" s="7"/>
      <c r="S1907" s="7"/>
      <c r="T1907" s="532">
        <v>10</v>
      </c>
      <c r="U1907" s="532">
        <v>10</v>
      </c>
      <c r="V1907" s="532">
        <v>10</v>
      </c>
      <c r="W1907" s="532">
        <v>10</v>
      </c>
      <c r="X1907" s="31">
        <v>10.5</v>
      </c>
      <c r="Y1907" s="31">
        <v>11.025</v>
      </c>
      <c r="Z1907" s="31">
        <v>11.576250000000002</v>
      </c>
      <c r="AA1907" s="31">
        <v>12.155062500000001</v>
      </c>
      <c r="AB1907" s="31">
        <v>12.762815625000002</v>
      </c>
      <c r="AC1907" s="31">
        <v>13.400956406250003</v>
      </c>
      <c r="AD1907" s="31">
        <v>14.071004226562504</v>
      </c>
      <c r="AE1907" s="31">
        <v>14.774554437890631</v>
      </c>
      <c r="AF1907" s="31">
        <v>15.513282159785163</v>
      </c>
      <c r="AG1907" s="31">
        <v>16.288946267774421</v>
      </c>
      <c r="AH1907" s="31">
        <v>17.103393581163143</v>
      </c>
      <c r="AI1907" s="31">
        <v>17.9585632602213</v>
      </c>
      <c r="AJ1907" s="31">
        <v>18.856491423232367</v>
      </c>
      <c r="AK1907" s="31">
        <v>19.799315994393986</v>
      </c>
      <c r="AL1907" s="31">
        <v>20.789281794113688</v>
      </c>
      <c r="AM1907" s="31">
        <v>21.828745883819373</v>
      </c>
      <c r="AN1907" s="31">
        <v>22.920183178010344</v>
      </c>
      <c r="AO1907" s="31">
        <v>24.066192336910863</v>
      </c>
      <c r="AP1907" s="31">
        <v>25.269501953756407</v>
      </c>
      <c r="AQ1907" s="31">
        <v>25.269501953756407</v>
      </c>
      <c r="AR1907" s="31">
        <v>25.269501953756407</v>
      </c>
      <c r="AS1907" s="31">
        <v>25.269501953756407</v>
      </c>
      <c r="AT1907" s="2"/>
      <c r="AU1907" s="2"/>
    </row>
    <row r="1908" spans="1:47" ht="12.75" hidden="1" customHeight="1" outlineLevel="1">
      <c r="A1908" s="298"/>
      <c r="B1908" s="55"/>
      <c r="C1908" s="18"/>
      <c r="D1908" s="18"/>
      <c r="E1908" s="18"/>
      <c r="F1908" s="2"/>
      <c r="G1908" s="18"/>
      <c r="H1908" s="18"/>
      <c r="I1908" s="18"/>
      <c r="J1908" s="18"/>
      <c r="K1908" s="7"/>
      <c r="L1908" s="7"/>
      <c r="M1908" s="7"/>
      <c r="N1908" s="7"/>
      <c r="O1908" s="7"/>
      <c r="P1908" s="7"/>
      <c r="Q1908" s="7"/>
      <c r="R1908" s="7"/>
      <c r="S1908" s="7"/>
      <c r="T1908" s="7"/>
      <c r="U1908" s="7"/>
      <c r="V1908" s="7"/>
      <c r="W1908" s="7"/>
      <c r="X1908" s="7"/>
      <c r="Y1908" s="7"/>
      <c r="Z1908" s="7">
        <v>5.0000000000000044E-2</v>
      </c>
      <c r="AA1908" s="559">
        <v>5.0000000000000044E-2</v>
      </c>
      <c r="AB1908" s="557">
        <v>5.0000000000000044E-2</v>
      </c>
      <c r="AC1908" s="557">
        <v>5.0000000000000044E-2</v>
      </c>
      <c r="AD1908" s="557">
        <v>5.0000000000000044E-2</v>
      </c>
      <c r="AE1908" s="557">
        <v>5.0000000000000044E-2</v>
      </c>
      <c r="AF1908" s="557">
        <v>5.0000000000000044E-2</v>
      </c>
      <c r="AG1908" s="557">
        <v>5.0000000000000044E-2</v>
      </c>
      <c r="AH1908" s="557">
        <v>5.0000000000000044E-2</v>
      </c>
      <c r="AI1908" s="557">
        <v>5.0000000000000044E-2</v>
      </c>
      <c r="AJ1908" s="557">
        <v>5.0000000000000044E-2</v>
      </c>
      <c r="AK1908" s="557">
        <v>5.0000000000000044E-2</v>
      </c>
      <c r="AL1908" s="557">
        <v>5.0000000000000044E-2</v>
      </c>
      <c r="AM1908" s="557">
        <v>5.0000000000000044E-2</v>
      </c>
      <c r="AN1908" s="557">
        <v>5.0000000000000044E-2</v>
      </c>
      <c r="AO1908" s="575">
        <v>5.0000000000000044E-2</v>
      </c>
      <c r="AP1908" s="575">
        <v>5.0000000000000044E-2</v>
      </c>
      <c r="AQ1908" s="575">
        <v>5.0000000000000044E-2</v>
      </c>
      <c r="AR1908" s="575">
        <v>5.0000000000000044E-2</v>
      </c>
      <c r="AS1908" s="575">
        <v>5.0000000000000044E-2</v>
      </c>
      <c r="AT1908" s="2"/>
      <c r="AU1908" s="2"/>
    </row>
    <row r="1909" spans="1:47" ht="12.75" hidden="1" customHeight="1" outlineLevel="1">
      <c r="A1909" s="298"/>
      <c r="B1909" s="55"/>
      <c r="C1909" s="18"/>
      <c r="D1909" s="18"/>
      <c r="E1909" s="18"/>
      <c r="F1909" s="2"/>
      <c r="G1909" s="18"/>
      <c r="H1909" s="18"/>
      <c r="I1909" s="18"/>
      <c r="J1909" s="18"/>
      <c r="K1909" s="7"/>
      <c r="L1909" s="7"/>
      <c r="M1909" s="7"/>
      <c r="N1909" s="7"/>
      <c r="O1909" s="7"/>
      <c r="P1909" s="7"/>
      <c r="Q1909" s="7"/>
      <c r="R1909" s="7"/>
      <c r="S1909" s="7"/>
      <c r="T1909" s="7"/>
      <c r="U1909" s="7"/>
      <c r="V1909" s="7"/>
      <c r="W1909" s="7"/>
      <c r="X1909" s="7"/>
      <c r="Y1909" s="7"/>
      <c r="Z1909" s="7"/>
      <c r="AA1909" s="7"/>
      <c r="AB1909" s="7"/>
      <c r="AC1909" s="7"/>
      <c r="AD1909" s="7"/>
      <c r="AE1909" s="7"/>
      <c r="AF1909" s="7"/>
      <c r="AG1909" s="7"/>
      <c r="AH1909" s="7"/>
      <c r="AI1909" s="7"/>
      <c r="AJ1909" s="7"/>
      <c r="AK1909" s="7"/>
      <c r="AL1909" s="7"/>
      <c r="AM1909" s="7"/>
      <c r="AN1909" s="7"/>
      <c r="AO1909" s="7"/>
      <c r="AP1909" s="7"/>
      <c r="AQ1909" s="7"/>
      <c r="AR1909" s="7"/>
      <c r="AS1909" s="7"/>
      <c r="AT1909" s="2"/>
      <c r="AU1909" s="2"/>
    </row>
    <row r="1910" spans="1:47" ht="12.75" hidden="1" customHeight="1" outlineLevel="1">
      <c r="A1910" s="298"/>
      <c r="B1910" s="6" t="s">
        <v>873</v>
      </c>
      <c r="C1910" s="18" t="s">
        <v>732</v>
      </c>
      <c r="D1910" s="18"/>
      <c r="E1910" s="18"/>
      <c r="F1910" s="2"/>
      <c r="G1910" s="18"/>
      <c r="H1910" s="18"/>
      <c r="I1910" s="18"/>
      <c r="J1910" s="18"/>
      <c r="K1910" s="7"/>
      <c r="L1910" s="7"/>
      <c r="M1910" s="7"/>
      <c r="N1910" s="7"/>
      <c r="O1910" s="7"/>
      <c r="P1910" s="7"/>
      <c r="Q1910" s="7"/>
      <c r="R1910" s="7"/>
      <c r="S1910" s="7"/>
      <c r="T1910" s="7"/>
      <c r="U1910" s="7"/>
      <c r="V1910" s="7"/>
      <c r="W1910" s="530">
        <v>884.4</v>
      </c>
      <c r="X1910" s="3">
        <v>1102.8467999999998</v>
      </c>
      <c r="Y1910" s="3">
        <v>1375.2499595999996</v>
      </c>
      <c r="Z1910" s="3">
        <v>1714.9366996211993</v>
      </c>
      <c r="AA1910" s="3">
        <v>2138.5260644276354</v>
      </c>
      <c r="AB1910" s="3">
        <v>2666.742002341261</v>
      </c>
      <c r="AC1910" s="7"/>
      <c r="AD1910" s="7"/>
      <c r="AE1910" s="7"/>
      <c r="AF1910" s="7"/>
      <c r="AG1910" s="7"/>
      <c r="AH1910" s="7"/>
      <c r="AI1910" s="7"/>
      <c r="AJ1910" s="7"/>
      <c r="AK1910" s="7"/>
      <c r="AL1910" s="7"/>
      <c r="AM1910" s="7"/>
      <c r="AN1910" s="7"/>
      <c r="AO1910" s="7"/>
      <c r="AP1910" s="7"/>
      <c r="AQ1910" s="7"/>
      <c r="AR1910" s="7"/>
      <c r="AS1910" s="7"/>
      <c r="AT1910" s="2"/>
      <c r="AU1910" s="2"/>
    </row>
    <row r="1911" spans="1:47" ht="12.75" hidden="1" customHeight="1" outlineLevel="1">
      <c r="A1911" s="298"/>
      <c r="B1911" s="2" t="s">
        <v>1099</v>
      </c>
      <c r="C1911" s="18" t="s">
        <v>733</v>
      </c>
      <c r="D1911" s="18"/>
      <c r="E1911" s="18"/>
      <c r="F1911" s="2"/>
      <c r="G1911" s="18"/>
      <c r="H1911" s="18"/>
      <c r="I1911" s="18"/>
      <c r="J1911" s="18"/>
      <c r="K1911" s="7"/>
      <c r="L1911" s="7"/>
      <c r="M1911" s="7"/>
      <c r="N1911" s="7"/>
      <c r="O1911" s="7"/>
      <c r="P1911" s="7"/>
      <c r="Q1911" s="7"/>
      <c r="R1911" s="7"/>
      <c r="S1911" s="7"/>
      <c r="T1911" s="7"/>
      <c r="U1911" s="7"/>
      <c r="V1911" s="7"/>
      <c r="W1911" s="2"/>
      <c r="X1911" s="709">
        <v>0.247</v>
      </c>
      <c r="Y1911" s="709">
        <v>0.247</v>
      </c>
      <c r="Z1911" s="709">
        <v>0.247</v>
      </c>
      <c r="AA1911" s="709">
        <v>0.247</v>
      </c>
      <c r="AB1911" s="709">
        <v>0.247</v>
      </c>
      <c r="AC1911" s="7"/>
      <c r="AD1911" s="7"/>
      <c r="AE1911" s="7"/>
      <c r="AF1911" s="7"/>
      <c r="AG1911" s="7"/>
      <c r="AH1911" s="7"/>
      <c r="AI1911" s="7"/>
      <c r="AJ1911" s="7"/>
      <c r="AK1911" s="7"/>
      <c r="AL1911" s="7"/>
      <c r="AM1911" s="7"/>
      <c r="AN1911" s="7"/>
      <c r="AO1911" s="7"/>
      <c r="AP1911" s="7"/>
      <c r="AQ1911" s="7"/>
      <c r="AR1911" s="7"/>
      <c r="AS1911" s="7"/>
      <c r="AT1911" s="2"/>
      <c r="AU1911" s="2"/>
    </row>
    <row r="1912" spans="1:47" ht="12.75" hidden="1" customHeight="1" outlineLevel="1">
      <c r="A1912" s="298"/>
      <c r="B1912" s="2"/>
      <c r="C1912" s="18"/>
      <c r="D1912" s="18"/>
      <c r="E1912" s="18"/>
      <c r="F1912" s="2"/>
      <c r="G1912" s="18"/>
      <c r="H1912" s="18"/>
      <c r="I1912" s="18"/>
      <c r="J1912" s="18"/>
      <c r="K1912" s="7"/>
      <c r="L1912" s="7"/>
      <c r="M1912" s="7"/>
      <c r="N1912" s="7"/>
      <c r="O1912" s="7"/>
      <c r="P1912" s="7"/>
      <c r="Q1912" s="7"/>
      <c r="R1912" s="7"/>
      <c r="S1912" s="7"/>
      <c r="T1912" s="7"/>
      <c r="U1912" s="7"/>
      <c r="V1912" s="7"/>
      <c r="W1912" s="7"/>
      <c r="X1912" s="7"/>
      <c r="Y1912" s="7"/>
      <c r="Z1912" s="7"/>
      <c r="AA1912" s="7"/>
      <c r="AB1912" s="7"/>
      <c r="AC1912" s="7"/>
      <c r="AD1912" s="7"/>
      <c r="AE1912" s="7"/>
      <c r="AF1912" s="7"/>
      <c r="AG1912" s="7"/>
      <c r="AH1912" s="7"/>
      <c r="AI1912" s="7"/>
      <c r="AJ1912" s="7"/>
      <c r="AK1912" s="7"/>
      <c r="AL1912" s="7"/>
      <c r="AM1912" s="7"/>
      <c r="AN1912" s="7"/>
      <c r="AO1912" s="7"/>
      <c r="AP1912" s="7"/>
      <c r="AQ1912" s="7"/>
      <c r="AR1912" s="7"/>
      <c r="AS1912" s="7"/>
      <c r="AT1912" s="2"/>
      <c r="AU1912" s="2"/>
    </row>
    <row r="1913" spans="1:47" ht="12.75" hidden="1" customHeight="1" outlineLevel="1">
      <c r="A1913" s="298"/>
      <c r="B1913" s="2" t="s">
        <v>878</v>
      </c>
      <c r="C1913" s="18"/>
      <c r="D1913" s="18"/>
      <c r="E1913" s="18"/>
      <c r="F1913" s="2"/>
      <c r="G1913" s="18"/>
      <c r="H1913" s="18"/>
      <c r="I1913" s="18"/>
      <c r="J1913" s="18"/>
      <c r="K1913" s="7"/>
      <c r="L1913" s="7"/>
      <c r="M1913" s="7"/>
      <c r="N1913" s="7"/>
      <c r="O1913" s="7"/>
      <c r="P1913" s="7"/>
      <c r="Q1913" s="7"/>
      <c r="R1913" s="7"/>
      <c r="S1913" s="7"/>
      <c r="T1913" s="7"/>
      <c r="U1913" s="7"/>
      <c r="V1913" s="7"/>
      <c r="W1913" s="19">
        <v>337.67562865298356</v>
      </c>
      <c r="X1913" s="19">
        <v>455.15293191393988</v>
      </c>
      <c r="Y1913" s="19">
        <v>612.17470013911429</v>
      </c>
      <c r="Z1913" s="19">
        <v>781.23484711294122</v>
      </c>
      <c r="AA1913" s="19">
        <v>981.42751070756947</v>
      </c>
      <c r="AB1913" s="19">
        <v>1214.8272183742474</v>
      </c>
      <c r="AC1913" s="7">
        <v>0.29182284163551686</v>
      </c>
      <c r="AD1913" s="7"/>
      <c r="AE1913" s="7"/>
      <c r="AF1913" s="7"/>
      <c r="AG1913" s="7"/>
      <c r="AH1913" s="7"/>
      <c r="AI1913" s="7"/>
      <c r="AJ1913" s="7"/>
      <c r="AK1913" s="7"/>
      <c r="AL1913" s="7"/>
      <c r="AM1913" s="7"/>
      <c r="AN1913" s="7"/>
      <c r="AO1913" s="7"/>
      <c r="AP1913" s="7"/>
      <c r="AQ1913" s="7"/>
      <c r="AR1913" s="7"/>
      <c r="AS1913" s="7"/>
      <c r="AT1913" s="2"/>
      <c r="AU1913" s="2"/>
    </row>
    <row r="1914" spans="1:47" ht="12.75" hidden="1" customHeight="1" outlineLevel="1">
      <c r="A1914" s="298"/>
      <c r="B1914" s="2" t="s">
        <v>877</v>
      </c>
      <c r="C1914" s="18"/>
      <c r="D1914" s="18"/>
      <c r="E1914" s="18"/>
      <c r="F1914" s="2"/>
      <c r="G1914" s="18"/>
      <c r="H1914" s="18"/>
      <c r="I1914" s="18"/>
      <c r="J1914" s="18"/>
      <c r="K1914" s="7"/>
      <c r="L1914" s="7"/>
      <c r="M1914" s="7"/>
      <c r="N1914" s="7"/>
      <c r="O1914" s="7"/>
      <c r="P1914" s="7"/>
      <c r="Q1914" s="7"/>
      <c r="R1914" s="7"/>
      <c r="S1914" s="7"/>
      <c r="T1914" s="7"/>
      <c r="U1914" s="7"/>
      <c r="V1914" s="7"/>
      <c r="W1914" s="19">
        <v>500.92358298219381</v>
      </c>
      <c r="X1914" s="19">
        <v>588.00370623038987</v>
      </c>
      <c r="Y1914" s="19">
        <v>687.56194698491129</v>
      </c>
      <c r="Z1914" s="19">
        <v>837.04639650889749</v>
      </c>
      <c r="AA1914" s="19">
        <v>1035.0763204905402</v>
      </c>
      <c r="AB1914" s="19">
        <v>1301.6146799889038</v>
      </c>
      <c r="AC1914" s="7">
        <v>0.21043700402495946</v>
      </c>
      <c r="AD1914" s="7"/>
      <c r="AE1914" s="7"/>
      <c r="AF1914" s="7"/>
      <c r="AG1914" s="7"/>
      <c r="AH1914" s="7"/>
      <c r="AI1914" s="7"/>
      <c r="AJ1914" s="7"/>
      <c r="AK1914" s="7"/>
      <c r="AL1914" s="7"/>
      <c r="AM1914" s="7"/>
      <c r="AN1914" s="7"/>
      <c r="AO1914" s="7"/>
      <c r="AP1914" s="7"/>
      <c r="AQ1914" s="7"/>
      <c r="AR1914" s="7"/>
      <c r="AS1914" s="7"/>
      <c r="AT1914" s="2"/>
      <c r="AU1914" s="2"/>
    </row>
    <row r="1915" spans="1:47" ht="12.75" hidden="1" customHeight="1" outlineLevel="1">
      <c r="A1915" s="298"/>
      <c r="B1915" s="2" t="s">
        <v>879</v>
      </c>
      <c r="C1915" s="18"/>
      <c r="D1915" s="18"/>
      <c r="E1915" s="18"/>
      <c r="F1915" s="18"/>
      <c r="G1915" s="18"/>
      <c r="H1915" s="18"/>
      <c r="I1915" s="18"/>
      <c r="J1915" s="18"/>
      <c r="K1915" s="7"/>
      <c r="L1915" s="7"/>
      <c r="M1915" s="7"/>
      <c r="N1915" s="7"/>
      <c r="O1915" s="7"/>
      <c r="P1915" s="7"/>
      <c r="Q1915" s="7"/>
      <c r="R1915" s="7"/>
      <c r="S1915" s="7"/>
      <c r="T1915" s="7"/>
      <c r="U1915" s="7"/>
      <c r="V1915" s="7"/>
      <c r="W1915" s="19">
        <v>45.800788364822616</v>
      </c>
      <c r="X1915" s="19">
        <v>59.690161855670084</v>
      </c>
      <c r="Y1915" s="19">
        <v>75.513312475973933</v>
      </c>
      <c r="Z1915" s="19">
        <v>96.655455999360498</v>
      </c>
      <c r="AA1915" s="19">
        <v>122.0222332295256</v>
      </c>
      <c r="AB1915" s="19">
        <v>150.30010397810955</v>
      </c>
      <c r="AC1915" s="7">
        <v>0.26828619562613265</v>
      </c>
      <c r="AD1915" s="7"/>
      <c r="AE1915" s="7"/>
      <c r="AF1915" s="7"/>
      <c r="AG1915" s="7"/>
      <c r="AH1915" s="7"/>
      <c r="AI1915" s="7"/>
      <c r="AJ1915" s="7"/>
      <c r="AK1915" s="7"/>
      <c r="AL1915" s="7"/>
      <c r="AM1915" s="7"/>
      <c r="AN1915" s="7"/>
      <c r="AO1915" s="7"/>
      <c r="AP1915" s="7"/>
      <c r="AQ1915" s="7"/>
      <c r="AR1915" s="7"/>
      <c r="AS1915" s="7"/>
      <c r="AT1915" s="2"/>
      <c r="AU1915" s="2"/>
    </row>
    <row r="1916" spans="1:47" ht="12.75" hidden="1" customHeight="1" outlineLevel="1">
      <c r="A1916" s="298"/>
      <c r="B1916" s="2"/>
      <c r="C1916" s="18"/>
      <c r="D1916" s="18"/>
      <c r="E1916" s="18"/>
      <c r="F1916" s="18"/>
      <c r="G1916" s="18"/>
      <c r="H1916" s="18"/>
      <c r="I1916" s="18"/>
      <c r="J1916" s="18"/>
      <c r="K1916" s="7"/>
      <c r="L1916" s="7"/>
      <c r="M1916" s="7"/>
      <c r="N1916" s="7"/>
      <c r="O1916" s="7"/>
      <c r="P1916" s="7"/>
      <c r="Q1916" s="7"/>
      <c r="R1916" s="7"/>
      <c r="S1916" s="7"/>
      <c r="T1916" s="7"/>
      <c r="U1916" s="7"/>
      <c r="V1916" s="7"/>
      <c r="W1916" s="19"/>
      <c r="X1916" s="19"/>
      <c r="Y1916" s="19"/>
      <c r="Z1916" s="19"/>
      <c r="AA1916" s="19"/>
      <c r="AB1916" s="19"/>
      <c r="AC1916" s="7"/>
      <c r="AD1916" s="7"/>
      <c r="AE1916" s="7"/>
      <c r="AF1916" s="7"/>
      <c r="AG1916" s="7"/>
      <c r="AH1916" s="7"/>
      <c r="AI1916" s="7"/>
      <c r="AJ1916" s="7"/>
      <c r="AK1916" s="7"/>
      <c r="AL1916" s="7"/>
      <c r="AM1916" s="7"/>
      <c r="AN1916" s="7"/>
      <c r="AO1916" s="7"/>
      <c r="AP1916" s="7"/>
      <c r="AQ1916" s="7"/>
      <c r="AR1916" s="7"/>
      <c r="AS1916" s="7"/>
      <c r="AT1916" s="2"/>
      <c r="AU1916" s="2"/>
    </row>
    <row r="1917" spans="1:47" ht="12.75" hidden="1" customHeight="1" outlineLevel="1">
      <c r="A1917" s="298"/>
      <c r="B1917" s="6" t="s">
        <v>1099</v>
      </c>
      <c r="C1917" s="18"/>
      <c r="D1917" s="18"/>
      <c r="E1917" s="18"/>
      <c r="F1917" s="18"/>
      <c r="G1917" s="18"/>
      <c r="H1917" s="18"/>
      <c r="I1917" s="18"/>
      <c r="J1917" s="18"/>
      <c r="K1917" s="7"/>
      <c r="L1917" s="7"/>
      <c r="M1917" s="7"/>
      <c r="N1917" s="7"/>
      <c r="O1917" s="7"/>
      <c r="P1917" s="7"/>
      <c r="Q1917" s="7"/>
      <c r="R1917" s="7"/>
      <c r="S1917" s="7"/>
      <c r="T1917" s="7"/>
      <c r="U1917" s="7"/>
      <c r="V1917" s="7"/>
      <c r="W1917" s="19"/>
      <c r="X1917" s="19"/>
      <c r="Y1917" s="19"/>
      <c r="Z1917" s="19"/>
      <c r="AA1917" s="19"/>
      <c r="AB1917" s="19"/>
      <c r="AC1917" s="7"/>
      <c r="AD1917" s="7"/>
      <c r="AE1917" s="7"/>
      <c r="AF1917" s="7"/>
      <c r="AG1917" s="7"/>
      <c r="AH1917" s="7"/>
      <c r="AI1917" s="7"/>
      <c r="AJ1917" s="7"/>
      <c r="AK1917" s="7"/>
      <c r="AL1917" s="7"/>
      <c r="AM1917" s="7"/>
      <c r="AN1917" s="7"/>
      <c r="AO1917" s="7"/>
      <c r="AP1917" s="7"/>
      <c r="AQ1917" s="7"/>
      <c r="AR1917" s="7"/>
      <c r="AS1917" s="7"/>
      <c r="AT1917" s="2"/>
      <c r="AU1917" s="2"/>
    </row>
    <row r="1918" spans="1:47" ht="12.75" hidden="1" customHeight="1" outlineLevel="1">
      <c r="A1918" s="298"/>
      <c r="B1918" s="2" t="s">
        <v>878</v>
      </c>
      <c r="C1918" s="18"/>
      <c r="D1918" s="18"/>
      <c r="E1918" s="18"/>
      <c r="F1918" s="18"/>
      <c r="G1918" s="18"/>
      <c r="H1918" s="18"/>
      <c r="I1918" s="18"/>
      <c r="J1918" s="18"/>
      <c r="K1918" s="7"/>
      <c r="L1918" s="7"/>
      <c r="M1918" s="7"/>
      <c r="N1918" s="7"/>
      <c r="O1918" s="7"/>
      <c r="P1918" s="7"/>
      <c r="Q1918" s="7"/>
      <c r="R1918" s="7"/>
      <c r="S1918" s="7"/>
      <c r="T1918" s="7"/>
      <c r="U1918" s="7"/>
      <c r="V1918" s="7"/>
      <c r="W1918" s="19"/>
      <c r="X1918" s="2">
        <v>0.34789985800747059</v>
      </c>
      <c r="Y1918" s="2">
        <v>0.34498683237058447</v>
      </c>
      <c r="Z1918" s="2">
        <v>0.27616323728407699</v>
      </c>
      <c r="AA1918" s="2">
        <v>0.25625157957871636</v>
      </c>
      <c r="AB1918" s="2">
        <v>0.23781655305179505</v>
      </c>
      <c r="AC1918" s="7"/>
      <c r="AD1918" s="7"/>
      <c r="AE1918" s="7"/>
      <c r="AF1918" s="7"/>
      <c r="AG1918" s="7"/>
      <c r="AH1918" s="7"/>
      <c r="AI1918" s="7"/>
      <c r="AJ1918" s="7"/>
      <c r="AK1918" s="7"/>
      <c r="AL1918" s="7"/>
      <c r="AM1918" s="7"/>
      <c r="AN1918" s="7"/>
      <c r="AO1918" s="7"/>
      <c r="AP1918" s="7"/>
      <c r="AQ1918" s="7"/>
      <c r="AR1918" s="7"/>
      <c r="AS1918" s="7"/>
      <c r="AT1918" s="2"/>
      <c r="AU1918" s="2"/>
    </row>
    <row r="1919" spans="1:47" ht="12.75" hidden="1" customHeight="1" outlineLevel="1">
      <c r="A1919" s="298"/>
      <c r="B1919" s="2" t="s">
        <v>877</v>
      </c>
      <c r="C1919" s="18"/>
      <c r="D1919" s="18"/>
      <c r="E1919" s="18"/>
      <c r="F1919" s="18"/>
      <c r="G1919" s="18"/>
      <c r="H1919" s="18"/>
      <c r="I1919" s="18"/>
      <c r="J1919" s="18"/>
      <c r="K1919" s="7"/>
      <c r="L1919" s="7"/>
      <c r="M1919" s="7"/>
      <c r="N1919" s="7"/>
      <c r="O1919" s="7"/>
      <c r="P1919" s="7"/>
      <c r="Q1919" s="7"/>
      <c r="R1919" s="7"/>
      <c r="S1919" s="7"/>
      <c r="T1919" s="7"/>
      <c r="U1919" s="7"/>
      <c r="V1919" s="7"/>
      <c r="W1919" s="19"/>
      <c r="X1919" s="2">
        <v>0.1738391367596912</v>
      </c>
      <c r="Y1919" s="2">
        <v>0.1693156687613</v>
      </c>
      <c r="Z1919" s="2">
        <v>0.2174123367058105</v>
      </c>
      <c r="AA1919" s="2">
        <v>0.23658177707660411</v>
      </c>
      <c r="AB1919" s="2">
        <v>0.25750599663225482</v>
      </c>
      <c r="AC1919" s="7"/>
      <c r="AD1919" s="7"/>
      <c r="AE1919" s="7"/>
      <c r="AF1919" s="7"/>
      <c r="AG1919" s="7"/>
      <c r="AH1919" s="7"/>
      <c r="AI1919" s="7"/>
      <c r="AJ1919" s="7"/>
      <c r="AK1919" s="7"/>
      <c r="AL1919" s="7"/>
      <c r="AM1919" s="7"/>
      <c r="AN1919" s="7"/>
      <c r="AO1919" s="7"/>
      <c r="AP1919" s="7"/>
      <c r="AQ1919" s="7"/>
      <c r="AR1919" s="7"/>
      <c r="AS1919" s="7"/>
      <c r="AT1919" s="2"/>
      <c r="AU1919" s="2"/>
    </row>
    <row r="1920" spans="1:47" ht="12.75" hidden="1" customHeight="1" outlineLevel="1">
      <c r="A1920" s="298"/>
      <c r="B1920" s="2" t="s">
        <v>879</v>
      </c>
      <c r="C1920" s="18"/>
      <c r="D1920" s="18"/>
      <c r="E1920" s="18"/>
      <c r="F1920" s="18"/>
      <c r="G1920" s="18"/>
      <c r="H1920" s="18"/>
      <c r="I1920" s="18"/>
      <c r="J1920" s="18"/>
      <c r="K1920" s="7"/>
      <c r="L1920" s="7"/>
      <c r="M1920" s="7"/>
      <c r="N1920" s="7"/>
      <c r="O1920" s="7"/>
      <c r="P1920" s="7"/>
      <c r="Q1920" s="7"/>
      <c r="R1920" s="7"/>
      <c r="S1920" s="7"/>
      <c r="T1920" s="7"/>
      <c r="U1920" s="7"/>
      <c r="V1920" s="7"/>
      <c r="W1920" s="19"/>
      <c r="X1920" s="2">
        <v>0.30325620991963609</v>
      </c>
      <c r="Y1920" s="2">
        <v>0.26508808367053827</v>
      </c>
      <c r="Z1920" s="2">
        <v>0.27997902396499108</v>
      </c>
      <c r="AA1920" s="2">
        <v>0.26244537328894224</v>
      </c>
      <c r="AB1920" s="2">
        <v>0.23174359295156366</v>
      </c>
      <c r="AC1920" s="7"/>
      <c r="AD1920" s="7"/>
      <c r="AE1920" s="7"/>
      <c r="AF1920" s="7"/>
      <c r="AG1920" s="7"/>
      <c r="AH1920" s="7"/>
      <c r="AI1920" s="7"/>
      <c r="AJ1920" s="7"/>
      <c r="AK1920" s="7"/>
      <c r="AL1920" s="7"/>
      <c r="AM1920" s="7"/>
      <c r="AN1920" s="7"/>
      <c r="AO1920" s="7"/>
      <c r="AP1920" s="7"/>
      <c r="AQ1920" s="7"/>
      <c r="AR1920" s="7"/>
      <c r="AS1920" s="7"/>
      <c r="AT1920" s="2"/>
      <c r="AU1920" s="2"/>
    </row>
    <row r="1921" spans="1:47" ht="12.75" hidden="1" customHeight="1" outlineLevel="1">
      <c r="A1921" s="298"/>
      <c r="B1921" s="2"/>
      <c r="C1921" s="18"/>
      <c r="D1921" s="18"/>
      <c r="E1921" s="18"/>
      <c r="F1921" s="18"/>
      <c r="G1921" s="18"/>
      <c r="H1921" s="18"/>
      <c r="I1921" s="18"/>
      <c r="J1921" s="18"/>
      <c r="K1921" s="7"/>
      <c r="L1921" s="7"/>
      <c r="M1921" s="7"/>
      <c r="N1921" s="7"/>
      <c r="O1921" s="7"/>
      <c r="P1921" s="7"/>
      <c r="Q1921" s="7"/>
      <c r="R1921" s="7"/>
      <c r="S1921" s="7"/>
      <c r="T1921" s="7"/>
      <c r="U1921" s="7"/>
      <c r="V1921" s="7"/>
      <c r="W1921" s="19"/>
      <c r="X1921" s="19"/>
      <c r="Y1921" s="19"/>
      <c r="Z1921" s="19"/>
      <c r="AA1921" s="19"/>
      <c r="AB1921" s="19"/>
      <c r="AC1921" s="7"/>
      <c r="AD1921" s="7"/>
      <c r="AE1921" s="7"/>
      <c r="AF1921" s="7"/>
      <c r="AG1921" s="7"/>
      <c r="AH1921" s="7"/>
      <c r="AI1921" s="7"/>
      <c r="AJ1921" s="7"/>
      <c r="AK1921" s="7"/>
      <c r="AL1921" s="7"/>
      <c r="AM1921" s="7"/>
      <c r="AN1921" s="7"/>
      <c r="AO1921" s="7"/>
      <c r="AP1921" s="7"/>
      <c r="AQ1921" s="7"/>
      <c r="AR1921" s="7"/>
      <c r="AS1921" s="7"/>
      <c r="AT1921" s="2"/>
      <c r="AU1921" s="2"/>
    </row>
    <row r="1922" spans="1:47" ht="12.75" hidden="1" customHeight="1" outlineLevel="1">
      <c r="A1922" s="298"/>
      <c r="B1922" s="6" t="s">
        <v>881</v>
      </c>
      <c r="C1922" s="18"/>
      <c r="D1922" s="18"/>
      <c r="E1922" s="18"/>
      <c r="F1922" s="18"/>
      <c r="G1922" s="18"/>
      <c r="H1922" s="18"/>
      <c r="I1922" s="18"/>
      <c r="J1922" s="18"/>
      <c r="K1922" s="7"/>
      <c r="L1922" s="7"/>
      <c r="M1922" s="7"/>
      <c r="N1922" s="7"/>
      <c r="O1922" s="7"/>
      <c r="P1922" s="7"/>
      <c r="Q1922" s="7"/>
      <c r="R1922" s="7"/>
      <c r="S1922" s="7"/>
      <c r="T1922" s="7"/>
      <c r="U1922" s="7"/>
      <c r="V1922" s="7"/>
      <c r="W1922" s="2"/>
      <c r="X1922" s="80"/>
      <c r="Y1922" s="80"/>
      <c r="Z1922" s="80"/>
      <c r="AA1922" s="80"/>
      <c r="AB1922" s="80"/>
      <c r="AC1922" s="7"/>
      <c r="AD1922" s="7"/>
      <c r="AE1922" s="7"/>
      <c r="AF1922" s="7"/>
      <c r="AG1922" s="7"/>
      <c r="AH1922" s="7"/>
      <c r="AI1922" s="7"/>
      <c r="AJ1922" s="7"/>
      <c r="AK1922" s="7"/>
      <c r="AL1922" s="7"/>
      <c r="AM1922" s="7"/>
      <c r="AN1922" s="7"/>
      <c r="AO1922" s="7"/>
      <c r="AP1922" s="7"/>
      <c r="AQ1922" s="7"/>
      <c r="AR1922" s="7"/>
      <c r="AS1922" s="7"/>
      <c r="AT1922" s="2"/>
      <c r="AU1922" s="2"/>
    </row>
    <row r="1923" spans="1:47" ht="12.75" hidden="1" customHeight="1" outlineLevel="1">
      <c r="A1923" s="298"/>
      <c r="B1923" s="2" t="s">
        <v>878</v>
      </c>
      <c r="C1923" s="18"/>
      <c r="D1923" s="18"/>
      <c r="E1923" s="18"/>
      <c r="F1923" s="18"/>
      <c r="G1923" s="18"/>
      <c r="H1923" s="18"/>
      <c r="I1923" s="18"/>
      <c r="J1923" s="18"/>
      <c r="K1923" s="7"/>
      <c r="L1923" s="7"/>
      <c r="M1923" s="7"/>
      <c r="N1923" s="7"/>
      <c r="O1923" s="7"/>
      <c r="P1923" s="7"/>
      <c r="Q1923" s="7"/>
      <c r="R1923" s="7"/>
      <c r="S1923" s="7"/>
      <c r="T1923" s="7"/>
      <c r="U1923" s="7"/>
      <c r="V1923" s="7"/>
      <c r="W1923" s="5">
        <v>0.38181323909202125</v>
      </c>
      <c r="X1923" s="5">
        <v>0.41270730614074408</v>
      </c>
      <c r="Y1923" s="5">
        <v>0.4451370428086901</v>
      </c>
      <c r="Z1923" s="5">
        <v>0.45554733727810648</v>
      </c>
      <c r="AA1923" s="5">
        <v>0.45892707460184406</v>
      </c>
      <c r="AB1923" s="5">
        <v>0.45554733727810648</v>
      </c>
      <c r="AC1923" s="7"/>
      <c r="AD1923" s="7"/>
      <c r="AE1923" s="7"/>
      <c r="AF1923" s="7"/>
      <c r="AG1923" s="7"/>
      <c r="AH1923" s="7"/>
      <c r="AI1923" s="7"/>
      <c r="AJ1923" s="7"/>
      <c r="AK1923" s="7"/>
      <c r="AL1923" s="7"/>
      <c r="AM1923" s="7"/>
      <c r="AN1923" s="7"/>
      <c r="AO1923" s="7"/>
      <c r="AP1923" s="7"/>
      <c r="AQ1923" s="7"/>
      <c r="AR1923" s="7"/>
      <c r="AS1923" s="7"/>
      <c r="AT1923" s="2"/>
      <c r="AU1923" s="2"/>
    </row>
    <row r="1924" spans="1:47" ht="12.75" hidden="1" customHeight="1" outlineLevel="1">
      <c r="A1924" s="298"/>
      <c r="B1924" s="2" t="s">
        <v>877</v>
      </c>
      <c r="C1924" s="18"/>
      <c r="D1924" s="18"/>
      <c r="E1924" s="18"/>
      <c r="F1924" s="18"/>
      <c r="G1924" s="18"/>
      <c r="H1924" s="18"/>
      <c r="I1924" s="18"/>
      <c r="J1924" s="18"/>
      <c r="K1924" s="7"/>
      <c r="L1924" s="7"/>
      <c r="M1924" s="7"/>
      <c r="N1924" s="7"/>
      <c r="O1924" s="7"/>
      <c r="P1924" s="7"/>
      <c r="Q1924" s="7"/>
      <c r="R1924" s="7"/>
      <c r="S1924" s="7"/>
      <c r="T1924" s="7"/>
      <c r="U1924" s="7"/>
      <c r="V1924" s="7"/>
      <c r="W1924" s="530">
        <v>0.56639934756014676</v>
      </c>
      <c r="X1924" s="530">
        <v>0.53316898251904976</v>
      </c>
      <c r="Y1924" s="530">
        <v>0.499954166284719</v>
      </c>
      <c r="Z1924" s="530">
        <v>0.48809171597633133</v>
      </c>
      <c r="AA1924" s="530">
        <v>0.48401389055202965</v>
      </c>
      <c r="AB1924" s="530">
        <v>0.48809171597633133</v>
      </c>
      <c r="AC1924" s="7"/>
      <c r="AD1924" s="7"/>
      <c r="AE1924" s="7"/>
      <c r="AF1924" s="7"/>
      <c r="AG1924" s="7"/>
      <c r="AH1924" s="7"/>
      <c r="AI1924" s="7"/>
      <c r="AJ1924" s="7"/>
      <c r="AK1924" s="7"/>
      <c r="AL1924" s="7"/>
      <c r="AM1924" s="7"/>
      <c r="AN1924" s="7"/>
      <c r="AO1924" s="7"/>
      <c r="AP1924" s="7"/>
      <c r="AQ1924" s="7"/>
      <c r="AR1924" s="7"/>
      <c r="AS1924" s="7"/>
      <c r="AT1924" s="2"/>
      <c r="AU1924" s="2"/>
    </row>
    <row r="1925" spans="1:47" ht="12.75" hidden="1" customHeight="1" outlineLevel="1">
      <c r="A1925" s="298"/>
      <c r="B1925" s="2" t="s">
        <v>879</v>
      </c>
      <c r="C1925" s="18"/>
      <c r="D1925" s="18"/>
      <c r="E1925" s="18"/>
      <c r="F1925" s="18"/>
      <c r="G1925" s="18"/>
      <c r="H1925" s="18"/>
      <c r="I1925" s="18"/>
      <c r="J1925" s="18"/>
      <c r="K1925" s="7"/>
      <c r="L1925" s="7"/>
      <c r="M1925" s="7"/>
      <c r="N1925" s="7"/>
      <c r="O1925" s="7"/>
      <c r="P1925" s="7"/>
      <c r="Q1925" s="7"/>
      <c r="R1925" s="7"/>
      <c r="S1925" s="7"/>
      <c r="T1925" s="7"/>
      <c r="U1925" s="7"/>
      <c r="V1925" s="7"/>
      <c r="W1925" s="530">
        <v>5.1787413347831997E-2</v>
      </c>
      <c r="X1925" s="530">
        <v>5.4123711340206181E-2</v>
      </c>
      <c r="Y1925" s="530">
        <v>5.4908790906590885E-2</v>
      </c>
      <c r="Z1925" s="530">
        <v>5.6360946745562135E-2</v>
      </c>
      <c r="AA1925" s="530">
        <v>5.7059034846126212E-2</v>
      </c>
      <c r="AB1925" s="530">
        <v>5.6360946745562135E-2</v>
      </c>
      <c r="AC1925" s="7"/>
      <c r="AD1925" s="7"/>
      <c r="AE1925" s="7"/>
      <c r="AF1925" s="7"/>
      <c r="AG1925" s="7"/>
      <c r="AH1925" s="7"/>
      <c r="AI1925" s="7"/>
      <c r="AJ1925" s="7"/>
      <c r="AK1925" s="7"/>
      <c r="AL1925" s="7"/>
      <c r="AM1925" s="7"/>
      <c r="AN1925" s="7"/>
      <c r="AO1925" s="7"/>
      <c r="AP1925" s="7"/>
      <c r="AQ1925" s="7"/>
      <c r="AR1925" s="7"/>
      <c r="AS1925" s="7"/>
      <c r="AT1925" s="2"/>
      <c r="AU1925" s="2"/>
    </row>
    <row r="1926" spans="1:47" ht="12.75" hidden="1" customHeight="1" outlineLevel="1">
      <c r="A1926" s="298"/>
      <c r="B1926" s="55"/>
      <c r="C1926" s="18"/>
      <c r="D1926" s="18"/>
      <c r="E1926" s="18"/>
      <c r="F1926" s="18"/>
      <c r="G1926" s="18"/>
      <c r="H1926" s="18"/>
      <c r="I1926" s="18"/>
      <c r="J1926" s="18"/>
      <c r="K1926" s="7"/>
      <c r="L1926" s="7"/>
      <c r="M1926" s="7"/>
      <c r="N1926" s="7"/>
      <c r="O1926" s="7"/>
      <c r="P1926" s="7"/>
      <c r="Q1926" s="7"/>
      <c r="R1926" s="7"/>
      <c r="S1926" s="7"/>
      <c r="T1926" s="7"/>
      <c r="U1926" s="7"/>
      <c r="V1926" s="7"/>
      <c r="W1926" s="7"/>
      <c r="X1926" s="7"/>
      <c r="Y1926" s="7"/>
      <c r="Z1926" s="7"/>
      <c r="AA1926" s="7"/>
      <c r="AB1926" s="7"/>
      <c r="AC1926" s="7"/>
      <c r="AD1926" s="7"/>
      <c r="AE1926" s="7"/>
      <c r="AF1926" s="7"/>
      <c r="AG1926" s="7"/>
      <c r="AH1926" s="7"/>
      <c r="AI1926" s="7"/>
      <c r="AJ1926" s="7"/>
      <c r="AK1926" s="7"/>
      <c r="AL1926" s="7"/>
      <c r="AM1926" s="7"/>
      <c r="AN1926" s="7"/>
      <c r="AO1926" s="7"/>
      <c r="AP1926" s="7"/>
      <c r="AQ1926" s="7"/>
      <c r="AR1926" s="7"/>
      <c r="AS1926" s="7"/>
      <c r="AT1926" s="2"/>
      <c r="AU1926" s="2"/>
    </row>
    <row r="1927" spans="1:47" ht="12.75" hidden="1" customHeight="1" outlineLevel="1">
      <c r="A1927" s="298"/>
      <c r="B1927" s="2"/>
      <c r="C1927" s="18"/>
      <c r="D1927" s="18"/>
      <c r="E1927" s="18"/>
      <c r="F1927" s="18"/>
      <c r="G1927" s="18"/>
      <c r="H1927" s="18"/>
      <c r="I1927" s="18"/>
      <c r="J1927" s="18"/>
      <c r="K1927" s="7"/>
      <c r="L1927" s="7"/>
      <c r="M1927" s="7"/>
      <c r="N1927" s="7"/>
      <c r="O1927" s="7"/>
      <c r="P1927" s="6"/>
      <c r="Q1927" s="6"/>
      <c r="R1927" s="7"/>
      <c r="S1927" s="7"/>
      <c r="T1927" s="7"/>
      <c r="U1927" s="7"/>
      <c r="V1927" s="7"/>
      <c r="W1927" s="7"/>
      <c r="X1927" s="7"/>
      <c r="Y1927" s="7"/>
      <c r="Z1927" s="7"/>
      <c r="AA1927" s="7"/>
      <c r="AB1927" s="7"/>
      <c r="AC1927" s="7"/>
      <c r="AD1927" s="7"/>
      <c r="AE1927" s="7"/>
      <c r="AF1927" s="7"/>
      <c r="AG1927" s="7"/>
      <c r="AH1927" s="7"/>
      <c r="AI1927" s="7"/>
      <c r="AJ1927" s="7"/>
      <c r="AK1927" s="7"/>
      <c r="AL1927" s="7"/>
      <c r="AM1927" s="7"/>
      <c r="AN1927" s="7"/>
      <c r="AO1927" s="7"/>
      <c r="AP1927" s="7"/>
      <c r="AQ1927" s="7"/>
      <c r="AR1927" s="7"/>
      <c r="AS1927" s="7"/>
      <c r="AT1927" s="2"/>
      <c r="AU1927" s="2"/>
    </row>
    <row r="1928" spans="1:47" hidden="1" outlineLevel="1">
      <c r="A1928" s="298"/>
      <c r="B1928" s="215" t="s">
        <v>460</v>
      </c>
      <c r="C1928" s="169" t="s">
        <v>732</v>
      </c>
      <c r="D1928" s="169"/>
      <c r="E1928" s="169"/>
      <c r="F1928" s="169"/>
      <c r="G1928" s="169"/>
      <c r="H1928" s="169"/>
      <c r="I1928" s="169"/>
      <c r="J1928" s="169"/>
      <c r="K1928" s="555">
        <v>235</v>
      </c>
      <c r="L1928" s="555">
        <v>306</v>
      </c>
      <c r="M1928" s="555">
        <v>477</v>
      </c>
      <c r="N1928" s="555">
        <v>487</v>
      </c>
      <c r="O1928" s="555">
        <v>601</v>
      </c>
      <c r="P1928" s="27">
        <v>1056</v>
      </c>
      <c r="Q1928" s="27">
        <v>1158</v>
      </c>
      <c r="R1928" s="555">
        <v>1222</v>
      </c>
      <c r="S1928" s="555">
        <v>1238</v>
      </c>
      <c r="T1928" s="555">
        <v>1202</v>
      </c>
      <c r="U1928" s="555">
        <v>1033</v>
      </c>
      <c r="V1928" s="555">
        <v>1143</v>
      </c>
      <c r="W1928" s="554">
        <v>1263</v>
      </c>
      <c r="X1928" s="554">
        <v>1487</v>
      </c>
      <c r="Y1928" s="554">
        <v>1896</v>
      </c>
      <c r="Z1928" s="554">
        <v>2418</v>
      </c>
      <c r="AA1928" s="554">
        <v>2581</v>
      </c>
      <c r="AB1928" s="554">
        <v>3358</v>
      </c>
      <c r="AC1928" s="554">
        <v>3627</v>
      </c>
      <c r="AD1928" s="554">
        <v>3477</v>
      </c>
      <c r="AE1928" s="554">
        <v>3379</v>
      </c>
      <c r="AF1928" s="214">
        <v>3379</v>
      </c>
      <c r="AG1928" s="214">
        <v>3379</v>
      </c>
      <c r="AH1928" s="214">
        <v>3379</v>
      </c>
      <c r="AI1928" s="214">
        <v>3379</v>
      </c>
      <c r="AJ1928" s="214">
        <v>3379</v>
      </c>
      <c r="AK1928" s="214">
        <v>3379</v>
      </c>
      <c r="AL1928" s="214">
        <v>3379</v>
      </c>
      <c r="AM1928" s="214">
        <v>3379</v>
      </c>
      <c r="AN1928" s="214">
        <v>3379</v>
      </c>
      <c r="AO1928" s="214">
        <v>3379</v>
      </c>
      <c r="AP1928" s="214">
        <v>3379</v>
      </c>
      <c r="AQ1928" s="214">
        <v>3379</v>
      </c>
      <c r="AR1928" s="214">
        <v>3379</v>
      </c>
      <c r="AS1928" s="214">
        <v>3379</v>
      </c>
      <c r="AT1928" s="2"/>
      <c r="AU1928" s="2"/>
    </row>
    <row r="1929" spans="1:47" hidden="1" outlineLevel="1">
      <c r="A1929" s="308"/>
      <c r="B1929" s="322" t="s">
        <v>1099</v>
      </c>
      <c r="C1929" s="310" t="s">
        <v>733</v>
      </c>
      <c r="D1929" s="310"/>
      <c r="E1929" s="310"/>
      <c r="F1929" s="310"/>
      <c r="G1929" s="310"/>
      <c r="H1929" s="310"/>
      <c r="I1929" s="310"/>
      <c r="J1929" s="310"/>
      <c r="K1929" s="311"/>
      <c r="L1929" s="311">
        <v>0.30212765957446819</v>
      </c>
      <c r="M1929" s="311">
        <v>0.55882352941176472</v>
      </c>
      <c r="N1929" s="311">
        <v>2.0964360587002018E-2</v>
      </c>
      <c r="O1929" s="311">
        <v>0.23408624229979469</v>
      </c>
      <c r="P1929" s="311">
        <v>0.75707154742096505</v>
      </c>
      <c r="Q1929" s="311">
        <v>9.6590909090909172E-2</v>
      </c>
      <c r="R1929" s="311">
        <v>5.5267702936096619E-2</v>
      </c>
      <c r="S1929" s="311">
        <v>1.3093289689034338E-2</v>
      </c>
      <c r="T1929" s="311">
        <v>-2.9079159935379684E-2</v>
      </c>
      <c r="U1929" s="311">
        <v>-0.1405990016638935</v>
      </c>
      <c r="V1929" s="311">
        <v>0.10648596321393988</v>
      </c>
      <c r="W1929" s="311">
        <v>0.10498687664042006</v>
      </c>
      <c r="X1929" s="311">
        <v>0.17735550277117973</v>
      </c>
      <c r="Y1929" s="311">
        <v>0.2750504371217215</v>
      </c>
      <c r="Z1929" s="311">
        <v>0.27531645569620244</v>
      </c>
      <c r="AA1929" s="311">
        <v>6.7411083540115824E-2</v>
      </c>
      <c r="AB1929" s="311">
        <v>0.30104610616040284</v>
      </c>
      <c r="AC1929" s="311">
        <v>8.0107206670637199E-2</v>
      </c>
      <c r="AD1929" s="311">
        <v>-4.1356492969396141E-2</v>
      </c>
      <c r="AE1929" s="311">
        <v>-2.8185217141213692E-2</v>
      </c>
      <c r="AF1929" s="623">
        <v>0</v>
      </c>
      <c r="AG1929" s="623">
        <v>0</v>
      </c>
      <c r="AH1929" s="623">
        <v>0</v>
      </c>
      <c r="AI1929" s="623">
        <v>0</v>
      </c>
      <c r="AJ1929" s="623">
        <v>0</v>
      </c>
      <c r="AK1929" s="623">
        <v>0</v>
      </c>
      <c r="AL1929" s="623">
        <v>0</v>
      </c>
      <c r="AM1929" s="623">
        <v>0</v>
      </c>
      <c r="AN1929" s="623">
        <v>0</v>
      </c>
      <c r="AO1929" s="623">
        <v>0</v>
      </c>
      <c r="AP1929" s="623">
        <v>0</v>
      </c>
      <c r="AQ1929" s="623">
        <v>0</v>
      </c>
      <c r="AR1929" s="623">
        <v>0</v>
      </c>
      <c r="AS1929" s="623">
        <v>0</v>
      </c>
      <c r="AT1929" s="312"/>
      <c r="AU1929" s="514"/>
    </row>
    <row r="1930" spans="1:47" hidden="1" outlineLevel="1">
      <c r="A1930" s="298"/>
      <c r="B1930" s="2"/>
      <c r="C1930" s="18"/>
      <c r="D1930" s="18"/>
      <c r="E1930" s="18"/>
      <c r="F1930" s="18"/>
      <c r="G1930" s="18"/>
      <c r="H1930" s="18"/>
      <c r="I1930" s="18"/>
      <c r="J1930" s="18"/>
      <c r="K1930" s="7"/>
      <c r="L1930" s="7"/>
      <c r="M1930" s="7"/>
      <c r="N1930" s="7"/>
      <c r="O1930" s="7"/>
      <c r="P1930" s="7"/>
      <c r="Q1930" s="7"/>
      <c r="R1930" s="7"/>
      <c r="S1930" s="7"/>
      <c r="T1930" s="7"/>
      <c r="U1930" s="7"/>
      <c r="V1930" s="7"/>
      <c r="W1930" s="7"/>
      <c r="X1930" s="31">
        <v>1487</v>
      </c>
      <c r="Y1930" s="31">
        <v>1896</v>
      </c>
      <c r="Z1930" s="31">
        <v>2418</v>
      </c>
      <c r="AA1930" s="31">
        <v>2581</v>
      </c>
      <c r="AB1930" s="31">
        <v>3358</v>
      </c>
      <c r="AC1930" s="31">
        <v>3626.9999999999995</v>
      </c>
      <c r="AD1930" s="31">
        <v>3477</v>
      </c>
      <c r="AE1930" s="31">
        <v>3379</v>
      </c>
      <c r="AF1930" s="31">
        <v>3379</v>
      </c>
      <c r="AG1930" s="31">
        <v>3379</v>
      </c>
      <c r="AH1930" s="31">
        <v>3379.0000000000005</v>
      </c>
      <c r="AI1930" s="31">
        <v>3379</v>
      </c>
      <c r="AJ1930" s="31">
        <v>3379</v>
      </c>
      <c r="AK1930" s="31">
        <v>3379.0000000000005</v>
      </c>
      <c r="AL1930" s="31">
        <v>3379.0000000000005</v>
      </c>
      <c r="AM1930" s="31">
        <v>3379.0000000000005</v>
      </c>
      <c r="AN1930" s="31">
        <v>3379</v>
      </c>
      <c r="AO1930" s="31">
        <v>3379</v>
      </c>
      <c r="AP1930" s="31">
        <v>3379</v>
      </c>
      <c r="AQ1930" s="31">
        <v>3379</v>
      </c>
      <c r="AR1930" s="31">
        <v>3379</v>
      </c>
      <c r="AS1930" s="31">
        <v>3379</v>
      </c>
      <c r="AT1930" s="2"/>
      <c r="AU1930" s="2"/>
    </row>
    <row r="1931" spans="1:47" hidden="1" outlineLevel="1">
      <c r="A1931" s="298"/>
      <c r="B1931" s="2"/>
      <c r="C1931" s="18"/>
      <c r="D1931" s="18"/>
      <c r="E1931" s="18"/>
      <c r="F1931" s="18"/>
      <c r="G1931" s="18"/>
      <c r="H1931" s="18"/>
      <c r="I1931" s="18"/>
      <c r="J1931" s="18"/>
      <c r="K1931" s="7"/>
      <c r="L1931" s="7"/>
      <c r="M1931" s="7"/>
      <c r="N1931" s="7"/>
      <c r="O1931" s="7"/>
      <c r="P1931" s="7"/>
      <c r="Q1931" s="7"/>
      <c r="R1931" s="7"/>
      <c r="S1931" s="7"/>
      <c r="T1931" s="7"/>
      <c r="U1931" s="7"/>
      <c r="V1931" s="7"/>
      <c r="W1931" s="29"/>
      <c r="X1931" s="463">
        <v>0</v>
      </c>
      <c r="Y1931" s="463">
        <v>379.20000000000005</v>
      </c>
      <c r="Z1931" s="463">
        <v>241.8</v>
      </c>
      <c r="AA1931" s="463">
        <v>141.95500000000001</v>
      </c>
      <c r="AB1931" s="463">
        <v>290.46699999999998</v>
      </c>
      <c r="AC1931" s="463">
        <v>365</v>
      </c>
      <c r="AD1931" s="463">
        <v>360</v>
      </c>
      <c r="AE1931" s="463">
        <v>593</v>
      </c>
      <c r="AF1931" s="463">
        <v>675.80000000000007</v>
      </c>
      <c r="AG1931" s="463">
        <v>709.59</v>
      </c>
      <c r="AH1931" s="463">
        <v>743.38000000000011</v>
      </c>
      <c r="AI1931" s="463">
        <v>777.17000000000007</v>
      </c>
      <c r="AJ1931" s="463">
        <v>777.17000000000007</v>
      </c>
      <c r="AK1931" s="463">
        <v>777.17000000000007</v>
      </c>
      <c r="AL1931" s="463">
        <v>777.17000000000007</v>
      </c>
      <c r="AM1931" s="463">
        <v>777.17000000000007</v>
      </c>
      <c r="AN1931" s="463">
        <v>777.17000000000007</v>
      </c>
      <c r="AO1931" s="463">
        <v>777.17000000000007</v>
      </c>
      <c r="AP1931" s="463">
        <v>777.17000000000007</v>
      </c>
      <c r="AQ1931" s="463">
        <v>777.17000000000007</v>
      </c>
      <c r="AR1931" s="463">
        <v>777.17000000000007</v>
      </c>
      <c r="AS1931" s="463">
        <v>777.17000000000007</v>
      </c>
      <c r="AT1931" s="2"/>
      <c r="AU1931" s="2"/>
    </row>
    <row r="1932" spans="1:47" hidden="1" outlineLevel="1">
      <c r="A1932" s="298"/>
      <c r="B1932" s="2"/>
      <c r="C1932" s="18"/>
      <c r="D1932" s="18"/>
      <c r="E1932" s="18"/>
      <c r="F1932" s="18"/>
      <c r="G1932" s="18"/>
      <c r="H1932" s="18"/>
      <c r="I1932" s="18"/>
      <c r="J1932" s="18"/>
      <c r="K1932" s="7"/>
      <c r="L1932" s="7"/>
      <c r="M1932" s="7"/>
      <c r="N1932" s="7"/>
      <c r="O1932" s="7"/>
      <c r="P1932" s="7"/>
      <c r="Q1932" s="7"/>
      <c r="R1932" s="7"/>
      <c r="S1932" s="7"/>
      <c r="T1932" s="7"/>
      <c r="U1932" s="7"/>
      <c r="V1932" s="7"/>
      <c r="W1932" s="7"/>
      <c r="X1932" s="56">
        <v>297.40000000000003</v>
      </c>
      <c r="Y1932" s="56">
        <v>379.20000000000005</v>
      </c>
      <c r="Z1932" s="56">
        <v>241.8</v>
      </c>
      <c r="AA1932" s="56">
        <v>141.95500000000001</v>
      </c>
      <c r="AB1932" s="56">
        <v>290.46699999999998</v>
      </c>
      <c r="AC1932" s="56">
        <v>365</v>
      </c>
      <c r="AD1932" s="56">
        <v>360</v>
      </c>
      <c r="AE1932" s="56">
        <v>593</v>
      </c>
      <c r="AF1932" s="56">
        <v>675.80000000000007</v>
      </c>
      <c r="AG1932" s="56">
        <v>709.59</v>
      </c>
      <c r="AH1932" s="56">
        <v>743.38000000000022</v>
      </c>
      <c r="AI1932" s="56">
        <v>777.17000000000007</v>
      </c>
      <c r="AJ1932" s="56">
        <v>777.17000000000007</v>
      </c>
      <c r="AK1932" s="56">
        <v>777.17000000000019</v>
      </c>
      <c r="AL1932" s="56">
        <v>777.17000000000019</v>
      </c>
      <c r="AM1932" s="56">
        <v>777.17000000000019</v>
      </c>
      <c r="AN1932" s="56">
        <v>777.17000000000007</v>
      </c>
      <c r="AO1932" s="56">
        <v>777.17000000000007</v>
      </c>
      <c r="AP1932" s="56">
        <v>777.17000000000007</v>
      </c>
      <c r="AQ1932" s="56">
        <v>777.17000000000007</v>
      </c>
      <c r="AR1932" s="56">
        <v>777.17000000000007</v>
      </c>
      <c r="AS1932" s="56">
        <v>777.17000000000007</v>
      </c>
      <c r="AT1932" s="2"/>
      <c r="AU1932" s="2"/>
    </row>
    <row r="1935" spans="1:47">
      <c r="B1935" s="520" t="s">
        <v>684</v>
      </c>
    </row>
    <row r="1936" spans="1:47">
      <c r="B1936" t="s">
        <v>1466</v>
      </c>
      <c r="Z1936">
        <f>Z135</f>
        <v>61.938257131692069</v>
      </c>
      <c r="AA1936">
        <f t="shared" ref="AA1936:AP1936" si="598">AA135</f>
        <v>61.757369614512477</v>
      </c>
      <c r="AB1936">
        <f t="shared" si="598"/>
        <v>60.715479772651285</v>
      </c>
      <c r="AC1936">
        <f t="shared" si="598"/>
        <v>55.569959381211646</v>
      </c>
      <c r="AD1936">
        <f t="shared" si="598"/>
        <v>53.61</v>
      </c>
      <c r="AE1936">
        <f t="shared" si="598"/>
        <v>48.96</v>
      </c>
      <c r="AF1936">
        <f t="shared" si="598"/>
        <v>47.16</v>
      </c>
      <c r="AG1936">
        <f t="shared" si="598"/>
        <v>48.53</v>
      </c>
      <c r="AH1936">
        <f t="shared" si="598"/>
        <v>51.15</v>
      </c>
      <c r="AI1936">
        <f t="shared" si="598"/>
        <v>52.85</v>
      </c>
      <c r="AJ1936">
        <f t="shared" si="598"/>
        <v>54.15</v>
      </c>
      <c r="AK1936">
        <f t="shared" si="598"/>
        <v>56.316000000000003</v>
      </c>
      <c r="AL1936">
        <f t="shared" si="598"/>
        <v>58.005480000000006</v>
      </c>
      <c r="AM1936">
        <f t="shared" si="598"/>
        <v>59.74564440000001</v>
      </c>
      <c r="AN1936">
        <f t="shared" si="598"/>
        <v>61.53801373200001</v>
      </c>
      <c r="AO1936">
        <f t="shared" si="598"/>
        <v>63.384154143960011</v>
      </c>
      <c r="AP1936">
        <f t="shared" si="598"/>
        <v>65.285678768278814</v>
      </c>
      <c r="AQ1936">
        <f t="shared" ref="AQ1936:AR1936" si="599">AQ135</f>
        <v>67.24424913132718</v>
      </c>
      <c r="AR1936">
        <f t="shared" si="599"/>
        <v>69.261576605266995</v>
      </c>
      <c r="AS1936">
        <f t="shared" ref="AS1936" si="600">AS135</f>
        <v>71.339423903425001</v>
      </c>
    </row>
    <row r="1937" spans="1:47">
      <c r="B1937" t="s">
        <v>1217</v>
      </c>
      <c r="Z1937">
        <f>Z149</f>
        <v>21.244763614602043</v>
      </c>
      <c r="AA1937">
        <f t="shared" ref="AA1937:AP1937" si="601">AA149</f>
        <v>20.242316784869985</v>
      </c>
      <c r="AB1937">
        <f t="shared" si="601"/>
        <v>22.107284710401125</v>
      </c>
      <c r="AC1937">
        <f t="shared" si="601"/>
        <v>22.75</v>
      </c>
      <c r="AD1937">
        <f t="shared" si="601"/>
        <v>20.76</v>
      </c>
      <c r="AE1937">
        <f t="shared" si="601"/>
        <v>19.46</v>
      </c>
      <c r="AF1937">
        <f t="shared" si="601"/>
        <v>20.83</v>
      </c>
      <c r="AG1937">
        <f t="shared" si="601"/>
        <v>23.81</v>
      </c>
      <c r="AH1937">
        <f t="shared" si="601"/>
        <v>26.04</v>
      </c>
      <c r="AI1937">
        <f t="shared" si="601"/>
        <v>27.02</v>
      </c>
      <c r="AJ1937">
        <f t="shared" si="601"/>
        <v>29.289680000000001</v>
      </c>
      <c r="AK1937">
        <f t="shared" si="601"/>
        <v>31.750013120000002</v>
      </c>
      <c r="AL1937">
        <f t="shared" si="601"/>
        <v>34.417014222080006</v>
      </c>
      <c r="AM1937">
        <f t="shared" si="601"/>
        <v>37.308043416734726</v>
      </c>
      <c r="AN1937">
        <f t="shared" si="601"/>
        <v>40.441919063740443</v>
      </c>
      <c r="AO1937">
        <f t="shared" si="601"/>
        <v>43.839040265094646</v>
      </c>
      <c r="AP1937">
        <f t="shared" si="601"/>
        <v>47.521519647362602</v>
      </c>
      <c r="AQ1937">
        <f t="shared" ref="AQ1937:AR1937" si="602">AQ149</f>
        <v>51.513327297741064</v>
      </c>
      <c r="AR1937">
        <f t="shared" si="602"/>
        <v>55.840446790751315</v>
      </c>
      <c r="AS1937">
        <f t="shared" ref="AS1937" si="603">AS149</f>
        <v>60.531044321174427</v>
      </c>
    </row>
    <row r="1938" spans="1:47">
      <c r="B1938" t="s">
        <v>267</v>
      </c>
      <c r="Z1938">
        <f>Z163</f>
        <v>28.495692511597088</v>
      </c>
      <c r="AA1938">
        <f t="shared" ref="AA1938:AP1938" si="604">AA163</f>
        <v>24.494142705005324</v>
      </c>
      <c r="AB1938">
        <f t="shared" si="604"/>
        <v>20.957451303502765</v>
      </c>
      <c r="AC1938">
        <f t="shared" si="604"/>
        <v>16.68157995653841</v>
      </c>
      <c r="AD1938">
        <f t="shared" si="604"/>
        <v>14.915780141843973</v>
      </c>
      <c r="AE1938">
        <f t="shared" si="604"/>
        <v>15.720953082780643</v>
      </c>
      <c r="AF1938">
        <f t="shared" si="604"/>
        <v>16.502184112603139</v>
      </c>
      <c r="AG1938">
        <f t="shared" si="604"/>
        <v>18.020248706943985</v>
      </c>
      <c r="AH1938">
        <f t="shared" si="604"/>
        <v>18.537130094919036</v>
      </c>
      <c r="AI1938">
        <f t="shared" si="604"/>
        <v>18.756512678013198</v>
      </c>
      <c r="AJ1938">
        <f t="shared" si="604"/>
        <v>18.116613872722475</v>
      </c>
      <c r="AK1938">
        <f t="shared" si="604"/>
        <v>17.498545910299065</v>
      </c>
      <c r="AL1938">
        <f t="shared" si="604"/>
        <v>16.901564007823612</v>
      </c>
      <c r="AM1938">
        <f t="shared" si="604"/>
        <v>16.324948791455117</v>
      </c>
      <c r="AN1938">
        <f t="shared" si="604"/>
        <v>15.76800542957262</v>
      </c>
      <c r="AO1938">
        <f t="shared" si="604"/>
        <v>15.23006279549071</v>
      </c>
      <c r="AP1938">
        <f t="shared" si="604"/>
        <v>14.710472658739899</v>
      </c>
      <c r="AQ1938">
        <f t="shared" ref="AQ1938:AR1938" si="605">AQ163</f>
        <v>14.208608903937339</v>
      </c>
      <c r="AR1938">
        <f t="shared" si="605"/>
        <v>13.723866776306622</v>
      </c>
      <c r="AS1938">
        <f t="shared" ref="AS1938" si="606">AS163</f>
        <v>13.255662152937482</v>
      </c>
    </row>
    <row r="1939" spans="1:47">
      <c r="B1939" t="s">
        <v>1467</v>
      </c>
      <c r="Z1939">
        <f>Z177</f>
        <v>6.7070275403608743</v>
      </c>
      <c r="AA1939">
        <f t="shared" ref="AA1939:AP1939" si="607">AA177</f>
        <v>6.3127690100430414</v>
      </c>
      <c r="AB1939">
        <f t="shared" si="607"/>
        <v>5.8975601874293098</v>
      </c>
      <c r="AC1939">
        <f t="shared" si="607"/>
        <v>6.6190376129438953</v>
      </c>
      <c r="AD1939">
        <f t="shared" si="607"/>
        <v>6.5462622011806646</v>
      </c>
      <c r="AE1939">
        <f t="shared" si="607"/>
        <v>5.8559861191440135</v>
      </c>
      <c r="AF1939">
        <f t="shared" si="607"/>
        <v>4.8463356973995264</v>
      </c>
      <c r="AG1939">
        <f t="shared" si="607"/>
        <v>4.3048059624775119</v>
      </c>
      <c r="AH1939">
        <f t="shared" si="607"/>
        <v>3.6779995841131212</v>
      </c>
      <c r="AI1939">
        <f t="shared" si="607"/>
        <v>3.0632578648350717</v>
      </c>
      <c r="AJ1939">
        <f t="shared" si="607"/>
        <v>2.6831501831501834</v>
      </c>
      <c r="AK1939">
        <f t="shared" si="607"/>
        <v>2.6294871794871795</v>
      </c>
      <c r="AL1939">
        <f t="shared" si="607"/>
        <v>2.5768974358974357</v>
      </c>
      <c r="AM1939">
        <f t="shared" si="607"/>
        <v>2.5768974358974357</v>
      </c>
      <c r="AN1939">
        <f t="shared" si="607"/>
        <v>2.5768974358974357</v>
      </c>
      <c r="AO1939">
        <f t="shared" si="607"/>
        <v>2.5768974358974357</v>
      </c>
      <c r="AP1939">
        <f t="shared" si="607"/>
        <v>2.5768974358974357</v>
      </c>
      <c r="AQ1939">
        <f t="shared" ref="AQ1939:AR1939" si="608">AQ177</f>
        <v>2.5768974358974357</v>
      </c>
      <c r="AR1939">
        <f t="shared" si="608"/>
        <v>2.5768974358974357</v>
      </c>
      <c r="AS1939">
        <f t="shared" ref="AS1939" si="609">AS177</f>
        <v>2.5768974358974357</v>
      </c>
    </row>
    <row r="1940" spans="1:47">
      <c r="B1940" t="s">
        <v>1468</v>
      </c>
      <c r="Z1940">
        <f>Z197</f>
        <v>39.742333292498671</v>
      </c>
      <c r="AA1940">
        <f t="shared" ref="AA1940:AP1940" si="610">AA197</f>
        <v>37.790754831986476</v>
      </c>
      <c r="AB1940">
        <f t="shared" si="610"/>
        <v>36.596642297801026</v>
      </c>
      <c r="AC1940">
        <f t="shared" si="610"/>
        <v>33.599316044457105</v>
      </c>
      <c r="AD1940">
        <f t="shared" si="610"/>
        <v>31.933581109816753</v>
      </c>
      <c r="AE1940">
        <f t="shared" si="610"/>
        <v>29.523860888637202</v>
      </c>
      <c r="AF1940">
        <f t="shared" si="610"/>
        <v>28.355422587230457</v>
      </c>
      <c r="AG1940">
        <f t="shared" si="610"/>
        <v>27.656051683049135</v>
      </c>
      <c r="AH1940">
        <f t="shared" si="610"/>
        <v>27.634194263675298</v>
      </c>
      <c r="AI1940">
        <f t="shared" si="610"/>
        <v>27.6714496503646</v>
      </c>
      <c r="AJ1940">
        <f t="shared" si="610"/>
        <v>27.109735164432244</v>
      </c>
      <c r="AK1940">
        <f t="shared" si="610"/>
        <v>27.359532356561587</v>
      </c>
      <c r="AL1940">
        <f t="shared" si="610"/>
        <v>27.663728951215813</v>
      </c>
      <c r="AM1940">
        <f t="shared" si="610"/>
        <v>28.211391939369122</v>
      </c>
      <c r="AN1940">
        <f t="shared" si="610"/>
        <v>28.776333746034243</v>
      </c>
      <c r="AO1940">
        <f t="shared" si="610"/>
        <v>29.358379121502857</v>
      </c>
      <c r="AP1940">
        <f t="shared" si="610"/>
        <v>29.957389464586779</v>
      </c>
      <c r="AQ1940">
        <f t="shared" ref="AQ1940:AR1940" si="611">AQ197</f>
        <v>30.573264208645245</v>
      </c>
      <c r="AR1940">
        <f t="shared" si="611"/>
        <v>31.205942210632617</v>
      </c>
      <c r="AS1940">
        <f t="shared" ref="AS1940" si="612">AS197</f>
        <v>31.855403132045861</v>
      </c>
    </row>
    <row r="1941" spans="1:47">
      <c r="B1941" t="s">
        <v>683</v>
      </c>
      <c r="Z1941">
        <f>Z209</f>
        <v>22.906793048973142</v>
      </c>
      <c r="AA1941">
        <f t="shared" ref="AA1941:AP1941" si="613">AA209</f>
        <v>20.100502512562812</v>
      </c>
      <c r="AB1941">
        <f t="shared" si="613"/>
        <v>18.838304552590266</v>
      </c>
      <c r="AC1941">
        <f t="shared" si="613"/>
        <v>18.345952242283051</v>
      </c>
      <c r="AD1941">
        <f t="shared" si="613"/>
        <v>15.395220588235292</v>
      </c>
      <c r="AE1941">
        <f t="shared" si="613"/>
        <v>13.591635916359165</v>
      </c>
      <c r="AF1941">
        <f t="shared" si="613"/>
        <v>13.675476336816226</v>
      </c>
      <c r="AG1941">
        <f t="shared" si="613"/>
        <v>13.829022988505747</v>
      </c>
      <c r="AH1941">
        <f t="shared" si="613"/>
        <v>14.68997086974615</v>
      </c>
      <c r="AI1941">
        <f t="shared" si="613"/>
        <v>16.486810551558751</v>
      </c>
      <c r="AJ1941">
        <f t="shared" si="613"/>
        <v>17.285912974369165</v>
      </c>
      <c r="AK1941">
        <f t="shared" si="613"/>
        <v>18.123747247718196</v>
      </c>
      <c r="AL1941">
        <f t="shared" si="613"/>
        <v>19.002190673192381</v>
      </c>
      <c r="AM1941">
        <f t="shared" si="613"/>
        <v>19.923211543673474</v>
      </c>
      <c r="AN1941">
        <f t="shared" si="613"/>
        <v>20.888873553613212</v>
      </c>
      <c r="AO1941">
        <f t="shared" si="613"/>
        <v>21.90134042307054</v>
      </c>
      <c r="AP1941">
        <f t="shared" si="613"/>
        <v>22.962880745872191</v>
      </c>
      <c r="AQ1941">
        <f t="shared" ref="AQ1941:AR1941" si="614">AQ209</f>
        <v>24.075873072759713</v>
      </c>
      <c r="AR1941">
        <f t="shared" si="614"/>
        <v>25.24281124091252</v>
      </c>
      <c r="AS1941">
        <f t="shared" ref="AS1941" si="615">AS209</f>
        <v>26.466309961788649</v>
      </c>
    </row>
    <row r="1943" spans="1:47">
      <c r="A1943" s="299" t="s">
        <v>1163</v>
      </c>
      <c r="B1943" s="1073" t="s">
        <v>42</v>
      </c>
      <c r="C1943" s="1074"/>
      <c r="D1943" s="1073"/>
      <c r="E1943" s="1073"/>
      <c r="F1943" s="1073"/>
      <c r="G1943" s="1073"/>
      <c r="H1943" s="1073"/>
      <c r="I1943" s="1073"/>
      <c r="J1943" s="1073"/>
      <c r="K1943" s="1073"/>
      <c r="L1943" s="1073"/>
      <c r="M1943" s="1073"/>
      <c r="N1943" s="1073"/>
      <c r="O1943" s="1073"/>
      <c r="P1943" s="1073"/>
      <c r="Q1943" s="1073"/>
      <c r="R1943" s="1073"/>
      <c r="S1943" s="1073"/>
      <c r="T1943" s="1073"/>
      <c r="U1943" s="1073"/>
      <c r="V1943" s="1073"/>
      <c r="W1943" s="1073"/>
      <c r="X1943" s="1073"/>
      <c r="Y1943" s="1073"/>
      <c r="Z1943" s="1073"/>
      <c r="AA1943" s="1073"/>
      <c r="AB1943" s="1073"/>
      <c r="AC1943" s="1073"/>
      <c r="AD1943" s="1073"/>
      <c r="AE1943" s="1073"/>
      <c r="AF1943" s="1073"/>
      <c r="AG1943" s="1073"/>
      <c r="AH1943" s="1073"/>
      <c r="AI1943" s="1073"/>
      <c r="AJ1943" s="1073"/>
      <c r="AK1943" s="1073"/>
      <c r="AL1943" s="1073"/>
      <c r="AM1943" s="1073"/>
      <c r="AN1943" s="1073"/>
      <c r="AO1943" s="1073"/>
      <c r="AP1943" s="1073"/>
      <c r="AQ1943" s="1073"/>
      <c r="AR1943" s="1073"/>
      <c r="AS1943" s="1073"/>
      <c r="AT1943" s="2"/>
      <c r="AU1943" s="513"/>
    </row>
    <row r="1944" spans="1:47" outlineLevel="1">
      <c r="A1944" s="298"/>
      <c r="B1944" s="55"/>
      <c r="C1944" s="18"/>
      <c r="D1944" s="18"/>
      <c r="E1944" s="18"/>
      <c r="F1944" s="18"/>
      <c r="G1944" s="18"/>
      <c r="H1944" s="18"/>
      <c r="I1944" s="18"/>
      <c r="J1944" s="18"/>
      <c r="K1944" s="7"/>
      <c r="L1944" s="7"/>
      <c r="M1944" s="7"/>
      <c r="N1944" s="7"/>
      <c r="O1944" s="7"/>
      <c r="P1944" s="7"/>
      <c r="Q1944" s="7"/>
      <c r="R1944" s="7"/>
      <c r="S1944" s="7"/>
      <c r="T1944" s="7"/>
      <c r="U1944" s="7"/>
      <c r="V1944" s="7"/>
      <c r="W1944" s="7"/>
      <c r="X1944" s="7"/>
      <c r="Y1944" s="7"/>
      <c r="Z1944" s="7"/>
      <c r="AA1944" s="7"/>
      <c r="AB1944" s="7"/>
      <c r="AC1944" s="7"/>
      <c r="AD1944" s="7"/>
      <c r="AE1944" s="7"/>
      <c r="AF1944" s="7"/>
      <c r="AG1944" s="7"/>
      <c r="AH1944" s="7"/>
      <c r="AI1944" s="7"/>
      <c r="AJ1944" s="7"/>
      <c r="AK1944" s="7"/>
      <c r="AL1944" s="7"/>
      <c r="AM1944" s="7"/>
      <c r="AN1944" s="7"/>
      <c r="AO1944" s="7"/>
      <c r="AP1944" s="7"/>
      <c r="AQ1944" s="7"/>
      <c r="AR1944" s="7"/>
      <c r="AS1944" s="7"/>
      <c r="AT1944" s="2"/>
      <c r="AU1944" s="513"/>
    </row>
    <row r="1945" spans="1:47" outlineLevel="1">
      <c r="A1945" s="298"/>
      <c r="B1945" s="1113" t="s">
        <v>1416</v>
      </c>
      <c r="C1945" s="18"/>
      <c r="D1945" s="18"/>
      <c r="E1945" s="18"/>
      <c r="F1945" s="18"/>
      <c r="G1945" s="18"/>
      <c r="H1945" s="18"/>
      <c r="I1945" s="18"/>
      <c r="J1945" s="18"/>
      <c r="K1945" s="7"/>
      <c r="L1945" s="7"/>
      <c r="M1945" s="7"/>
      <c r="N1945" s="7"/>
      <c r="O1945" s="7"/>
      <c r="P1945" s="7"/>
      <c r="Q1945" s="7"/>
      <c r="R1945" s="7"/>
      <c r="S1945" s="7"/>
      <c r="T1945" s="7"/>
      <c r="U1945" s="7"/>
      <c r="V1945" s="7"/>
      <c r="W1945" s="7"/>
      <c r="X1945" s="7"/>
      <c r="Y1945" s="7"/>
      <c r="Z1945" s="7"/>
      <c r="AA1945" s="7"/>
      <c r="AB1945" s="7"/>
      <c r="AC1945" s="7"/>
      <c r="AD1945" s="7"/>
      <c r="AE1945" s="7"/>
      <c r="AF1945" s="7"/>
      <c r="AG1945" s="7"/>
      <c r="AH1945" s="7"/>
      <c r="AI1945" s="7"/>
      <c r="AJ1945" s="7"/>
      <c r="AK1945" s="7"/>
      <c r="AL1945" s="7"/>
      <c r="AM1945" s="7"/>
      <c r="AN1945" s="7"/>
      <c r="AO1945" s="7"/>
      <c r="AP1945" s="7"/>
      <c r="AQ1945" s="7"/>
      <c r="AR1945" s="7"/>
      <c r="AS1945" s="7"/>
      <c r="AT1945" s="2"/>
      <c r="AU1945" s="513"/>
    </row>
    <row r="1946" spans="1:47" outlineLevel="1">
      <c r="A1946" s="298"/>
      <c r="B1946" s="336" t="s">
        <v>1413</v>
      </c>
      <c r="C1946" s="14" t="s">
        <v>272</v>
      </c>
      <c r="D1946" s="18"/>
      <c r="E1946" s="18"/>
      <c r="F1946" s="18"/>
      <c r="G1946" s="18"/>
      <c r="H1946" s="18"/>
      <c r="I1946" s="18"/>
      <c r="J1946" s="18"/>
      <c r="K1946" s="7"/>
      <c r="L1946" s="7"/>
      <c r="M1946" s="7"/>
      <c r="N1946" s="7"/>
      <c r="O1946" s="7"/>
      <c r="P1946" s="7"/>
      <c r="Q1946" s="7"/>
      <c r="R1946" s="7"/>
      <c r="S1946" s="7"/>
      <c r="T1946" s="7"/>
      <c r="U1946" s="7"/>
      <c r="V1946" s="7"/>
      <c r="W1946" s="7"/>
      <c r="X1946" s="7"/>
      <c r="Y1946" s="7"/>
      <c r="Z1946" s="7"/>
      <c r="AA1946" s="7"/>
      <c r="AB1946" s="7"/>
      <c r="AC1946" s="7"/>
      <c r="AD1946" s="7"/>
      <c r="AE1946" s="7"/>
      <c r="AF1946" s="532">
        <v>431</v>
      </c>
      <c r="AG1946" s="532">
        <v>466</v>
      </c>
      <c r="AH1946" s="532">
        <f>AH1953*AH1951</f>
        <v>481.73</v>
      </c>
      <c r="AI1946" s="7">
        <f t="shared" ref="AI1946:AN1946" si="616">AH1946*(1+AI1966)</f>
        <v>500.99920000000003</v>
      </c>
      <c r="AJ1946" s="7">
        <f t="shared" si="616"/>
        <v>521.03916800000002</v>
      </c>
      <c r="AK1946" s="7">
        <f t="shared" si="616"/>
        <v>541.88073472000008</v>
      </c>
      <c r="AL1946" s="7">
        <f t="shared" si="616"/>
        <v>563.55596410880014</v>
      </c>
      <c r="AM1946" s="7">
        <f t="shared" si="616"/>
        <v>580.46264303206419</v>
      </c>
      <c r="AN1946" s="7">
        <f t="shared" si="616"/>
        <v>597.87652232302617</v>
      </c>
      <c r="AO1946" s="7">
        <f>AN1946*(1+AO1966)</f>
        <v>615.81281799271699</v>
      </c>
      <c r="AP1946" s="7">
        <f>AO1946*(1+AP1966)</f>
        <v>634.28720253249855</v>
      </c>
      <c r="AQ1946" s="7">
        <f t="shared" ref="AQ1946:AS1946" si="617">AP1946*(1+AQ1966)</f>
        <v>653.31581860847348</v>
      </c>
      <c r="AR1946" s="7">
        <f t="shared" si="617"/>
        <v>672.91529316672768</v>
      </c>
      <c r="AS1946" s="7">
        <f t="shared" si="617"/>
        <v>693.1027519617295</v>
      </c>
      <c r="AT1946" s="2"/>
      <c r="AU1946" s="513"/>
    </row>
    <row r="1947" spans="1:47" outlineLevel="1">
      <c r="A1947" s="298"/>
      <c r="B1947" s="336" t="s">
        <v>802</v>
      </c>
      <c r="C1947" s="14" t="s">
        <v>272</v>
      </c>
      <c r="D1947" s="18"/>
      <c r="E1947" s="18"/>
      <c r="F1947" s="18"/>
      <c r="G1947" s="18"/>
      <c r="H1947" s="18"/>
      <c r="I1947" s="18"/>
      <c r="J1947" s="18"/>
      <c r="K1947" s="7"/>
      <c r="L1947" s="7"/>
      <c r="M1947" s="7"/>
      <c r="N1947" s="7"/>
      <c r="O1947" s="7"/>
      <c r="P1947" s="7"/>
      <c r="Q1947" s="7"/>
      <c r="R1947" s="7"/>
      <c r="S1947" s="7"/>
      <c r="T1947" s="7"/>
      <c r="U1947" s="7"/>
      <c r="V1947" s="7"/>
      <c r="W1947" s="7"/>
      <c r="X1947" s="7"/>
      <c r="Y1947" s="7"/>
      <c r="Z1947" s="7"/>
      <c r="AA1947" s="7"/>
      <c r="AB1947" s="7"/>
      <c r="AC1947" s="7"/>
      <c r="AD1947" s="7"/>
      <c r="AE1947" s="7"/>
      <c r="AF1947" s="7">
        <f>-(AF1946-AF1948)</f>
        <v>-198</v>
      </c>
      <c r="AG1947" s="7">
        <f>AF1947*(1+AG1967)</f>
        <v>-203.94</v>
      </c>
      <c r="AH1947" s="7">
        <f>AG1947*(1+AH1967)</f>
        <v>-210.0582</v>
      </c>
      <c r="AI1947" s="7">
        <f t="shared" ref="AI1947:AN1947" si="618">AH1947*(1+AI1967)</f>
        <v>-216.35994600000001</v>
      </c>
      <c r="AJ1947" s="7">
        <f t="shared" si="618"/>
        <v>-222.85074438000001</v>
      </c>
      <c r="AK1947" s="7">
        <f t="shared" si="618"/>
        <v>-229.5362667114</v>
      </c>
      <c r="AL1947" s="7">
        <f t="shared" si="618"/>
        <v>-236.42235471274202</v>
      </c>
      <c r="AM1947" s="7">
        <f t="shared" si="618"/>
        <v>-241.15080180699687</v>
      </c>
      <c r="AN1947" s="7">
        <f t="shared" si="618"/>
        <v>-245.9738178431368</v>
      </c>
      <c r="AO1947" s="7">
        <f>AN1947*(1+AO1967)</f>
        <v>-250.89329419999953</v>
      </c>
      <c r="AP1947" s="7">
        <f>AO1947*(1+AP1967)</f>
        <v>-255.91116008399953</v>
      </c>
      <c r="AQ1947" s="7">
        <f t="shared" ref="AQ1947:AS1947" si="619">AP1947*(1+AQ1967)</f>
        <v>-261.0293832856795</v>
      </c>
      <c r="AR1947" s="7">
        <f t="shared" si="619"/>
        <v>-266.2499709513931</v>
      </c>
      <c r="AS1947" s="7">
        <f t="shared" si="619"/>
        <v>-271.57497037042094</v>
      </c>
      <c r="AT1947" s="2"/>
      <c r="AU1947" s="513"/>
    </row>
    <row r="1948" spans="1:47" outlineLevel="1">
      <c r="A1948" s="298"/>
      <c r="B1948" s="336" t="s">
        <v>734</v>
      </c>
      <c r="C1948" s="14" t="s">
        <v>272</v>
      </c>
      <c r="D1948" s="18"/>
      <c r="E1948" s="18"/>
      <c r="F1948" s="18"/>
      <c r="G1948" s="18"/>
      <c r="H1948" s="18"/>
      <c r="I1948" s="18"/>
      <c r="J1948" s="18"/>
      <c r="K1948" s="7"/>
      <c r="L1948" s="7"/>
      <c r="M1948" s="7"/>
      <c r="N1948" s="7"/>
      <c r="O1948" s="7"/>
      <c r="P1948" s="7"/>
      <c r="Q1948" s="7"/>
      <c r="R1948" s="7"/>
      <c r="S1948" s="7"/>
      <c r="T1948" s="7"/>
      <c r="U1948" s="7"/>
      <c r="V1948" s="7"/>
      <c r="W1948" s="7"/>
      <c r="X1948" s="7"/>
      <c r="Y1948" s="7"/>
      <c r="Z1948" s="7"/>
      <c r="AA1948" s="7"/>
      <c r="AB1948" s="7"/>
      <c r="AC1948" s="7"/>
      <c r="AD1948" s="7"/>
      <c r="AE1948" s="7"/>
      <c r="AF1948" s="532">
        <v>233</v>
      </c>
      <c r="AG1948" s="532">
        <v>250</v>
      </c>
      <c r="AH1948" s="532">
        <f>AH1955*AH1951</f>
        <v>225.79000000000002</v>
      </c>
      <c r="AI1948" s="7">
        <f t="shared" ref="AI1948:AN1948" si="620">AI1946+AI1947</f>
        <v>284.63925400000005</v>
      </c>
      <c r="AJ1948" s="7">
        <f t="shared" si="620"/>
        <v>298.18842361999998</v>
      </c>
      <c r="AK1948" s="7">
        <f t="shared" si="620"/>
        <v>312.34446800860007</v>
      </c>
      <c r="AL1948" s="7">
        <f t="shared" si="620"/>
        <v>327.13360939605809</v>
      </c>
      <c r="AM1948" s="7">
        <f t="shared" si="620"/>
        <v>339.31184122506733</v>
      </c>
      <c r="AN1948" s="7">
        <f t="shared" si="620"/>
        <v>351.90270447988939</v>
      </c>
      <c r="AO1948" s="7">
        <f>AO1946+AO1947</f>
        <v>364.91952379271743</v>
      </c>
      <c r="AP1948" s="7">
        <f>AP1946+AP1947</f>
        <v>378.37604244849899</v>
      </c>
      <c r="AQ1948" s="7">
        <f t="shared" ref="AQ1948:AR1948" si="621">AQ1946+AQ1947</f>
        <v>392.28643532279398</v>
      </c>
      <c r="AR1948" s="7">
        <f t="shared" si="621"/>
        <v>406.66532221533458</v>
      </c>
      <c r="AS1948" s="7">
        <f t="shared" ref="AS1948" si="622">AS1946+AS1947</f>
        <v>421.52778159130855</v>
      </c>
      <c r="AT1948" s="2"/>
      <c r="AU1948" s="513"/>
    </row>
    <row r="1949" spans="1:47" outlineLevel="1">
      <c r="A1949" s="298"/>
      <c r="B1949" s="336" t="s">
        <v>642</v>
      </c>
      <c r="C1949" s="14" t="s">
        <v>733</v>
      </c>
      <c r="D1949" s="18"/>
      <c r="E1949" s="18"/>
      <c r="F1949" s="18"/>
      <c r="G1949" s="18"/>
      <c r="H1949" s="18"/>
      <c r="I1949" s="18"/>
      <c r="J1949" s="18"/>
      <c r="K1949" s="7"/>
      <c r="L1949" s="7"/>
      <c r="M1949" s="7"/>
      <c r="N1949" s="7"/>
      <c r="O1949" s="7"/>
      <c r="P1949" s="7"/>
      <c r="Q1949" s="7"/>
      <c r="R1949" s="7"/>
      <c r="S1949" s="7"/>
      <c r="T1949" s="7"/>
      <c r="U1949" s="7"/>
      <c r="V1949" s="7"/>
      <c r="W1949" s="7"/>
      <c r="X1949" s="7"/>
      <c r="Y1949" s="7"/>
      <c r="Z1949" s="7"/>
      <c r="AA1949" s="7"/>
      <c r="AB1949" s="7"/>
      <c r="AC1949" s="7"/>
      <c r="AD1949" s="7"/>
      <c r="AE1949" s="7"/>
      <c r="AF1949" s="1112">
        <f>AF1948/AF1946</f>
        <v>0.54060324825986084</v>
      </c>
      <c r="AG1949" s="1112">
        <f>AG1948/AG1946</f>
        <v>0.53648068669527893</v>
      </c>
      <c r="AH1949" s="1112">
        <f>AH1948/AH1946</f>
        <v>0.46870653685674551</v>
      </c>
      <c r="AI1949" s="1112">
        <f t="shared" ref="AI1949:AN1949" si="623">AI1948/AI1946</f>
        <v>0.56814313076747436</v>
      </c>
      <c r="AJ1949" s="1112">
        <f t="shared" si="623"/>
        <v>0.57229560066394081</v>
      </c>
      <c r="AK1949" s="1112">
        <f t="shared" si="623"/>
        <v>0.57640814296524923</v>
      </c>
      <c r="AL1949" s="1112">
        <f t="shared" si="623"/>
        <v>0.58048114159058328</v>
      </c>
      <c r="AM1949" s="1112">
        <f t="shared" si="623"/>
        <v>0.58455414021591756</v>
      </c>
      <c r="AN1949" s="1112">
        <f t="shared" si="623"/>
        <v>0.58858759516527759</v>
      </c>
      <c r="AO1949" s="1112">
        <f>AO1948/AO1946</f>
        <v>0.5925818903578477</v>
      </c>
      <c r="AP1949" s="1112">
        <f>AP1948/AP1946</f>
        <v>0.59653740598544136</v>
      </c>
      <c r="AQ1949" s="1112">
        <f t="shared" ref="AQ1949:AR1949" si="624">AQ1948/AQ1946</f>
        <v>0.60045451854868959</v>
      </c>
      <c r="AR1949" s="1112">
        <f t="shared" si="624"/>
        <v>0.60433360089287713</v>
      </c>
      <c r="AS1949" s="1112">
        <f t="shared" ref="AS1949" si="625">AS1948/AS1946</f>
        <v>0.60817502224343167</v>
      </c>
      <c r="AT1949" s="2"/>
      <c r="AU1949" s="513"/>
    </row>
    <row r="1950" spans="1:47" outlineLevel="1">
      <c r="A1950" s="298"/>
      <c r="B1950" s="55"/>
      <c r="C1950" s="18"/>
      <c r="D1950" s="18"/>
      <c r="E1950" s="18"/>
      <c r="F1950" s="18"/>
      <c r="G1950" s="18"/>
      <c r="H1950" s="18"/>
      <c r="I1950" s="18"/>
      <c r="J1950" s="18"/>
      <c r="K1950" s="7"/>
      <c r="L1950" s="7"/>
      <c r="M1950" s="7"/>
      <c r="N1950" s="7"/>
      <c r="O1950" s="7"/>
      <c r="P1950" s="7"/>
      <c r="Q1950" s="7"/>
      <c r="R1950" s="7"/>
      <c r="S1950" s="7"/>
      <c r="T1950" s="7"/>
      <c r="U1950" s="7"/>
      <c r="V1950" s="7"/>
      <c r="W1950" s="7"/>
      <c r="X1950" s="7"/>
      <c r="Y1950" s="7"/>
      <c r="Z1950" s="7"/>
      <c r="AA1950" s="7"/>
      <c r="AB1950" s="7"/>
      <c r="AC1950" s="7"/>
      <c r="AD1950" s="7"/>
      <c r="AE1950" s="7"/>
      <c r="AF1950" s="7"/>
      <c r="AG1950" s="7"/>
      <c r="AH1950" s="7"/>
      <c r="AI1950" s="7"/>
      <c r="AJ1950" s="7"/>
      <c r="AK1950" s="7"/>
      <c r="AL1950" s="7"/>
      <c r="AM1950" s="7"/>
      <c r="AN1950" s="7"/>
      <c r="AO1950" s="7"/>
      <c r="AP1950" s="7"/>
      <c r="AQ1950" s="7"/>
      <c r="AR1950" s="7"/>
      <c r="AS1950" s="7"/>
      <c r="AT1950" s="2"/>
      <c r="AU1950" s="513"/>
    </row>
    <row r="1951" spans="1:47" outlineLevel="1">
      <c r="A1951" s="298"/>
      <c r="B1951" s="336" t="s">
        <v>1414</v>
      </c>
      <c r="C1951" s="14" t="s">
        <v>300</v>
      </c>
      <c r="D1951" s="18"/>
      <c r="E1951" s="18"/>
      <c r="F1951" s="18"/>
      <c r="G1951" s="18"/>
      <c r="H1951" s="18"/>
      <c r="I1951" s="18"/>
      <c r="J1951" s="18"/>
      <c r="K1951" s="7"/>
      <c r="L1951" s="7"/>
      <c r="M1951" s="7"/>
      <c r="N1951" s="7"/>
      <c r="O1951" s="7"/>
      <c r="P1951" s="7"/>
      <c r="Q1951" s="7"/>
      <c r="R1951" s="7"/>
      <c r="S1951" s="7"/>
      <c r="T1951" s="7"/>
      <c r="U1951" s="7"/>
      <c r="V1951" s="7"/>
      <c r="W1951" s="7"/>
      <c r="X1951" s="7"/>
      <c r="Y1951" s="7"/>
      <c r="Z1951" s="7"/>
      <c r="AA1951" s="7"/>
      <c r="AB1951" s="7"/>
      <c r="AC1951" s="7"/>
      <c r="AD1951" s="7"/>
      <c r="AE1951" s="7"/>
      <c r="AF1951" s="1114">
        <v>0.75</v>
      </c>
      <c r="AG1951" s="1114">
        <v>0.72</v>
      </c>
      <c r="AH1951" s="1114">
        <v>0.67</v>
      </c>
      <c r="AI1951" s="512">
        <f t="shared" ref="AI1951:AP1951" si="626">AH1951</f>
        <v>0.67</v>
      </c>
      <c r="AJ1951" s="512">
        <f t="shared" si="626"/>
        <v>0.67</v>
      </c>
      <c r="AK1951" s="512">
        <f t="shared" si="626"/>
        <v>0.67</v>
      </c>
      <c r="AL1951" s="512">
        <f>AK1951</f>
        <v>0.67</v>
      </c>
      <c r="AM1951" s="512">
        <f t="shared" si="626"/>
        <v>0.67</v>
      </c>
      <c r="AN1951" s="512">
        <f t="shared" si="626"/>
        <v>0.67</v>
      </c>
      <c r="AO1951" s="512">
        <f t="shared" si="626"/>
        <v>0.67</v>
      </c>
      <c r="AP1951" s="512">
        <f t="shared" si="626"/>
        <v>0.67</v>
      </c>
      <c r="AQ1951" s="512">
        <f t="shared" ref="AQ1951" si="627">AP1951</f>
        <v>0.67</v>
      </c>
      <c r="AR1951" s="512">
        <f t="shared" ref="AR1951:AS1951" si="628">AQ1951</f>
        <v>0.67</v>
      </c>
      <c r="AS1951" s="512">
        <f t="shared" si="628"/>
        <v>0.67</v>
      </c>
      <c r="AT1951" s="2"/>
      <c r="AU1951" s="513"/>
    </row>
    <row r="1952" spans="1:47" outlineLevel="1">
      <c r="A1952" s="298"/>
      <c r="B1952" s="55"/>
      <c r="C1952" s="18"/>
      <c r="D1952" s="18"/>
      <c r="E1952" s="18"/>
      <c r="F1952" s="18"/>
      <c r="G1952" s="18"/>
      <c r="H1952" s="18"/>
      <c r="I1952" s="18"/>
      <c r="J1952" s="18"/>
      <c r="K1952" s="7"/>
      <c r="L1952" s="7"/>
      <c r="M1952" s="7"/>
      <c r="N1952" s="7"/>
      <c r="O1952" s="7"/>
      <c r="P1952" s="7"/>
      <c r="Q1952" s="7"/>
      <c r="R1952" s="7"/>
      <c r="S1952" s="7"/>
      <c r="T1952" s="7"/>
      <c r="U1952" s="7"/>
      <c r="V1952" s="7"/>
      <c r="W1952" s="7"/>
      <c r="X1952" s="7"/>
      <c r="Y1952" s="7"/>
      <c r="Z1952" s="7"/>
      <c r="AA1952" s="7"/>
      <c r="AB1952" s="7"/>
      <c r="AC1952" s="7"/>
      <c r="AD1952" s="7"/>
      <c r="AE1952" s="7"/>
      <c r="AF1952" s="7"/>
      <c r="AG1952" s="7"/>
      <c r="AH1952" s="7"/>
      <c r="AI1952" s="7"/>
      <c r="AJ1952" s="7"/>
      <c r="AK1952" s="7"/>
      <c r="AL1952" s="7"/>
      <c r="AM1952" s="7"/>
      <c r="AN1952" s="7"/>
      <c r="AO1952" s="7"/>
      <c r="AP1952" s="7"/>
      <c r="AQ1952" s="7"/>
      <c r="AR1952" s="7"/>
      <c r="AS1952" s="7"/>
      <c r="AT1952" s="2"/>
      <c r="AU1952" s="513"/>
    </row>
    <row r="1953" spans="1:47" s="520" customFormat="1" outlineLevel="1">
      <c r="A1953" s="338"/>
      <c r="B1953" s="337" t="s">
        <v>1413</v>
      </c>
      <c r="C1953" s="48" t="s">
        <v>732</v>
      </c>
      <c r="D1953" s="48"/>
      <c r="E1953" s="48"/>
      <c r="F1953" s="48"/>
      <c r="G1953" s="48"/>
      <c r="H1953" s="48"/>
      <c r="I1953" s="48"/>
      <c r="J1953" s="48"/>
      <c r="K1953" s="49"/>
      <c r="L1953" s="49"/>
      <c r="M1953" s="49"/>
      <c r="N1953" s="49"/>
      <c r="O1953" s="49"/>
      <c r="P1953" s="49"/>
      <c r="Q1953" s="49"/>
      <c r="R1953" s="49"/>
      <c r="S1953" s="49"/>
      <c r="T1953" s="49"/>
      <c r="U1953" s="49"/>
      <c r="V1953" s="49"/>
      <c r="W1953" s="49"/>
      <c r="X1953" s="49"/>
      <c r="Y1953" s="49"/>
      <c r="Z1953" s="49"/>
      <c r="AA1953" s="49"/>
      <c r="AB1953" s="49"/>
      <c r="AC1953" s="49"/>
      <c r="AD1953" s="49"/>
      <c r="AE1953" s="49"/>
      <c r="AF1953" s="49">
        <f t="shared" ref="AF1953:AG1955" si="629">AF1946/AF$1951</f>
        <v>574.66666666666663</v>
      </c>
      <c r="AG1953" s="49">
        <f t="shared" si="629"/>
        <v>647.22222222222229</v>
      </c>
      <c r="AH1953" s="534">
        <v>719</v>
      </c>
      <c r="AI1953" s="534">
        <v>715</v>
      </c>
      <c r="AJ1953" s="534">
        <v>660</v>
      </c>
      <c r="AK1953" s="49">
        <f t="shared" ref="AK1953:AR1953" si="630">AK1946/AK$1951</f>
        <v>808.77721600000007</v>
      </c>
      <c r="AL1953" s="49">
        <f t="shared" si="630"/>
        <v>841.12830464000012</v>
      </c>
      <c r="AM1953" s="49">
        <f t="shared" si="630"/>
        <v>866.36215377920018</v>
      </c>
      <c r="AN1953" s="49">
        <f t="shared" si="630"/>
        <v>892.35301839257636</v>
      </c>
      <c r="AO1953" s="49">
        <f t="shared" si="630"/>
        <v>919.12360894435369</v>
      </c>
      <c r="AP1953" s="49">
        <f t="shared" si="630"/>
        <v>946.69731721268431</v>
      </c>
      <c r="AQ1953" s="49">
        <f t="shared" si="630"/>
        <v>975.09823672906487</v>
      </c>
      <c r="AR1953" s="49">
        <f t="shared" si="630"/>
        <v>1004.3511838309367</v>
      </c>
      <c r="AS1953" s="49">
        <f t="shared" ref="AS1953" si="631">AS1946/AS$1951</f>
        <v>1034.4817193458648</v>
      </c>
      <c r="AT1953" s="9"/>
      <c r="AU1953" s="1117"/>
    </row>
    <row r="1954" spans="1:47" outlineLevel="1">
      <c r="A1954" s="298"/>
      <c r="B1954" s="336" t="s">
        <v>802</v>
      </c>
      <c r="C1954" s="14" t="s">
        <v>732</v>
      </c>
      <c r="D1954" s="18"/>
      <c r="E1954" s="18"/>
      <c r="F1954" s="18"/>
      <c r="G1954" s="18"/>
      <c r="H1954" s="18"/>
      <c r="I1954" s="18"/>
      <c r="J1954" s="18"/>
      <c r="K1954" s="7"/>
      <c r="L1954" s="7"/>
      <c r="M1954" s="7"/>
      <c r="N1954" s="7"/>
      <c r="O1954" s="7"/>
      <c r="P1954" s="7"/>
      <c r="Q1954" s="7"/>
      <c r="R1954" s="7"/>
      <c r="S1954" s="7"/>
      <c r="T1954" s="7"/>
      <c r="U1954" s="7"/>
      <c r="V1954" s="7"/>
      <c r="W1954" s="7"/>
      <c r="X1954" s="7"/>
      <c r="Y1954" s="7"/>
      <c r="Z1954" s="7"/>
      <c r="AA1954" s="7"/>
      <c r="AB1954" s="7"/>
      <c r="AC1954" s="7"/>
      <c r="AD1954" s="7"/>
      <c r="AE1954" s="7"/>
      <c r="AF1954" s="7">
        <f t="shared" si="629"/>
        <v>-264</v>
      </c>
      <c r="AG1954" s="7">
        <f t="shared" si="629"/>
        <v>-283.25</v>
      </c>
      <c r="AH1954" s="7">
        <f>AH1947/AH$1951</f>
        <v>-313.51970149253731</v>
      </c>
      <c r="AI1954" s="7">
        <f>AI1947/AI$1951</f>
        <v>-322.92529253731345</v>
      </c>
      <c r="AJ1954" s="7">
        <f t="shared" ref="AJ1954:AR1954" si="632">AJ1947/AJ$1951</f>
        <v>-332.61305131343283</v>
      </c>
      <c r="AK1954" s="7">
        <f t="shared" si="632"/>
        <v>-342.59144285283583</v>
      </c>
      <c r="AL1954" s="7">
        <f t="shared" si="632"/>
        <v>-352.8691861384209</v>
      </c>
      <c r="AM1954" s="7">
        <f t="shared" si="632"/>
        <v>-359.92656986118931</v>
      </c>
      <c r="AN1954" s="7">
        <f t="shared" si="632"/>
        <v>-367.12510125841311</v>
      </c>
      <c r="AO1954" s="7">
        <f t="shared" si="632"/>
        <v>-374.46760328358135</v>
      </c>
      <c r="AP1954" s="7">
        <f t="shared" si="632"/>
        <v>-381.95695534925301</v>
      </c>
      <c r="AQ1954" s="7">
        <f t="shared" si="632"/>
        <v>-389.59609445623806</v>
      </c>
      <c r="AR1954" s="7">
        <f t="shared" si="632"/>
        <v>-397.38801634536281</v>
      </c>
      <c r="AS1954" s="7">
        <f t="shared" ref="AS1954" si="633">AS1947/AS$1951</f>
        <v>-405.33577667227001</v>
      </c>
      <c r="AT1954" s="2"/>
      <c r="AU1954" s="513"/>
    </row>
    <row r="1955" spans="1:47" s="520" customFormat="1" outlineLevel="1">
      <c r="A1955" s="338"/>
      <c r="B1955" s="337" t="s">
        <v>734</v>
      </c>
      <c r="C1955" s="48" t="s">
        <v>732</v>
      </c>
      <c r="D1955" s="48"/>
      <c r="E1955" s="48"/>
      <c r="F1955" s="48"/>
      <c r="G1955" s="48"/>
      <c r="H1955" s="48"/>
      <c r="I1955" s="48"/>
      <c r="J1955" s="48"/>
      <c r="K1955" s="49"/>
      <c r="L1955" s="49"/>
      <c r="M1955" s="49"/>
      <c r="N1955" s="49"/>
      <c r="O1955" s="49"/>
      <c r="P1955" s="49"/>
      <c r="Q1955" s="49"/>
      <c r="R1955" s="49"/>
      <c r="S1955" s="49"/>
      <c r="T1955" s="49"/>
      <c r="U1955" s="49"/>
      <c r="V1955" s="49"/>
      <c r="W1955" s="49"/>
      <c r="X1955" s="49"/>
      <c r="Y1955" s="49"/>
      <c r="Z1955" s="49"/>
      <c r="AA1955" s="49"/>
      <c r="AB1955" s="49"/>
      <c r="AC1955" s="49"/>
      <c r="AD1955" s="49"/>
      <c r="AE1955" s="49"/>
      <c r="AF1955" s="49">
        <f t="shared" si="629"/>
        <v>310.66666666666669</v>
      </c>
      <c r="AG1955" s="49">
        <f t="shared" si="629"/>
        <v>347.22222222222223</v>
      </c>
      <c r="AH1955" s="534">
        <v>337</v>
      </c>
      <c r="AI1955" s="534">
        <f>AH1955+21</f>
        <v>358</v>
      </c>
      <c r="AJ1955" s="534">
        <v>678</v>
      </c>
      <c r="AK1955" s="49">
        <f t="shared" ref="AK1955:AR1955" si="634">AK1948/AK$1949</f>
        <v>541.88073472000008</v>
      </c>
      <c r="AL1955" s="49">
        <f t="shared" si="634"/>
        <v>563.55596410880014</v>
      </c>
      <c r="AM1955" s="49">
        <f t="shared" si="634"/>
        <v>580.46264303206419</v>
      </c>
      <c r="AN1955" s="49">
        <f t="shared" si="634"/>
        <v>597.87652232302617</v>
      </c>
      <c r="AO1955" s="49">
        <f t="shared" si="634"/>
        <v>615.81281799271699</v>
      </c>
      <c r="AP1955" s="49">
        <f t="shared" si="634"/>
        <v>634.28720253249855</v>
      </c>
      <c r="AQ1955" s="49">
        <f t="shared" si="634"/>
        <v>653.31581860847348</v>
      </c>
      <c r="AR1955" s="49">
        <f t="shared" si="634"/>
        <v>672.91529316672768</v>
      </c>
      <c r="AS1955" s="49">
        <f t="shared" ref="AS1955" si="635">AS1948/AS$1949</f>
        <v>693.1027519617295</v>
      </c>
      <c r="AT1955" s="9"/>
      <c r="AU1955" s="1117"/>
    </row>
    <row r="1956" spans="1:47" outlineLevel="1">
      <c r="A1956" s="298"/>
      <c r="B1956" s="336" t="s">
        <v>642</v>
      </c>
      <c r="C1956" s="14" t="s">
        <v>733</v>
      </c>
      <c r="D1956" s="18"/>
      <c r="E1956" s="18"/>
      <c r="F1956" s="18"/>
      <c r="G1956" s="18"/>
      <c r="H1956" s="18"/>
      <c r="I1956" s="18"/>
      <c r="J1956" s="18"/>
      <c r="K1956" s="7"/>
      <c r="L1956" s="7"/>
      <c r="M1956" s="7"/>
      <c r="N1956" s="7"/>
      <c r="O1956" s="7"/>
      <c r="P1956" s="7"/>
      <c r="Q1956" s="7"/>
      <c r="R1956" s="7"/>
      <c r="S1956" s="7"/>
      <c r="T1956" s="7"/>
      <c r="U1956" s="7"/>
      <c r="V1956" s="7"/>
      <c r="W1956" s="7"/>
      <c r="X1956" s="7"/>
      <c r="Y1956" s="7"/>
      <c r="Z1956" s="7"/>
      <c r="AA1956" s="7"/>
      <c r="AB1956" s="7"/>
      <c r="AC1956" s="7"/>
      <c r="AD1956" s="7"/>
      <c r="AE1956" s="7"/>
      <c r="AF1956" s="1115">
        <f t="shared" ref="AF1956:AP1956" si="636">AF1955/AF1953</f>
        <v>0.54060324825986084</v>
      </c>
      <c r="AG1956" s="1115">
        <f t="shared" si="636"/>
        <v>0.53648068669527893</v>
      </c>
      <c r="AH1956" s="1115">
        <f t="shared" si="636"/>
        <v>0.46870653685674546</v>
      </c>
      <c r="AI1956" s="1115">
        <f t="shared" ref="AI1956" si="637">AI1955/AI1953</f>
        <v>0.50069930069930069</v>
      </c>
      <c r="AJ1956" s="1115">
        <f t="shared" si="636"/>
        <v>1.0272727272727273</v>
      </c>
      <c r="AK1956" s="1115">
        <f t="shared" si="636"/>
        <v>0.67</v>
      </c>
      <c r="AL1956" s="1115">
        <f t="shared" si="636"/>
        <v>0.67</v>
      </c>
      <c r="AM1956" s="1115">
        <f t="shared" si="636"/>
        <v>0.67</v>
      </c>
      <c r="AN1956" s="1115">
        <f t="shared" si="636"/>
        <v>0.67</v>
      </c>
      <c r="AO1956" s="1115">
        <f t="shared" si="636"/>
        <v>0.67</v>
      </c>
      <c r="AP1956" s="1115">
        <f t="shared" si="636"/>
        <v>0.67</v>
      </c>
      <c r="AQ1956" s="1115">
        <f t="shared" ref="AQ1956:AR1956" si="638">AQ1955/AQ1953</f>
        <v>0.67</v>
      </c>
      <c r="AR1956" s="1115">
        <f t="shared" si="638"/>
        <v>0.67</v>
      </c>
      <c r="AS1956" s="1115">
        <f t="shared" ref="AS1956" si="639">AS1955/AS1953</f>
        <v>0.67</v>
      </c>
      <c r="AT1956" s="2"/>
      <c r="AU1956" s="513"/>
    </row>
    <row r="1957" spans="1:47" outlineLevel="1">
      <c r="A1957" s="298"/>
      <c r="B1957" s="336" t="s">
        <v>1417</v>
      </c>
      <c r="C1957" s="14" t="s">
        <v>733</v>
      </c>
      <c r="D1957" s="18"/>
      <c r="E1957" s="18"/>
      <c r="F1957" s="18"/>
      <c r="G1957" s="18"/>
      <c r="H1957" s="18"/>
      <c r="I1957" s="18"/>
      <c r="J1957" s="18"/>
      <c r="K1957" s="7"/>
      <c r="L1957" s="7"/>
      <c r="M1957" s="7"/>
      <c r="N1957" s="7"/>
      <c r="O1957" s="7"/>
      <c r="P1957" s="7"/>
      <c r="Q1957" s="7"/>
      <c r="R1957" s="7"/>
      <c r="S1957" s="7"/>
      <c r="T1957" s="7"/>
      <c r="U1957" s="7"/>
      <c r="V1957" s="7"/>
      <c r="W1957" s="7"/>
      <c r="X1957" s="7"/>
      <c r="Y1957" s="7"/>
      <c r="Z1957" s="7"/>
      <c r="AA1957" s="7"/>
      <c r="AB1957" s="7"/>
      <c r="AC1957" s="7"/>
      <c r="AD1957" s="7"/>
      <c r="AE1957" s="7"/>
      <c r="AF1957" s="7"/>
      <c r="AG1957" s="1116">
        <f t="shared" ref="AG1957:AP1957" si="640">AG1955/AF1955-1</f>
        <v>0.11766809728183114</v>
      </c>
      <c r="AH1957" s="1116">
        <f t="shared" si="640"/>
        <v>-2.9440000000000022E-2</v>
      </c>
      <c r="AI1957" s="1116">
        <f t="shared" si="640"/>
        <v>6.2314540059347223E-2</v>
      </c>
      <c r="AJ1957" s="1116">
        <f t="shared" si="640"/>
        <v>0.8938547486033519</v>
      </c>
      <c r="AK1957" s="1116">
        <f t="shared" si="640"/>
        <v>-0.20076587799410017</v>
      </c>
      <c r="AL1957" s="1116">
        <f t="shared" si="640"/>
        <v>4.0000000000000036E-2</v>
      </c>
      <c r="AM1957" s="1116">
        <f t="shared" si="640"/>
        <v>3.0000000000000027E-2</v>
      </c>
      <c r="AN1957" s="1116">
        <f t="shared" si="640"/>
        <v>3.0000000000000027E-2</v>
      </c>
      <c r="AO1957" s="1116">
        <f t="shared" si="640"/>
        <v>3.0000000000000027E-2</v>
      </c>
      <c r="AP1957" s="1116">
        <f t="shared" si="640"/>
        <v>3.0000000000000027E-2</v>
      </c>
      <c r="AQ1957" s="1116">
        <f t="shared" ref="AQ1957" si="641">AQ1955/AP1955-1</f>
        <v>3.0000000000000027E-2</v>
      </c>
      <c r="AR1957" s="1116">
        <f t="shared" ref="AR1957:AS1957" si="642">AR1955/AQ1955-1</f>
        <v>3.0000000000000027E-2</v>
      </c>
      <c r="AS1957" s="1116">
        <f t="shared" si="642"/>
        <v>3.0000000000000027E-2</v>
      </c>
      <c r="AT1957" s="2"/>
      <c r="AU1957" s="513"/>
    </row>
    <row r="1958" spans="1:47" outlineLevel="1">
      <c r="A1958" s="298"/>
      <c r="B1958" s="336" t="s">
        <v>741</v>
      </c>
      <c r="C1958" s="14" t="s">
        <v>732</v>
      </c>
      <c r="D1958" s="18"/>
      <c r="E1958" s="18"/>
      <c r="F1958" s="18"/>
      <c r="G1958" s="18"/>
      <c r="H1958" s="18"/>
      <c r="I1958" s="18"/>
      <c r="J1958" s="18"/>
      <c r="K1958" s="7"/>
      <c r="L1958" s="7"/>
      <c r="M1958" s="7"/>
      <c r="N1958" s="7"/>
      <c r="O1958" s="7"/>
      <c r="P1958" s="7"/>
      <c r="Q1958" s="7"/>
      <c r="R1958" s="7"/>
      <c r="S1958" s="7"/>
      <c r="T1958" s="7"/>
      <c r="U1958" s="7"/>
      <c r="V1958" s="7"/>
      <c r="W1958" s="7"/>
      <c r="X1958" s="7"/>
      <c r="Y1958" s="7"/>
      <c r="Z1958" s="7"/>
      <c r="AA1958" s="7"/>
      <c r="AB1958" s="7"/>
      <c r="AC1958" s="7"/>
      <c r="AD1958" s="7"/>
      <c r="AE1958" s="7"/>
      <c r="AF1958" s="7">
        <f>AF1953*-AF1968</f>
        <v>-86.199999999999989</v>
      </c>
      <c r="AG1958" s="7">
        <f t="shared" ref="AG1958:AP1958" si="643">AG1953*-AG1968</f>
        <v>-97.083333333333343</v>
      </c>
      <c r="AH1958" s="7">
        <f t="shared" si="643"/>
        <v>-107.85</v>
      </c>
      <c r="AI1958" s="7">
        <f t="shared" ref="AI1958" si="644">AI1953*-AI1968</f>
        <v>-107.25</v>
      </c>
      <c r="AJ1958" s="7">
        <f t="shared" si="643"/>
        <v>-99</v>
      </c>
      <c r="AK1958" s="7">
        <f t="shared" si="643"/>
        <v>-121.3165824</v>
      </c>
      <c r="AL1958" s="7">
        <f t="shared" si="643"/>
        <v>-126.16924569600002</v>
      </c>
      <c r="AM1958" s="7">
        <f t="shared" si="643"/>
        <v>-129.95432306688002</v>
      </c>
      <c r="AN1958" s="7">
        <f t="shared" si="643"/>
        <v>-133.85295275888646</v>
      </c>
      <c r="AO1958" s="7">
        <f t="shared" si="643"/>
        <v>-137.86854134165304</v>
      </c>
      <c r="AP1958" s="7">
        <f t="shared" si="643"/>
        <v>-142.00459758190263</v>
      </c>
      <c r="AQ1958" s="7">
        <f t="shared" ref="AQ1958:AR1958" si="645">AQ1953*-AQ1968</f>
        <v>-146.26473550935972</v>
      </c>
      <c r="AR1958" s="7">
        <f t="shared" si="645"/>
        <v>-150.65267757464051</v>
      </c>
      <c r="AS1958" s="7">
        <f t="shared" ref="AS1958" si="646">AS1953*-AS1968</f>
        <v>-155.1722579018797</v>
      </c>
      <c r="AT1958" s="2"/>
      <c r="AU1958" s="513"/>
    </row>
    <row r="1959" spans="1:47" outlineLevel="1">
      <c r="A1959" s="298"/>
      <c r="B1959" s="336" t="s">
        <v>239</v>
      </c>
      <c r="C1959" s="14" t="s">
        <v>732</v>
      </c>
      <c r="D1959" s="18"/>
      <c r="E1959" s="18"/>
      <c r="F1959" s="18"/>
      <c r="G1959" s="18"/>
      <c r="H1959" s="18"/>
      <c r="I1959" s="18"/>
      <c r="J1959" s="18"/>
      <c r="K1959" s="7"/>
      <c r="L1959" s="7"/>
      <c r="M1959" s="7"/>
      <c r="N1959" s="7"/>
      <c r="O1959" s="7"/>
      <c r="P1959" s="7"/>
      <c r="Q1959" s="7"/>
      <c r="R1959" s="7"/>
      <c r="S1959" s="7"/>
      <c r="T1959" s="7"/>
      <c r="U1959" s="7"/>
      <c r="V1959" s="7"/>
      <c r="W1959" s="7"/>
      <c r="X1959" s="7"/>
      <c r="Y1959" s="7"/>
      <c r="Z1959" s="7"/>
      <c r="AA1959" s="7"/>
      <c r="AB1959" s="7"/>
      <c r="AC1959" s="7"/>
      <c r="AD1959" s="7"/>
      <c r="AE1959" s="7"/>
      <c r="AF1959" s="7">
        <f>AF1955+AF1958</f>
        <v>224.4666666666667</v>
      </c>
      <c r="AG1959" s="7">
        <f t="shared" ref="AG1959:AP1959" si="647">AG1955+AG1958</f>
        <v>250.13888888888889</v>
      </c>
      <c r="AH1959" s="7">
        <f t="shared" si="647"/>
        <v>229.15</v>
      </c>
      <c r="AI1959" s="7">
        <f t="shared" ref="AI1959" si="648">AI1955+AI1958</f>
        <v>250.75</v>
      </c>
      <c r="AJ1959" s="7">
        <f t="shared" si="647"/>
        <v>579</v>
      </c>
      <c r="AK1959" s="7">
        <f t="shared" si="647"/>
        <v>420.56415232000006</v>
      </c>
      <c r="AL1959" s="7">
        <f t="shared" si="647"/>
        <v>437.38671841280012</v>
      </c>
      <c r="AM1959" s="7">
        <f t="shared" si="647"/>
        <v>450.50831996518417</v>
      </c>
      <c r="AN1959" s="7">
        <f t="shared" si="647"/>
        <v>464.02356956413973</v>
      </c>
      <c r="AO1959" s="7">
        <f t="shared" si="647"/>
        <v>477.94427665106394</v>
      </c>
      <c r="AP1959" s="7">
        <f t="shared" si="647"/>
        <v>492.2826049505959</v>
      </c>
      <c r="AQ1959" s="7">
        <f t="shared" ref="AQ1959:AR1959" si="649">AQ1955+AQ1958</f>
        <v>507.05108309911373</v>
      </c>
      <c r="AR1959" s="7">
        <f t="shared" si="649"/>
        <v>522.26261559208717</v>
      </c>
      <c r="AS1959" s="7">
        <f t="shared" ref="AS1959" si="650">AS1955+AS1958</f>
        <v>537.93049405984982</v>
      </c>
      <c r="AT1959" s="2"/>
      <c r="AU1959" s="513"/>
    </row>
    <row r="1960" spans="1:47" outlineLevel="1">
      <c r="A1960" s="298"/>
      <c r="B1960" s="336" t="s">
        <v>1420</v>
      </c>
      <c r="C1960" s="14" t="s">
        <v>732</v>
      </c>
      <c r="D1960" s="18"/>
      <c r="E1960" s="18"/>
      <c r="F1960" s="18"/>
      <c r="G1960" s="18"/>
      <c r="H1960" s="18"/>
      <c r="I1960" s="18"/>
      <c r="J1960" s="18"/>
      <c r="K1960" s="7"/>
      <c r="L1960" s="7"/>
      <c r="M1960" s="7"/>
      <c r="N1960" s="7"/>
      <c r="O1960" s="7"/>
      <c r="P1960" s="7"/>
      <c r="Q1960" s="7"/>
      <c r="R1960" s="7"/>
      <c r="S1960" s="7"/>
      <c r="T1960" s="7"/>
      <c r="U1960" s="7"/>
      <c r="V1960" s="7"/>
      <c r="W1960" s="7"/>
      <c r="X1960" s="7"/>
      <c r="Y1960" s="7"/>
      <c r="Z1960" s="7"/>
      <c r="AA1960" s="7"/>
      <c r="AB1960" s="7"/>
      <c r="AC1960" s="7"/>
      <c r="AD1960" s="7"/>
      <c r="AE1960" s="7"/>
      <c r="AF1960" s="7"/>
      <c r="AG1960" s="7">
        <f>AG1972</f>
        <v>-45</v>
      </c>
      <c r="AH1960" s="7">
        <f t="shared" ref="AH1960:AP1960" si="651">AH1972</f>
        <v>-48.42537313432836</v>
      </c>
      <c r="AI1960" s="7">
        <f t="shared" ref="AI1960" si="652">AI1972</f>
        <v>-48.492537313432827</v>
      </c>
      <c r="AJ1960" s="7">
        <f t="shared" si="651"/>
        <v>-48.559701492537307</v>
      </c>
      <c r="AK1960" s="7">
        <f t="shared" si="651"/>
        <v>-48.626865671641788</v>
      </c>
      <c r="AL1960" s="7">
        <f t="shared" si="651"/>
        <v>-48.694029850746269</v>
      </c>
      <c r="AM1960" s="7">
        <f t="shared" si="651"/>
        <v>-48.761194029850742</v>
      </c>
      <c r="AN1960" s="7">
        <f t="shared" si="651"/>
        <v>-48.828358208955223</v>
      </c>
      <c r="AO1960" s="7">
        <f t="shared" si="651"/>
        <v>-48.895522388059696</v>
      </c>
      <c r="AP1960" s="7">
        <f t="shared" si="651"/>
        <v>-48.96268656716417</v>
      </c>
      <c r="AQ1960" s="7">
        <f t="shared" ref="AQ1960:AR1960" si="653">AQ1972</f>
        <v>-48.96268656716417</v>
      </c>
      <c r="AR1960" s="7">
        <f t="shared" si="653"/>
        <v>-48.96268656716417</v>
      </c>
      <c r="AS1960" s="7">
        <f t="shared" ref="AS1960" si="654">AS1972</f>
        <v>-48.96268656716417</v>
      </c>
      <c r="AT1960" s="2"/>
      <c r="AU1960" s="513"/>
    </row>
    <row r="1961" spans="1:47" outlineLevel="1">
      <c r="A1961" s="298"/>
      <c r="B1961" s="336" t="s">
        <v>645</v>
      </c>
      <c r="C1961" s="14" t="s">
        <v>732</v>
      </c>
      <c r="D1961" s="18"/>
      <c r="E1961" s="18"/>
      <c r="F1961" s="18"/>
      <c r="G1961" s="18"/>
      <c r="H1961" s="18"/>
      <c r="I1961" s="18"/>
      <c r="J1961" s="18"/>
      <c r="K1961" s="7"/>
      <c r="L1961" s="7"/>
      <c r="M1961" s="7"/>
      <c r="N1961" s="7"/>
      <c r="O1961" s="7"/>
      <c r="P1961" s="7"/>
      <c r="Q1961" s="7"/>
      <c r="R1961" s="7"/>
      <c r="S1961" s="7"/>
      <c r="T1961" s="7"/>
      <c r="U1961" s="7"/>
      <c r="V1961" s="7"/>
      <c r="W1961" s="7"/>
      <c r="X1961" s="7"/>
      <c r="Y1961" s="7"/>
      <c r="Z1961" s="7"/>
      <c r="AA1961" s="7"/>
      <c r="AB1961" s="7"/>
      <c r="AC1961" s="7"/>
      <c r="AD1961" s="7"/>
      <c r="AE1961" s="7"/>
      <c r="AF1961" s="7"/>
      <c r="AG1961" s="7">
        <f>AG1959+AG1960</f>
        <v>205.13888888888889</v>
      </c>
      <c r="AH1961" s="7">
        <f t="shared" ref="AH1961:AP1961" si="655">AH1959+AH1960</f>
        <v>180.72462686567164</v>
      </c>
      <c r="AI1961" s="7">
        <f t="shared" ref="AI1961" si="656">AI1959+AI1960</f>
        <v>202.25746268656718</v>
      </c>
      <c r="AJ1961" s="7">
        <f t="shared" si="655"/>
        <v>530.44029850746267</v>
      </c>
      <c r="AK1961" s="7">
        <f t="shared" si="655"/>
        <v>371.93728664835828</v>
      </c>
      <c r="AL1961" s="7">
        <f t="shared" si="655"/>
        <v>388.69268856205383</v>
      </c>
      <c r="AM1961" s="7">
        <f t="shared" si="655"/>
        <v>401.74712593533343</v>
      </c>
      <c r="AN1961" s="7">
        <f t="shared" si="655"/>
        <v>415.19521135518448</v>
      </c>
      <c r="AO1961" s="7">
        <f t="shared" si="655"/>
        <v>429.04875426300424</v>
      </c>
      <c r="AP1961" s="7">
        <f t="shared" si="655"/>
        <v>443.31991838343174</v>
      </c>
      <c r="AQ1961" s="7">
        <f t="shared" ref="AQ1961:AR1961" si="657">AQ1959+AQ1960</f>
        <v>458.08839653194957</v>
      </c>
      <c r="AR1961" s="7">
        <f t="shared" si="657"/>
        <v>473.29992902492302</v>
      </c>
      <c r="AS1961" s="7">
        <f t="shared" ref="AS1961" si="658">AS1959+AS1960</f>
        <v>488.96780749268567</v>
      </c>
      <c r="AT1961" s="2"/>
      <c r="AU1961" s="513"/>
    </row>
    <row r="1962" spans="1:47" outlineLevel="1">
      <c r="A1962" s="298"/>
      <c r="B1962" s="336" t="s">
        <v>1421</v>
      </c>
      <c r="C1962" s="14" t="s">
        <v>732</v>
      </c>
      <c r="D1962" s="18"/>
      <c r="E1962" s="18"/>
      <c r="F1962" s="18"/>
      <c r="G1962" s="18"/>
      <c r="H1962" s="18"/>
      <c r="I1962" s="18"/>
      <c r="J1962" s="18"/>
      <c r="K1962" s="7"/>
      <c r="L1962" s="7"/>
      <c r="M1962" s="7"/>
      <c r="N1962" s="7"/>
      <c r="O1962" s="7"/>
      <c r="P1962" s="7"/>
      <c r="Q1962" s="7"/>
      <c r="R1962" s="7"/>
      <c r="S1962" s="7"/>
      <c r="T1962" s="7"/>
      <c r="U1962" s="7"/>
      <c r="V1962" s="7"/>
      <c r="W1962" s="7"/>
      <c r="X1962" s="7"/>
      <c r="Y1962" s="7"/>
      <c r="Z1962" s="7"/>
      <c r="AA1962" s="7"/>
      <c r="AB1962" s="7"/>
      <c r="AC1962" s="7"/>
      <c r="AD1962" s="7"/>
      <c r="AE1962" s="7"/>
      <c r="AF1962" s="7"/>
      <c r="AG1962" s="7">
        <f>AG1961*-AG1973</f>
        <v>-98.466666666666669</v>
      </c>
      <c r="AH1962" s="7">
        <f t="shared" ref="AH1962:AP1962" si="659">AH1961*-AH1973</f>
        <v>-86.747820895522381</v>
      </c>
      <c r="AI1962" s="7">
        <f t="shared" ref="AI1962" si="660">AI1961*-AI1973</f>
        <v>-97.083582089552237</v>
      </c>
      <c r="AJ1962" s="7">
        <f t="shared" si="659"/>
        <v>-254.61134328358207</v>
      </c>
      <c r="AK1962" s="7">
        <f t="shared" si="659"/>
        <v>-178.52989759121198</v>
      </c>
      <c r="AL1962" s="7">
        <f t="shared" si="659"/>
        <v>-186.57249050978584</v>
      </c>
      <c r="AM1962" s="7">
        <f t="shared" si="659"/>
        <v>-192.83862044896003</v>
      </c>
      <c r="AN1962" s="7">
        <f t="shared" si="659"/>
        <v>-199.29370145048856</v>
      </c>
      <c r="AO1962" s="7">
        <f t="shared" si="659"/>
        <v>-205.94340204624203</v>
      </c>
      <c r="AP1962" s="7">
        <f t="shared" si="659"/>
        <v>-212.79356082404723</v>
      </c>
      <c r="AQ1962" s="7">
        <f t="shared" ref="AQ1962:AR1962" si="661">AQ1961*-AQ1973</f>
        <v>-219.88243033533578</v>
      </c>
      <c r="AR1962" s="7">
        <f t="shared" si="661"/>
        <v>-227.18396593196303</v>
      </c>
      <c r="AS1962" s="7">
        <f t="shared" ref="AS1962" si="662">AS1961*-AS1973</f>
        <v>-234.70454759648911</v>
      </c>
      <c r="AT1962" s="2"/>
      <c r="AU1962" s="513"/>
    </row>
    <row r="1963" spans="1:47" outlineLevel="1">
      <c r="A1963" s="298"/>
      <c r="B1963" s="336" t="s">
        <v>884</v>
      </c>
      <c r="C1963" s="14" t="s">
        <v>732</v>
      </c>
      <c r="D1963" s="18"/>
      <c r="E1963" s="18"/>
      <c r="F1963" s="18"/>
      <c r="G1963" s="18"/>
      <c r="H1963" s="18"/>
      <c r="I1963" s="18"/>
      <c r="J1963" s="18"/>
      <c r="K1963" s="7"/>
      <c r="L1963" s="7"/>
      <c r="M1963" s="7"/>
      <c r="N1963" s="7"/>
      <c r="O1963" s="7"/>
      <c r="P1963" s="7"/>
      <c r="Q1963" s="7"/>
      <c r="R1963" s="7"/>
      <c r="S1963" s="7"/>
      <c r="T1963" s="7"/>
      <c r="U1963" s="7"/>
      <c r="V1963" s="7"/>
      <c r="W1963" s="7"/>
      <c r="X1963" s="7"/>
      <c r="Y1963" s="7"/>
      <c r="Z1963" s="7"/>
      <c r="AA1963" s="7"/>
      <c r="AB1963" s="7"/>
      <c r="AC1963" s="7"/>
      <c r="AD1963" s="7"/>
      <c r="AE1963" s="7"/>
      <c r="AF1963" s="7"/>
      <c r="AG1963" s="7">
        <f>AG1961+AG1962</f>
        <v>106.67222222222222</v>
      </c>
      <c r="AH1963" s="7">
        <f t="shared" ref="AH1963:AP1963" si="663">AH1961+AH1962</f>
        <v>93.976805970149258</v>
      </c>
      <c r="AI1963" s="7">
        <f t="shared" ref="AI1963" si="664">AI1961+AI1962</f>
        <v>105.17388059701494</v>
      </c>
      <c r="AJ1963" s="7">
        <f t="shared" si="663"/>
        <v>275.8289552238806</v>
      </c>
      <c r="AK1963" s="7">
        <f t="shared" si="663"/>
        <v>193.4073890571463</v>
      </c>
      <c r="AL1963" s="7">
        <f t="shared" si="663"/>
        <v>202.12019805226799</v>
      </c>
      <c r="AM1963" s="7">
        <f t="shared" si="663"/>
        <v>208.9085054863734</v>
      </c>
      <c r="AN1963" s="7">
        <f t="shared" si="663"/>
        <v>215.90150990469593</v>
      </c>
      <c r="AO1963" s="7">
        <f t="shared" si="663"/>
        <v>223.10535221676221</v>
      </c>
      <c r="AP1963" s="7">
        <f t="shared" si="663"/>
        <v>230.52635755938451</v>
      </c>
      <c r="AQ1963" s="7">
        <f t="shared" ref="AQ1963:AR1963" si="665">AQ1961+AQ1962</f>
        <v>238.20596619661379</v>
      </c>
      <c r="AR1963" s="7">
        <f t="shared" si="665"/>
        <v>246.11596309295999</v>
      </c>
      <c r="AS1963" s="7">
        <f t="shared" ref="AS1963" si="666">AS1961+AS1962</f>
        <v>254.26325989619656</v>
      </c>
      <c r="AT1963" s="2"/>
      <c r="AU1963" s="513"/>
    </row>
    <row r="1964" spans="1:47" outlineLevel="1">
      <c r="A1964" s="298"/>
      <c r="B1964" s="55"/>
      <c r="C1964" s="18"/>
      <c r="D1964" s="18"/>
      <c r="E1964" s="18"/>
      <c r="F1964" s="18"/>
      <c r="G1964" s="18"/>
      <c r="H1964" s="18"/>
      <c r="I1964" s="18"/>
      <c r="J1964" s="18"/>
      <c r="K1964" s="7"/>
      <c r="L1964" s="7"/>
      <c r="M1964" s="7"/>
      <c r="N1964" s="7"/>
      <c r="O1964" s="7"/>
      <c r="P1964" s="7"/>
      <c r="Q1964" s="7"/>
      <c r="R1964" s="7"/>
      <c r="S1964" s="7"/>
      <c r="T1964" s="7"/>
      <c r="U1964" s="7"/>
      <c r="V1964" s="7"/>
      <c r="W1964" s="7"/>
      <c r="X1964" s="7"/>
      <c r="Y1964" s="7"/>
      <c r="Z1964" s="7"/>
      <c r="AA1964" s="7"/>
      <c r="AB1964" s="7"/>
      <c r="AC1964" s="7"/>
      <c r="AD1964" s="7"/>
      <c r="AE1964" s="7"/>
      <c r="AF1964" s="7"/>
      <c r="AG1964" s="7"/>
      <c r="AH1964" s="7"/>
      <c r="AI1964" s="7"/>
      <c r="AJ1964" s="7"/>
      <c r="AK1964" s="7"/>
      <c r="AL1964" s="7"/>
      <c r="AM1964" s="7"/>
      <c r="AN1964" s="7"/>
      <c r="AO1964" s="7"/>
      <c r="AP1964" s="7"/>
      <c r="AQ1964" s="7"/>
      <c r="AR1964" s="7"/>
      <c r="AS1964" s="7"/>
      <c r="AT1964" s="2"/>
      <c r="AU1964" s="513"/>
    </row>
    <row r="1965" spans="1:47" outlineLevel="1">
      <c r="A1965" s="298"/>
      <c r="B1965" s="337" t="s">
        <v>1423</v>
      </c>
      <c r="C1965" s="18"/>
      <c r="D1965" s="18"/>
      <c r="E1965" s="18"/>
      <c r="F1965" s="18"/>
      <c r="G1965" s="18"/>
      <c r="H1965" s="18"/>
      <c r="I1965" s="18"/>
      <c r="J1965" s="18"/>
      <c r="K1965" s="7"/>
      <c r="L1965" s="7"/>
      <c r="M1965" s="7"/>
      <c r="N1965" s="7"/>
      <c r="O1965" s="7"/>
      <c r="P1965" s="7"/>
      <c r="Q1965" s="7"/>
      <c r="R1965" s="7"/>
      <c r="S1965" s="7"/>
      <c r="T1965" s="7"/>
      <c r="U1965" s="7"/>
      <c r="V1965" s="7"/>
      <c r="W1965" s="7"/>
      <c r="X1965" s="7"/>
      <c r="Y1965" s="7"/>
      <c r="Z1965" s="7"/>
      <c r="AA1965" s="7"/>
      <c r="AB1965" s="7"/>
      <c r="AC1965" s="7"/>
      <c r="AD1965" s="7"/>
      <c r="AE1965" s="7"/>
      <c r="AF1965" s="7"/>
      <c r="AG1965" s="7"/>
      <c r="AH1965" s="7"/>
      <c r="AI1965" s="7"/>
      <c r="AJ1965" s="7"/>
      <c r="AK1965" s="7"/>
      <c r="AL1965" s="7"/>
      <c r="AM1965" s="7"/>
      <c r="AN1965" s="7"/>
      <c r="AO1965" s="7"/>
      <c r="AP1965" s="7"/>
      <c r="AQ1965" s="7"/>
      <c r="AR1965" s="7"/>
      <c r="AS1965" s="7"/>
      <c r="AT1965" s="2"/>
      <c r="AU1965" s="513"/>
    </row>
    <row r="1966" spans="1:47" outlineLevel="1">
      <c r="A1966" s="298"/>
      <c r="B1966" s="346" t="s">
        <v>731</v>
      </c>
      <c r="C1966" s="310" t="s">
        <v>733</v>
      </c>
      <c r="D1966" s="310"/>
      <c r="E1966" s="18"/>
      <c r="F1966" s="18"/>
      <c r="G1966" s="18"/>
      <c r="H1966" s="18"/>
      <c r="I1966" s="18"/>
      <c r="J1966" s="18"/>
      <c r="K1966" s="7"/>
      <c r="L1966" s="7"/>
      <c r="M1966" s="7"/>
      <c r="N1966" s="7"/>
      <c r="O1966" s="7"/>
      <c r="P1966" s="7"/>
      <c r="Q1966" s="7"/>
      <c r="R1966" s="7"/>
      <c r="S1966" s="7"/>
      <c r="T1966" s="7"/>
      <c r="U1966" s="7"/>
      <c r="V1966" s="7"/>
      <c r="W1966" s="7"/>
      <c r="X1966" s="7"/>
      <c r="Y1966" s="7"/>
      <c r="Z1966" s="7"/>
      <c r="AA1966" s="7"/>
      <c r="AB1966" s="7"/>
      <c r="AC1966" s="7"/>
      <c r="AD1966" s="7"/>
      <c r="AE1966" s="7"/>
      <c r="AG1966" s="621">
        <v>0.04</v>
      </c>
      <c r="AH1966" s="621">
        <v>0.04</v>
      </c>
      <c r="AI1966" s="621">
        <v>0.04</v>
      </c>
      <c r="AJ1966" s="621">
        <v>0.04</v>
      </c>
      <c r="AK1966" s="621">
        <v>0.04</v>
      </c>
      <c r="AL1966" s="621">
        <v>0.04</v>
      </c>
      <c r="AM1966" s="621">
        <v>0.03</v>
      </c>
      <c r="AN1966" s="621">
        <v>0.03</v>
      </c>
      <c r="AO1966" s="621">
        <v>0.03</v>
      </c>
      <c r="AP1966" s="621">
        <v>0.03</v>
      </c>
      <c r="AQ1966" s="621">
        <v>0.03</v>
      </c>
      <c r="AR1966" s="621">
        <v>0.03</v>
      </c>
      <c r="AS1966" s="621">
        <v>0.03</v>
      </c>
      <c r="AT1966" s="2"/>
      <c r="AU1966" s="513"/>
    </row>
    <row r="1967" spans="1:47" outlineLevel="1">
      <c r="A1967" s="298"/>
      <c r="B1967" s="346" t="s">
        <v>329</v>
      </c>
      <c r="C1967" s="310" t="s">
        <v>733</v>
      </c>
      <c r="D1967" s="310"/>
      <c r="E1967" s="18"/>
      <c r="F1967" s="18"/>
      <c r="G1967" s="18"/>
      <c r="H1967" s="18"/>
      <c r="I1967" s="18"/>
      <c r="J1967" s="18"/>
      <c r="K1967" s="7"/>
      <c r="L1967" s="7"/>
      <c r="M1967" s="7"/>
      <c r="N1967" s="7"/>
      <c r="O1967" s="7"/>
      <c r="P1967" s="7"/>
      <c r="Q1967" s="7"/>
      <c r="R1967" s="7"/>
      <c r="S1967" s="7"/>
      <c r="T1967" s="7"/>
      <c r="U1967" s="7"/>
      <c r="V1967" s="7"/>
      <c r="W1967" s="7"/>
      <c r="X1967" s="7"/>
      <c r="Y1967" s="7"/>
      <c r="Z1967" s="7"/>
      <c r="AA1967" s="7"/>
      <c r="AB1967" s="7"/>
      <c r="AC1967" s="7"/>
      <c r="AD1967" s="7"/>
      <c r="AE1967" s="7"/>
      <c r="AF1967" s="7"/>
      <c r="AG1967" s="621">
        <v>0.03</v>
      </c>
      <c r="AH1967" s="621">
        <v>0.03</v>
      </c>
      <c r="AI1967" s="621">
        <v>0.03</v>
      </c>
      <c r="AJ1967" s="621">
        <v>0.03</v>
      </c>
      <c r="AK1967" s="621">
        <v>0.03</v>
      </c>
      <c r="AL1967" s="621">
        <v>0.03</v>
      </c>
      <c r="AM1967" s="621">
        <v>0.02</v>
      </c>
      <c r="AN1967" s="621">
        <v>0.02</v>
      </c>
      <c r="AO1967" s="621">
        <v>0.02</v>
      </c>
      <c r="AP1967" s="621">
        <v>0.02</v>
      </c>
      <c r="AQ1967" s="621">
        <v>0.02</v>
      </c>
      <c r="AR1967" s="621">
        <v>0.02</v>
      </c>
      <c r="AS1967" s="621">
        <v>0.02</v>
      </c>
      <c r="AT1967" s="2"/>
      <c r="AU1967" s="513"/>
    </row>
    <row r="1968" spans="1:47" outlineLevel="1">
      <c r="A1968" s="298"/>
      <c r="B1968" s="346" t="s">
        <v>1418</v>
      </c>
      <c r="C1968" s="310" t="s">
        <v>733</v>
      </c>
      <c r="D1968" s="310"/>
      <c r="E1968" s="18"/>
      <c r="F1968" s="18"/>
      <c r="G1968" s="18"/>
      <c r="H1968" s="18"/>
      <c r="I1968" s="18"/>
      <c r="J1968" s="18"/>
      <c r="K1968" s="7"/>
      <c r="L1968" s="7"/>
      <c r="M1968" s="7"/>
      <c r="N1968" s="7"/>
      <c r="O1968" s="7"/>
      <c r="P1968" s="7"/>
      <c r="Q1968" s="7"/>
      <c r="R1968" s="7"/>
      <c r="S1968" s="7"/>
      <c r="T1968" s="7"/>
      <c r="U1968" s="7"/>
      <c r="V1968" s="7"/>
      <c r="W1968" s="7"/>
      <c r="X1968" s="7"/>
      <c r="Y1968" s="7"/>
      <c r="Z1968" s="7"/>
      <c r="AA1968" s="7"/>
      <c r="AB1968" s="7"/>
      <c r="AC1968" s="7"/>
      <c r="AD1968" s="7"/>
      <c r="AE1968" s="7"/>
      <c r="AF1968" s="621">
        <v>0.15</v>
      </c>
      <c r="AG1968" s="621">
        <v>0.15</v>
      </c>
      <c r="AH1968" s="621">
        <v>0.15</v>
      </c>
      <c r="AI1968" s="621">
        <v>0.15</v>
      </c>
      <c r="AJ1968" s="621">
        <v>0.15</v>
      </c>
      <c r="AK1968" s="621">
        <v>0.15</v>
      </c>
      <c r="AL1968" s="621">
        <v>0.15</v>
      </c>
      <c r="AM1968" s="621">
        <v>0.15</v>
      </c>
      <c r="AN1968" s="621">
        <v>0.15</v>
      </c>
      <c r="AO1968" s="621">
        <v>0.15</v>
      </c>
      <c r="AP1968" s="621">
        <v>0.15</v>
      </c>
      <c r="AQ1968" s="621">
        <v>0.15</v>
      </c>
      <c r="AR1968" s="621">
        <v>0.15</v>
      </c>
      <c r="AS1968" s="621">
        <v>0.15</v>
      </c>
      <c r="AT1968" s="2"/>
      <c r="AU1968" s="513"/>
    </row>
    <row r="1969" spans="1:47" outlineLevel="1">
      <c r="A1969" s="298"/>
      <c r="B1969" s="336" t="s">
        <v>346</v>
      </c>
      <c r="C1969" s="14" t="s">
        <v>272</v>
      </c>
      <c r="D1969" s="48"/>
      <c r="E1969" s="18"/>
      <c r="F1969" s="18"/>
      <c r="G1969" s="18"/>
      <c r="H1969" s="18"/>
      <c r="I1969" s="18"/>
      <c r="J1969" s="18"/>
      <c r="K1969" s="7"/>
      <c r="L1969" s="7"/>
      <c r="M1969" s="7"/>
      <c r="N1969" s="7"/>
      <c r="O1969" s="7"/>
      <c r="P1969" s="7"/>
      <c r="Q1969" s="7"/>
      <c r="R1969" s="7"/>
      <c r="S1969" s="7"/>
      <c r="T1969" s="7"/>
      <c r="U1969" s="7"/>
      <c r="V1969" s="7"/>
      <c r="W1969" s="7"/>
      <c r="X1969" s="7"/>
      <c r="Y1969" s="7"/>
      <c r="Z1969" s="7"/>
      <c r="AA1969" s="7"/>
      <c r="AB1969" s="7"/>
      <c r="AC1969" s="7"/>
      <c r="AD1969" s="7"/>
      <c r="AE1969" s="7"/>
      <c r="AF1969" s="7">
        <f>AG1969</f>
        <v>720</v>
      </c>
      <c r="AG1969" s="295">
        <v>720</v>
      </c>
      <c r="AH1969" s="7">
        <v>721</v>
      </c>
      <c r="AI1969" s="7">
        <v>722</v>
      </c>
      <c r="AJ1969" s="7">
        <v>723</v>
      </c>
      <c r="AK1969" s="7">
        <v>724</v>
      </c>
      <c r="AL1969" s="7">
        <v>725</v>
      </c>
      <c r="AM1969" s="7">
        <v>726</v>
      </c>
      <c r="AN1969" s="7">
        <v>727</v>
      </c>
      <c r="AO1969" s="7">
        <v>728</v>
      </c>
      <c r="AP1969" s="7">
        <v>729</v>
      </c>
      <c r="AQ1969" s="7">
        <v>729</v>
      </c>
      <c r="AR1969" s="7">
        <v>729</v>
      </c>
      <c r="AS1969" s="7">
        <v>729</v>
      </c>
      <c r="AT1969" s="2"/>
      <c r="AU1969" s="513"/>
    </row>
    <row r="1970" spans="1:47" outlineLevel="1">
      <c r="A1970" s="298"/>
      <c r="B1970" s="336" t="s">
        <v>346</v>
      </c>
      <c r="C1970" s="14" t="s">
        <v>732</v>
      </c>
      <c r="D1970" s="18"/>
      <c r="E1970" s="18"/>
      <c r="F1970" s="18"/>
      <c r="G1970" s="18"/>
      <c r="H1970" s="18"/>
      <c r="I1970" s="18"/>
      <c r="J1970" s="18"/>
      <c r="K1970" s="7"/>
      <c r="L1970" s="7"/>
      <c r="M1970" s="7"/>
      <c r="N1970" s="7"/>
      <c r="O1970" s="7"/>
      <c r="P1970" s="7"/>
      <c r="Q1970" s="7"/>
      <c r="R1970" s="7"/>
      <c r="S1970" s="7"/>
      <c r="T1970" s="7"/>
      <c r="U1970" s="7"/>
      <c r="V1970" s="7"/>
      <c r="W1970" s="7"/>
      <c r="X1970" s="7"/>
      <c r="Y1970" s="7"/>
      <c r="Z1970" s="7"/>
      <c r="AA1970" s="7"/>
      <c r="AB1970" s="7"/>
      <c r="AC1970" s="7"/>
      <c r="AD1970" s="7"/>
      <c r="AE1970" s="7"/>
      <c r="AF1970" s="7">
        <f>AG1970</f>
        <v>1000</v>
      </c>
      <c r="AG1970" s="7">
        <f>AG1969/AG1951</f>
        <v>1000</v>
      </c>
      <c r="AH1970" s="7">
        <f t="shared" ref="AH1970:AP1970" si="667">AH1969/AH1951</f>
        <v>1076.1194029850747</v>
      </c>
      <c r="AI1970" s="7">
        <f t="shared" si="667"/>
        <v>1077.6119402985073</v>
      </c>
      <c r="AJ1970" s="7">
        <f t="shared" si="667"/>
        <v>1079.1044776119402</v>
      </c>
      <c r="AK1970" s="7">
        <f t="shared" si="667"/>
        <v>1080.5970149253731</v>
      </c>
      <c r="AL1970" s="7">
        <f t="shared" si="667"/>
        <v>1082.0895522388059</v>
      </c>
      <c r="AM1970" s="7">
        <f t="shared" si="667"/>
        <v>1083.5820895522388</v>
      </c>
      <c r="AN1970" s="7">
        <f t="shared" si="667"/>
        <v>1085.0746268656717</v>
      </c>
      <c r="AO1970" s="7">
        <f t="shared" si="667"/>
        <v>1086.5671641791043</v>
      </c>
      <c r="AP1970" s="7">
        <f t="shared" si="667"/>
        <v>1088.0597014925372</v>
      </c>
      <c r="AQ1970" s="7">
        <f t="shared" ref="AQ1970:AR1970" si="668">AQ1969/AQ1951</f>
        <v>1088.0597014925372</v>
      </c>
      <c r="AR1970" s="7">
        <f t="shared" si="668"/>
        <v>1088.0597014925372</v>
      </c>
      <c r="AS1970" s="7">
        <f t="shared" ref="AS1970" si="669">AS1969/AS1951</f>
        <v>1088.0597014925372</v>
      </c>
      <c r="AT1970" s="2"/>
      <c r="AU1970" s="513"/>
    </row>
    <row r="1971" spans="1:47" outlineLevel="1">
      <c r="A1971" s="298"/>
      <c r="B1971" s="336" t="s">
        <v>1419</v>
      </c>
      <c r="C1971" s="310" t="s">
        <v>733</v>
      </c>
      <c r="D1971" s="18"/>
      <c r="E1971" s="18"/>
      <c r="F1971" s="18"/>
      <c r="G1971" s="18"/>
      <c r="H1971" s="18"/>
      <c r="I1971" s="18"/>
      <c r="J1971" s="18"/>
      <c r="K1971" s="7"/>
      <c r="L1971" s="7"/>
      <c r="M1971" s="7"/>
      <c r="N1971" s="7"/>
      <c r="O1971" s="7"/>
      <c r="P1971" s="7"/>
      <c r="Q1971" s="7"/>
      <c r="R1971" s="7"/>
      <c r="S1971" s="7"/>
      <c r="T1971" s="7"/>
      <c r="U1971" s="7"/>
      <c r="V1971" s="7"/>
      <c r="W1971" s="7"/>
      <c r="X1971" s="7"/>
      <c r="Y1971" s="7"/>
      <c r="Z1971" s="7"/>
      <c r="AA1971" s="7"/>
      <c r="AB1971" s="7"/>
      <c r="AC1971" s="7"/>
      <c r="AD1971" s="7"/>
      <c r="AE1971" s="7"/>
      <c r="AG1971" s="621">
        <v>4.4999999999999998E-2</v>
      </c>
      <c r="AH1971" s="621">
        <f>AG1971</f>
        <v>4.4999999999999998E-2</v>
      </c>
      <c r="AI1971" s="621">
        <f t="shared" ref="AI1971:AP1971" si="670">AH1971</f>
        <v>4.4999999999999998E-2</v>
      </c>
      <c r="AJ1971" s="621">
        <f t="shared" si="670"/>
        <v>4.4999999999999998E-2</v>
      </c>
      <c r="AK1971" s="621">
        <f t="shared" si="670"/>
        <v>4.4999999999999998E-2</v>
      </c>
      <c r="AL1971" s="621">
        <f t="shared" si="670"/>
        <v>4.4999999999999998E-2</v>
      </c>
      <c r="AM1971" s="621">
        <f t="shared" si="670"/>
        <v>4.4999999999999998E-2</v>
      </c>
      <c r="AN1971" s="621">
        <f t="shared" si="670"/>
        <v>4.4999999999999998E-2</v>
      </c>
      <c r="AO1971" s="621">
        <f t="shared" si="670"/>
        <v>4.4999999999999998E-2</v>
      </c>
      <c r="AP1971" s="621">
        <f t="shared" si="670"/>
        <v>4.4999999999999998E-2</v>
      </c>
      <c r="AQ1971" s="621">
        <f t="shared" ref="AQ1971" si="671">AP1971</f>
        <v>4.4999999999999998E-2</v>
      </c>
      <c r="AR1971" s="621">
        <f t="shared" ref="AR1971:AS1971" si="672">AQ1971</f>
        <v>4.4999999999999998E-2</v>
      </c>
      <c r="AS1971" s="621">
        <f t="shared" si="672"/>
        <v>4.4999999999999998E-2</v>
      </c>
      <c r="AT1971" s="2"/>
      <c r="AU1971" s="513"/>
    </row>
    <row r="1972" spans="1:47" ht="14.4" customHeight="1" outlineLevel="1">
      <c r="A1972" s="298"/>
      <c r="B1972" s="336" t="s">
        <v>171</v>
      </c>
      <c r="C1972" s="14" t="s">
        <v>732</v>
      </c>
      <c r="D1972" s="18"/>
      <c r="E1972" s="18"/>
      <c r="F1972" s="18"/>
      <c r="G1972" s="18"/>
      <c r="H1972" s="18"/>
      <c r="I1972" s="18"/>
      <c r="J1972" s="18"/>
      <c r="K1972" s="7"/>
      <c r="L1972" s="7"/>
      <c r="M1972" s="7"/>
      <c r="N1972" s="7"/>
      <c r="O1972" s="7"/>
      <c r="P1972" s="7"/>
      <c r="Q1972" s="7"/>
      <c r="R1972" s="7"/>
      <c r="S1972" s="7"/>
      <c r="T1972" s="7"/>
      <c r="U1972" s="7"/>
      <c r="V1972" s="7"/>
      <c r="W1972" s="7"/>
      <c r="X1972" s="7"/>
      <c r="Y1972" s="7"/>
      <c r="Z1972" s="7"/>
      <c r="AA1972" s="7"/>
      <c r="AB1972" s="7"/>
      <c r="AC1972" s="7"/>
      <c r="AD1972" s="7"/>
      <c r="AE1972" s="7"/>
      <c r="AF1972" s="7"/>
      <c r="AG1972" s="7">
        <f>AG1970*-AG1971</f>
        <v>-45</v>
      </c>
      <c r="AH1972" s="7">
        <f>AH1970*-AH1971</f>
        <v>-48.42537313432836</v>
      </c>
      <c r="AI1972" s="7">
        <f t="shared" ref="AI1972:AP1972" si="673">AI1970*-AI1971</f>
        <v>-48.492537313432827</v>
      </c>
      <c r="AJ1972" s="7">
        <f t="shared" si="673"/>
        <v>-48.559701492537307</v>
      </c>
      <c r="AK1972" s="7">
        <f t="shared" si="673"/>
        <v>-48.626865671641788</v>
      </c>
      <c r="AL1972" s="7">
        <f t="shared" si="673"/>
        <v>-48.694029850746269</v>
      </c>
      <c r="AM1972" s="7">
        <f t="shared" si="673"/>
        <v>-48.761194029850742</v>
      </c>
      <c r="AN1972" s="7">
        <f t="shared" si="673"/>
        <v>-48.828358208955223</v>
      </c>
      <c r="AO1972" s="7">
        <f t="shared" si="673"/>
        <v>-48.895522388059696</v>
      </c>
      <c r="AP1972" s="7">
        <f t="shared" si="673"/>
        <v>-48.96268656716417</v>
      </c>
      <c r="AQ1972" s="7">
        <f t="shared" ref="AQ1972:AR1972" si="674">AQ1970*-AQ1971</f>
        <v>-48.96268656716417</v>
      </c>
      <c r="AR1972" s="7">
        <f t="shared" si="674"/>
        <v>-48.96268656716417</v>
      </c>
      <c r="AS1972" s="7">
        <f t="shared" ref="AS1972" si="675">AS1970*-AS1971</f>
        <v>-48.96268656716417</v>
      </c>
      <c r="AT1972" s="2"/>
      <c r="AU1972" s="513"/>
    </row>
    <row r="1973" spans="1:47" ht="14.4" customHeight="1" outlineLevel="1">
      <c r="A1973" s="298"/>
      <c r="B1973" s="336" t="s">
        <v>1422</v>
      </c>
      <c r="C1973" s="310" t="s">
        <v>733</v>
      </c>
      <c r="D1973" s="18"/>
      <c r="E1973" s="18"/>
      <c r="F1973" s="18"/>
      <c r="G1973" s="18"/>
      <c r="H1973" s="18"/>
      <c r="I1973" s="18"/>
      <c r="J1973" s="18"/>
      <c r="K1973" s="7"/>
      <c r="L1973" s="7"/>
      <c r="M1973" s="7"/>
      <c r="N1973" s="7"/>
      <c r="O1973" s="7"/>
      <c r="P1973" s="7"/>
      <c r="Q1973" s="7"/>
      <c r="R1973" s="7"/>
      <c r="S1973" s="7"/>
      <c r="T1973" s="7"/>
      <c r="U1973" s="7"/>
      <c r="V1973" s="7"/>
      <c r="W1973" s="7"/>
      <c r="X1973" s="7"/>
      <c r="Y1973" s="7"/>
      <c r="Z1973" s="7"/>
      <c r="AA1973" s="7"/>
      <c r="AB1973" s="7"/>
      <c r="AC1973" s="7"/>
      <c r="AD1973" s="7"/>
      <c r="AE1973" s="7"/>
      <c r="AF1973" s="7"/>
      <c r="AG1973" s="621">
        <v>0.48</v>
      </c>
      <c r="AH1973" s="621">
        <f>AG1973</f>
        <v>0.48</v>
      </c>
      <c r="AI1973" s="621">
        <f t="shared" ref="AI1973:AP1973" si="676">AH1973</f>
        <v>0.48</v>
      </c>
      <c r="AJ1973" s="621">
        <f t="shared" si="676"/>
        <v>0.48</v>
      </c>
      <c r="AK1973" s="621">
        <f t="shared" si="676"/>
        <v>0.48</v>
      </c>
      <c r="AL1973" s="621">
        <f t="shared" si="676"/>
        <v>0.48</v>
      </c>
      <c r="AM1973" s="621">
        <f t="shared" si="676"/>
        <v>0.48</v>
      </c>
      <c r="AN1973" s="621">
        <f t="shared" si="676"/>
        <v>0.48</v>
      </c>
      <c r="AO1973" s="621">
        <f t="shared" si="676"/>
        <v>0.48</v>
      </c>
      <c r="AP1973" s="621">
        <f t="shared" si="676"/>
        <v>0.48</v>
      </c>
      <c r="AQ1973" s="621">
        <f t="shared" ref="AQ1973" si="677">AP1973</f>
        <v>0.48</v>
      </c>
      <c r="AR1973" s="621">
        <f t="shared" ref="AR1973:AS1973" si="678">AQ1973</f>
        <v>0.48</v>
      </c>
      <c r="AS1973" s="621">
        <f t="shared" si="678"/>
        <v>0.48</v>
      </c>
      <c r="AT1973" s="2"/>
      <c r="AU1973" s="513"/>
    </row>
    <row r="1974" spans="1:47" outlineLevel="1">
      <c r="A1974" s="298"/>
      <c r="B1974" s="55"/>
      <c r="C1974" s="18"/>
      <c r="D1974" s="18"/>
      <c r="E1974" s="18"/>
      <c r="F1974" s="18"/>
      <c r="G1974" s="18"/>
      <c r="H1974" s="18"/>
      <c r="I1974" s="18"/>
      <c r="J1974" s="18"/>
      <c r="K1974" s="7"/>
      <c r="L1974" s="7"/>
      <c r="M1974" s="7"/>
      <c r="N1974" s="7"/>
      <c r="O1974" s="7"/>
      <c r="P1974" s="7"/>
      <c r="Q1974" s="7"/>
      <c r="R1974" s="7"/>
      <c r="S1974" s="7"/>
      <c r="T1974" s="7"/>
      <c r="U1974" s="7"/>
      <c r="V1974" s="7"/>
      <c r="W1974" s="7"/>
      <c r="X1974" s="7"/>
      <c r="Y1974" s="7"/>
      <c r="Z1974" s="7"/>
      <c r="AA1974" s="7"/>
      <c r="AB1974" s="7"/>
      <c r="AC1974" s="7"/>
      <c r="AD1974" s="7"/>
      <c r="AE1974" s="7"/>
      <c r="AF1974" s="7"/>
      <c r="AG1974" s="7"/>
      <c r="AH1974" s="7"/>
      <c r="AI1974" s="7"/>
      <c r="AJ1974" s="7"/>
      <c r="AK1974" s="7"/>
      <c r="AL1974" s="7"/>
      <c r="AM1974" s="7"/>
      <c r="AN1974" s="7"/>
      <c r="AO1974" s="7"/>
      <c r="AP1974" s="7"/>
      <c r="AQ1974" s="7"/>
      <c r="AR1974" s="7"/>
      <c r="AS1974" s="7"/>
      <c r="AT1974" s="2"/>
      <c r="AU1974" s="513"/>
    </row>
    <row r="1975" spans="1:47" outlineLevel="1">
      <c r="A1975" s="298"/>
      <c r="B1975" s="1113" t="s">
        <v>1415</v>
      </c>
      <c r="C1975" s="18"/>
      <c r="D1975" s="18"/>
      <c r="E1975" s="18"/>
      <c r="F1975" s="18"/>
      <c r="G1975" s="18"/>
      <c r="H1975" s="18"/>
      <c r="I1975" s="18"/>
      <c r="J1975" s="18"/>
      <c r="K1975" s="7"/>
      <c r="L1975" s="7"/>
      <c r="M1975" s="7"/>
      <c r="N1975" s="7"/>
      <c r="O1975" s="7"/>
      <c r="P1975" s="7"/>
      <c r="Q1975" s="7"/>
      <c r="R1975" s="7"/>
      <c r="S1975" s="7"/>
      <c r="T1975" s="7"/>
      <c r="U1975" s="7"/>
      <c r="V1975" s="7"/>
      <c r="W1975" s="7"/>
      <c r="X1975" s="7"/>
      <c r="Y1975" s="7"/>
      <c r="Z1975" s="7"/>
      <c r="AA1975" s="7"/>
      <c r="AB1975" s="7"/>
      <c r="AC1975" s="7"/>
      <c r="AD1975" s="7"/>
      <c r="AE1975" s="7"/>
      <c r="AF1975" s="7"/>
      <c r="AG1975" s="7"/>
      <c r="AH1975" s="7"/>
      <c r="AI1975" s="7"/>
      <c r="AJ1975" s="7"/>
      <c r="AK1975" s="7"/>
      <c r="AL1975" s="7"/>
      <c r="AM1975" s="7"/>
      <c r="AN1975" s="7"/>
      <c r="AO1975" s="7"/>
      <c r="AP1975" s="7"/>
      <c r="AQ1975" s="7"/>
      <c r="AR1975" s="7"/>
      <c r="AS1975" s="7"/>
      <c r="AT1975" s="2"/>
      <c r="AU1975" s="513"/>
    </row>
    <row r="1976" spans="1:47" outlineLevel="1">
      <c r="A1976" s="298"/>
      <c r="B1976" s="337" t="s">
        <v>1247</v>
      </c>
      <c r="C1976" s="18"/>
      <c r="D1976" s="18"/>
      <c r="E1976" s="18"/>
      <c r="F1976" s="18"/>
      <c r="G1976" s="18"/>
      <c r="H1976" s="18"/>
      <c r="I1976" s="18"/>
      <c r="J1976" s="18"/>
      <c r="K1976" s="7"/>
      <c r="L1976" s="7"/>
      <c r="M1976" s="7"/>
      <c r="N1976" s="7"/>
      <c r="O1976" s="7"/>
      <c r="P1976" s="7"/>
      <c r="Q1976" s="7"/>
      <c r="R1976" s="7"/>
      <c r="S1976" s="7"/>
      <c r="T1976" s="7"/>
      <c r="U1976" s="7"/>
      <c r="V1976" s="7"/>
      <c r="W1976" s="7"/>
      <c r="X1976" s="7"/>
      <c r="Y1976" s="7"/>
      <c r="Z1976" s="7"/>
      <c r="AA1976" s="7"/>
      <c r="AB1976" s="7"/>
      <c r="AC1976" s="7"/>
      <c r="AD1976" s="7"/>
      <c r="AE1976" s="7"/>
      <c r="AF1976" s="7"/>
      <c r="AG1976" s="7"/>
      <c r="AH1976" s="7"/>
      <c r="AI1976" s="7"/>
      <c r="AJ1976" s="7"/>
      <c r="AK1976" s="7"/>
      <c r="AL1976" s="7"/>
      <c r="AM1976" s="7"/>
      <c r="AN1976" s="7"/>
      <c r="AO1976" s="7"/>
      <c r="AP1976" s="7"/>
      <c r="AQ1976" s="7"/>
      <c r="AR1976" s="7"/>
      <c r="AS1976" s="7"/>
      <c r="AT1976" s="2"/>
      <c r="AU1976" s="513"/>
    </row>
    <row r="1977" spans="1:47" outlineLevel="1">
      <c r="A1977" s="410"/>
      <c r="B1977" s="8" t="s">
        <v>178</v>
      </c>
      <c r="C1977" s="14" t="s">
        <v>732</v>
      </c>
      <c r="D1977" s="14"/>
      <c r="E1977" s="14"/>
      <c r="F1977" s="14"/>
      <c r="G1977" s="14"/>
      <c r="H1977" s="14"/>
      <c r="I1977" s="14"/>
      <c r="J1977" s="14"/>
      <c r="K1977" s="11"/>
      <c r="L1977" s="11"/>
      <c r="M1977" s="11"/>
      <c r="N1977" s="11"/>
      <c r="O1977" s="11"/>
      <c r="P1977" s="412"/>
      <c r="Q1977" s="412"/>
      <c r="R1977" s="412"/>
      <c r="S1977" s="413"/>
      <c r="T1977" s="413"/>
      <c r="U1977" s="413"/>
      <c r="V1977" s="413"/>
      <c r="W1977" s="414"/>
      <c r="X1977" s="414"/>
      <c r="Y1977" s="414"/>
      <c r="Z1977" s="538">
        <v>244</v>
      </c>
      <c r="AA1977" s="538">
        <v>308</v>
      </c>
      <c r="AB1977" s="538">
        <v>303</v>
      </c>
      <c r="AC1977" s="538">
        <v>318</v>
      </c>
      <c r="AD1977" s="538">
        <v>346</v>
      </c>
      <c r="AE1977" s="538">
        <v>279</v>
      </c>
      <c r="AF1977" s="1160">
        <v>202</v>
      </c>
      <c r="AG1977" s="1160">
        <f t="shared" ref="AG1977:AP1977" ca="1" si="679">AF1977*(1+AG1983)</f>
        <v>146.25089605734766</v>
      </c>
      <c r="AH1977" s="1160">
        <v>300</v>
      </c>
      <c r="AI1977" s="411">
        <f t="shared" ca="1" si="679"/>
        <v>310.00000000000006</v>
      </c>
      <c r="AJ1977" s="411">
        <f t="shared" ca="1" si="679"/>
        <v>310.00000000000006</v>
      </c>
      <c r="AK1977" s="411">
        <f t="shared" ca="1" si="679"/>
        <v>310.00000000000006</v>
      </c>
      <c r="AL1977" s="411">
        <f t="shared" ca="1" si="679"/>
        <v>310.00000000000006</v>
      </c>
      <c r="AM1977" s="411">
        <f t="shared" ca="1" si="679"/>
        <v>310.00000000000006</v>
      </c>
      <c r="AN1977" s="411">
        <f t="shared" ca="1" si="679"/>
        <v>310.00000000000006</v>
      </c>
      <c r="AO1977" s="411">
        <f t="shared" ca="1" si="679"/>
        <v>310.00000000000006</v>
      </c>
      <c r="AP1977" s="411">
        <f t="shared" ca="1" si="679"/>
        <v>310.00000000000006</v>
      </c>
      <c r="AQ1977" s="411">
        <f t="shared" ref="AQ1977:AQ1979" ca="1" si="680">AP1977*(1+AQ1983)</f>
        <v>310.00000000000006</v>
      </c>
      <c r="AR1977" s="411">
        <f t="shared" ref="AR1977:AS1979" ca="1" si="681">AQ1977*(1+AR1983)</f>
        <v>310.00000000000006</v>
      </c>
      <c r="AS1977" s="411">
        <f t="shared" ca="1" si="681"/>
        <v>310.00000000000006</v>
      </c>
      <c r="AT1977" s="8"/>
      <c r="AU1977" s="513"/>
    </row>
    <row r="1978" spans="1:47" outlineLevel="1">
      <c r="A1978" s="410"/>
      <c r="B1978" s="8" t="s">
        <v>1064</v>
      </c>
      <c r="C1978" s="14" t="s">
        <v>732</v>
      </c>
      <c r="D1978" s="14"/>
      <c r="E1978" s="14"/>
      <c r="F1978" s="14"/>
      <c r="G1978" s="14"/>
      <c r="H1978" s="14"/>
      <c r="I1978" s="14"/>
      <c r="J1978" s="14"/>
      <c r="K1978" s="11"/>
      <c r="L1978" s="11"/>
      <c r="M1978" s="11"/>
      <c r="N1978" s="11"/>
      <c r="O1978" s="11"/>
      <c r="P1978" s="412"/>
      <c r="Q1978" s="412"/>
      <c r="R1978" s="412"/>
      <c r="S1978" s="413"/>
      <c r="T1978" s="413"/>
      <c r="U1978" s="413"/>
      <c r="V1978" s="413"/>
      <c r="W1978" s="414"/>
      <c r="X1978" s="414"/>
      <c r="Y1978" s="414"/>
      <c r="Z1978" s="538">
        <v>533</v>
      </c>
      <c r="AA1978" s="538">
        <v>960</v>
      </c>
      <c r="AB1978" s="538">
        <v>942</v>
      </c>
      <c r="AC1978" s="538">
        <v>923</v>
      </c>
      <c r="AD1978" s="538">
        <v>1003</v>
      </c>
      <c r="AE1978" s="538">
        <v>939</v>
      </c>
      <c r="AF1978" s="1160">
        <v>931</v>
      </c>
      <c r="AG1978" s="1160">
        <f t="shared" ref="AG1978:AP1978" ca="1" si="682">AF1978*(1+AG1984)</f>
        <v>923.06815761448354</v>
      </c>
      <c r="AH1978" s="1160">
        <v>1025</v>
      </c>
      <c r="AI1978" s="411">
        <f t="shared" ca="1" si="682"/>
        <v>1016.2673056443018</v>
      </c>
      <c r="AJ1978" s="411">
        <f t="shared" ca="1" si="682"/>
        <v>1117.8940362087321</v>
      </c>
      <c r="AK1978" s="411">
        <f t="shared" ca="1" si="682"/>
        <v>1140.2519169329069</v>
      </c>
      <c r="AL1978" s="411">
        <f t="shared" ca="1" si="682"/>
        <v>1163.0569552715649</v>
      </c>
      <c r="AM1978" s="411">
        <f t="shared" ca="1" si="682"/>
        <v>1186.3180943769962</v>
      </c>
      <c r="AN1978" s="411">
        <f t="shared" ca="1" si="682"/>
        <v>1210.0444562645362</v>
      </c>
      <c r="AO1978" s="411">
        <f t="shared" ca="1" si="682"/>
        <v>1234.245345389827</v>
      </c>
      <c r="AP1978" s="411">
        <f t="shared" ca="1" si="682"/>
        <v>1258.9302522976236</v>
      </c>
      <c r="AQ1978" s="411">
        <f t="shared" ca="1" si="680"/>
        <v>1284.1088573435761</v>
      </c>
      <c r="AR1978" s="411">
        <f t="shared" ca="1" si="681"/>
        <v>1309.7910344904476</v>
      </c>
      <c r="AS1978" s="411">
        <f t="shared" ca="1" si="681"/>
        <v>1335.9868551802565</v>
      </c>
      <c r="AT1978" s="8"/>
      <c r="AU1978" s="513"/>
    </row>
    <row r="1979" spans="1:47" outlineLevel="1">
      <c r="A1979" s="410"/>
      <c r="B1979" s="8" t="s">
        <v>28</v>
      </c>
      <c r="C1979" s="14" t="s">
        <v>732</v>
      </c>
      <c r="D1979" s="14"/>
      <c r="E1979" s="14"/>
      <c r="F1979" s="14"/>
      <c r="G1979" s="14"/>
      <c r="H1979" s="14"/>
      <c r="I1979" s="14"/>
      <c r="J1979" s="14"/>
      <c r="K1979" s="11"/>
      <c r="L1979" s="11"/>
      <c r="M1979" s="11"/>
      <c r="N1979" s="11"/>
      <c r="O1979" s="11"/>
      <c r="P1979" s="412"/>
      <c r="Q1979" s="412"/>
      <c r="R1979" s="412"/>
      <c r="S1979" s="413"/>
      <c r="T1979" s="413"/>
      <c r="U1979" s="413"/>
      <c r="V1979" s="413"/>
      <c r="W1979" s="414"/>
      <c r="X1979" s="414"/>
      <c r="Y1979" s="414"/>
      <c r="Z1979" s="538">
        <v>111</v>
      </c>
      <c r="AA1979" s="538">
        <v>186</v>
      </c>
      <c r="AB1979" s="538">
        <v>204</v>
      </c>
      <c r="AC1979" s="538">
        <v>343</v>
      </c>
      <c r="AD1979" s="538">
        <v>356</v>
      </c>
      <c r="AE1979" s="538">
        <v>371</v>
      </c>
      <c r="AF1979" s="1160">
        <v>361</v>
      </c>
      <c r="AG1979" s="1160">
        <f t="shared" ref="AG1979:AP1979" ca="1" si="683">AF1979*(1+AG1985)</f>
        <v>351.26954177897574</v>
      </c>
      <c r="AH1979" s="1160">
        <v>400</v>
      </c>
      <c r="AI1979" s="411">
        <f t="shared" ca="1" si="683"/>
        <v>389.21832884097029</v>
      </c>
      <c r="AJ1979" s="411">
        <f t="shared" ca="1" si="683"/>
        <v>389.21832884097029</v>
      </c>
      <c r="AK1979" s="411">
        <f t="shared" ca="1" si="683"/>
        <v>389.21832884097029</v>
      </c>
      <c r="AL1979" s="411">
        <f t="shared" ca="1" si="683"/>
        <v>389.21832884097029</v>
      </c>
      <c r="AM1979" s="411">
        <f t="shared" ca="1" si="683"/>
        <v>389.21832884097029</v>
      </c>
      <c r="AN1979" s="411">
        <f t="shared" ca="1" si="683"/>
        <v>389.21832884097029</v>
      </c>
      <c r="AO1979" s="411">
        <f t="shared" ca="1" si="683"/>
        <v>389.21832884097029</v>
      </c>
      <c r="AP1979" s="411">
        <f t="shared" ca="1" si="683"/>
        <v>389.21832884097029</v>
      </c>
      <c r="AQ1979" s="411">
        <f t="shared" ca="1" si="680"/>
        <v>389.21832884097029</v>
      </c>
      <c r="AR1979" s="411">
        <f t="shared" ca="1" si="681"/>
        <v>389.21832884097029</v>
      </c>
      <c r="AS1979" s="411">
        <f t="shared" ca="1" si="681"/>
        <v>389.21832884097029</v>
      </c>
      <c r="AT1979" s="8"/>
      <c r="AU1979" s="513"/>
    </row>
    <row r="1980" spans="1:47" outlineLevel="1">
      <c r="A1980" s="338"/>
      <c r="B1980" s="9" t="s">
        <v>1249</v>
      </c>
      <c r="C1980" s="48" t="s">
        <v>732</v>
      </c>
      <c r="D1980" s="48"/>
      <c r="E1980" s="48"/>
      <c r="F1980" s="48"/>
      <c r="G1980" s="48"/>
      <c r="H1980" s="48"/>
      <c r="I1980" s="48"/>
      <c r="J1980" s="48"/>
      <c r="K1980" s="49"/>
      <c r="L1980" s="49"/>
      <c r="M1980" s="49"/>
      <c r="N1980" s="49"/>
      <c r="O1980" s="49"/>
      <c r="P1980" s="49"/>
      <c r="Q1980" s="49"/>
      <c r="R1980" s="49"/>
      <c r="S1980" s="49"/>
      <c r="T1980" s="49"/>
      <c r="U1980" s="49"/>
      <c r="V1980" s="49"/>
      <c r="W1980" s="50"/>
      <c r="X1980" s="50"/>
      <c r="Y1980" s="50"/>
      <c r="Z1980" s="415">
        <f t="shared" ref="Z1980:AO1980" si="684">SUM(Z1977:Z1979)</f>
        <v>888</v>
      </c>
      <c r="AA1980" s="415">
        <f t="shared" si="684"/>
        <v>1454</v>
      </c>
      <c r="AB1980" s="415">
        <v>1449</v>
      </c>
      <c r="AC1980" s="415">
        <v>1584</v>
      </c>
      <c r="AD1980" s="415">
        <f t="shared" si="684"/>
        <v>1705</v>
      </c>
      <c r="AE1980" s="540">
        <v>1501</v>
      </c>
      <c r="AF1980" s="540">
        <v>1496</v>
      </c>
      <c r="AG1980" s="540">
        <v>1501</v>
      </c>
      <c r="AH1980" s="540">
        <f>1597+113</f>
        <v>1710</v>
      </c>
      <c r="AI1980" s="540">
        <f>2578-715</f>
        <v>1863</v>
      </c>
      <c r="AJ1980" s="540">
        <f>2587-660</f>
        <v>1927</v>
      </c>
      <c r="AK1980" s="415">
        <f t="shared" ca="1" si="684"/>
        <v>1839.4702457738772</v>
      </c>
      <c r="AL1980" s="415">
        <f t="shared" ca="1" si="684"/>
        <v>1862.2752841125352</v>
      </c>
      <c r="AM1980" s="415">
        <f t="shared" ca="1" si="684"/>
        <v>1885.5364232179666</v>
      </c>
      <c r="AN1980" s="415">
        <f t="shared" ca="1" si="684"/>
        <v>1909.2627851055065</v>
      </c>
      <c r="AO1980" s="415">
        <f t="shared" ca="1" si="684"/>
        <v>1933.4636742307973</v>
      </c>
      <c r="AP1980" s="415">
        <f ca="1">SUM(AP1977:AP1979)</f>
        <v>1958.148581138594</v>
      </c>
      <c r="AQ1980" s="415">
        <f t="shared" ref="AQ1980:AR1980" ca="1" si="685">SUM(AQ1977:AQ1979)</f>
        <v>1983.3271861845465</v>
      </c>
      <c r="AR1980" s="415">
        <f t="shared" ca="1" si="685"/>
        <v>2009.0093633314179</v>
      </c>
      <c r="AS1980" s="415">
        <f t="shared" ref="AS1980" ca="1" si="686">SUM(AS1977:AS1979)</f>
        <v>2035.2051840212268</v>
      </c>
      <c r="AT1980" s="9"/>
      <c r="AU1980" s="513"/>
    </row>
    <row r="1981" spans="1:47" outlineLevel="1">
      <c r="A1981" s="298"/>
      <c r="B1981" s="55"/>
      <c r="C1981" s="18"/>
      <c r="D1981" s="18"/>
      <c r="E1981" s="18"/>
      <c r="F1981" s="18"/>
      <c r="G1981" s="18"/>
      <c r="H1981" s="18"/>
      <c r="I1981" s="18"/>
      <c r="J1981" s="18"/>
      <c r="K1981" s="7"/>
      <c r="L1981" s="7"/>
      <c r="M1981" s="7"/>
      <c r="N1981" s="7"/>
      <c r="O1981" s="7"/>
      <c r="P1981" s="7"/>
      <c r="Q1981" s="7"/>
      <c r="R1981" s="7"/>
      <c r="S1981" s="7"/>
      <c r="T1981" s="7"/>
      <c r="U1981" s="7"/>
      <c r="V1981" s="7"/>
      <c r="W1981" s="7"/>
      <c r="X1981" s="7"/>
      <c r="Y1981" s="7"/>
      <c r="Z1981" s="7"/>
      <c r="AA1981" s="7"/>
      <c r="AB1981" s="7"/>
      <c r="AC1981" s="7"/>
      <c r="AD1981" s="7"/>
      <c r="AE1981" s="7"/>
      <c r="AF1981" s="7"/>
      <c r="AG1981" s="540"/>
      <c r="AH1981" s="540"/>
      <c r="AI1981" s="7"/>
      <c r="AJ1981" s="7"/>
      <c r="AK1981" s="7"/>
      <c r="AL1981" s="7"/>
      <c r="AM1981" s="7"/>
      <c r="AN1981" s="7"/>
      <c r="AO1981" s="7"/>
      <c r="AP1981" s="7"/>
      <c r="AQ1981" s="7"/>
      <c r="AR1981" s="7"/>
      <c r="AS1981" s="7"/>
      <c r="AT1981" s="2"/>
      <c r="AU1981" s="513"/>
    </row>
    <row r="1982" spans="1:47" outlineLevel="1">
      <c r="A1982" s="298"/>
      <c r="B1982" s="337" t="s">
        <v>1099</v>
      </c>
      <c r="C1982" s="18"/>
      <c r="D1982" s="18"/>
      <c r="E1982" s="18"/>
      <c r="F1982" s="18"/>
      <c r="G1982" s="18"/>
      <c r="H1982" s="18"/>
      <c r="I1982" s="18"/>
      <c r="J1982" s="18"/>
      <c r="K1982" s="6"/>
      <c r="L1982" s="6"/>
      <c r="M1982" s="6"/>
      <c r="N1982" s="6"/>
      <c r="O1982" s="6"/>
      <c r="P1982" s="6"/>
      <c r="Q1982" s="6"/>
      <c r="R1982" s="6"/>
      <c r="S1982" s="6"/>
      <c r="T1982" s="2"/>
      <c r="U1982" s="2"/>
      <c r="V1982" s="2"/>
      <c r="W1982" s="2"/>
      <c r="X1982" s="2"/>
      <c r="Y1982" s="2"/>
      <c r="Z1982" s="2"/>
      <c r="AA1982" s="2"/>
      <c r="AB1982" s="2"/>
      <c r="AC1982" s="2"/>
      <c r="AD1982" s="2"/>
      <c r="AE1982" s="2"/>
      <c r="AF1982" s="2"/>
      <c r="AG1982" s="2"/>
      <c r="AH1982" s="2"/>
      <c r="AI1982" s="2"/>
      <c r="AJ1982" s="2"/>
      <c r="AK1982" s="2"/>
      <c r="AL1982" s="2"/>
      <c r="AM1982" s="2"/>
      <c r="AN1982" s="2"/>
      <c r="AO1982" s="2"/>
      <c r="AP1982" s="2"/>
      <c r="AQ1982" s="2"/>
      <c r="AR1982" s="2"/>
      <c r="AS1982" s="2"/>
      <c r="AT1982" s="2"/>
      <c r="AU1982" s="513"/>
    </row>
    <row r="1983" spans="1:47" outlineLevel="1">
      <c r="A1983" s="308"/>
      <c r="B1983" s="309" t="s">
        <v>178</v>
      </c>
      <c r="C1983" s="310" t="s">
        <v>733</v>
      </c>
      <c r="D1983" s="310"/>
      <c r="E1983" s="310"/>
      <c r="F1983" s="310"/>
      <c r="G1983" s="310"/>
      <c r="H1983" s="310"/>
      <c r="I1983" s="310"/>
      <c r="J1983" s="310"/>
      <c r="K1983" s="311"/>
      <c r="L1983" s="311"/>
      <c r="M1983" s="311"/>
      <c r="N1983" s="311"/>
      <c r="O1983" s="311"/>
      <c r="P1983" s="311"/>
      <c r="Q1983" s="312"/>
      <c r="R1983" s="312"/>
      <c r="S1983" s="312"/>
      <c r="T1983" s="312"/>
      <c r="U1983" s="312"/>
      <c r="V1983" s="312"/>
      <c r="W1983" s="313"/>
      <c r="X1983" s="313"/>
      <c r="Y1983" s="313"/>
      <c r="Z1983" s="313"/>
      <c r="AA1983" s="313">
        <f t="shared" ref="AA1983:AI1986" si="687">AA1977/Z1977-1</f>
        <v>0.26229508196721318</v>
      </c>
      <c r="AB1983" s="313">
        <v>-1.6233766233766267E-2</v>
      </c>
      <c r="AC1983" s="313">
        <v>4.9504950495049549E-2</v>
      </c>
      <c r="AD1983" s="313">
        <f t="shared" si="687"/>
        <v>8.8050314465408785E-2</v>
      </c>
      <c r="AE1983" s="313">
        <f t="shared" si="687"/>
        <v>-0.19364161849710981</v>
      </c>
      <c r="AF1983" s="313">
        <f t="shared" si="687"/>
        <v>-0.27598566308243733</v>
      </c>
      <c r="AG1983" s="313">
        <f t="shared" ca="1" si="687"/>
        <v>-0.27598566308243733</v>
      </c>
      <c r="AH1983" s="313">
        <f t="shared" ca="1" si="687"/>
        <v>1.0512694833839822</v>
      </c>
      <c r="AI1983" s="313">
        <f t="shared" ca="1" si="687"/>
        <v>3.3333333333333437E-2</v>
      </c>
      <c r="AJ1983" s="621">
        <v>0</v>
      </c>
      <c r="AK1983" s="621">
        <v>0</v>
      </c>
      <c r="AL1983" s="621">
        <v>0</v>
      </c>
      <c r="AM1983" s="621">
        <v>0</v>
      </c>
      <c r="AN1983" s="621">
        <v>0</v>
      </c>
      <c r="AO1983" s="621">
        <v>0</v>
      </c>
      <c r="AP1983" s="621">
        <v>0</v>
      </c>
      <c r="AQ1983" s="621">
        <v>0</v>
      </c>
      <c r="AR1983" s="621">
        <v>0</v>
      </c>
      <c r="AS1983" s="621">
        <v>0</v>
      </c>
      <c r="AT1983" s="312"/>
      <c r="AU1983" s="514"/>
    </row>
    <row r="1984" spans="1:47" outlineLevel="1">
      <c r="A1984" s="308"/>
      <c r="B1984" s="309" t="s">
        <v>1064</v>
      </c>
      <c r="C1984" s="310" t="s">
        <v>733</v>
      </c>
      <c r="D1984" s="310"/>
      <c r="E1984" s="310"/>
      <c r="F1984" s="310"/>
      <c r="G1984" s="310"/>
      <c r="H1984" s="310"/>
      <c r="I1984" s="310"/>
      <c r="J1984" s="310"/>
      <c r="K1984" s="311"/>
      <c r="L1984" s="311"/>
      <c r="M1984" s="311"/>
      <c r="N1984" s="311"/>
      <c r="O1984" s="311"/>
      <c r="P1984" s="311"/>
      <c r="Q1984" s="312"/>
      <c r="R1984" s="312"/>
      <c r="S1984" s="312"/>
      <c r="T1984" s="312"/>
      <c r="U1984" s="312"/>
      <c r="V1984" s="312"/>
      <c r="W1984" s="313"/>
      <c r="X1984" s="313"/>
      <c r="Y1984" s="313"/>
      <c r="Z1984" s="313"/>
      <c r="AA1984" s="313">
        <f t="shared" si="687"/>
        <v>0.8011257035647279</v>
      </c>
      <c r="AB1984" s="313">
        <v>-1.8750000000000044E-2</v>
      </c>
      <c r="AC1984" s="313">
        <v>-2.0169851380042458E-2</v>
      </c>
      <c r="AD1984" s="313">
        <f t="shared" si="687"/>
        <v>8.6673889490790801E-2</v>
      </c>
      <c r="AE1984" s="313">
        <f t="shared" si="687"/>
        <v>-6.3808574277168462E-2</v>
      </c>
      <c r="AF1984" s="313">
        <f t="shared" si="687"/>
        <v>-8.5197018104365974E-3</v>
      </c>
      <c r="AG1984" s="313">
        <f t="shared" ca="1" si="687"/>
        <v>-8.5197018104365974E-3</v>
      </c>
      <c r="AH1984" s="313">
        <f t="shared" ca="1" si="687"/>
        <v>0.1104272111920126</v>
      </c>
      <c r="AI1984" s="313">
        <f t="shared" ca="1" si="687"/>
        <v>-8.5197018104372635E-3</v>
      </c>
      <c r="AJ1984" s="621">
        <v>0.1</v>
      </c>
      <c r="AK1984" s="621">
        <v>0.02</v>
      </c>
      <c r="AL1984" s="621">
        <v>0.02</v>
      </c>
      <c r="AM1984" s="621">
        <v>0.02</v>
      </c>
      <c r="AN1984" s="621">
        <v>0.02</v>
      </c>
      <c r="AO1984" s="621">
        <v>0.02</v>
      </c>
      <c r="AP1984" s="621">
        <v>0.02</v>
      </c>
      <c r="AQ1984" s="621">
        <v>0.02</v>
      </c>
      <c r="AR1984" s="621">
        <v>0.02</v>
      </c>
      <c r="AS1984" s="621">
        <v>0.02</v>
      </c>
      <c r="AT1984" s="312"/>
      <c r="AU1984" s="514"/>
    </row>
    <row r="1985" spans="1:47" outlineLevel="1">
      <c r="A1985" s="308"/>
      <c r="B1985" s="309" t="s">
        <v>28</v>
      </c>
      <c r="C1985" s="310" t="s">
        <v>733</v>
      </c>
      <c r="D1985" s="310"/>
      <c r="E1985" s="310"/>
      <c r="F1985" s="310"/>
      <c r="G1985" s="310"/>
      <c r="H1985" s="310"/>
      <c r="I1985" s="310"/>
      <c r="J1985" s="310"/>
      <c r="K1985" s="311"/>
      <c r="L1985" s="311"/>
      <c r="M1985" s="311"/>
      <c r="N1985" s="311"/>
      <c r="O1985" s="311"/>
      <c r="P1985" s="311"/>
      <c r="Q1985" s="312"/>
      <c r="R1985" s="312"/>
      <c r="S1985" s="312"/>
      <c r="T1985" s="312"/>
      <c r="U1985" s="312"/>
      <c r="V1985" s="312"/>
      <c r="W1985" s="313"/>
      <c r="X1985" s="313"/>
      <c r="Y1985" s="313"/>
      <c r="Z1985" s="313"/>
      <c r="AA1985" s="313">
        <f t="shared" si="687"/>
        <v>0.67567567567567566</v>
      </c>
      <c r="AB1985" s="313">
        <v>9.6774193548387011E-2</v>
      </c>
      <c r="AC1985" s="313">
        <v>0.68137254901960786</v>
      </c>
      <c r="AD1985" s="313">
        <f t="shared" si="687"/>
        <v>3.790087463556846E-2</v>
      </c>
      <c r="AE1985" s="313">
        <f t="shared" si="687"/>
        <v>4.2134831460674205E-2</v>
      </c>
      <c r="AF1985" s="313">
        <f t="shared" si="687"/>
        <v>-2.695417789757415E-2</v>
      </c>
      <c r="AG1985" s="313">
        <f t="shared" ca="1" si="687"/>
        <v>-2.695417789757415E-2</v>
      </c>
      <c r="AH1985" s="313">
        <f t="shared" ca="1" si="687"/>
        <v>0.13872668257610066</v>
      </c>
      <c r="AI1985" s="313">
        <f t="shared" ca="1" si="687"/>
        <v>-2.6954177897574261E-2</v>
      </c>
      <c r="AJ1985" s="621">
        <v>0</v>
      </c>
      <c r="AK1985" s="621">
        <v>0</v>
      </c>
      <c r="AL1985" s="621">
        <v>0</v>
      </c>
      <c r="AM1985" s="621">
        <v>0</v>
      </c>
      <c r="AN1985" s="621">
        <v>0</v>
      </c>
      <c r="AO1985" s="621">
        <v>0</v>
      </c>
      <c r="AP1985" s="621">
        <v>0</v>
      </c>
      <c r="AQ1985" s="621">
        <v>0</v>
      </c>
      <c r="AR1985" s="621">
        <v>0</v>
      </c>
      <c r="AS1985" s="621">
        <v>0</v>
      </c>
      <c r="AT1985" s="312"/>
      <c r="AU1985" s="514"/>
    </row>
    <row r="1986" spans="1:47" outlineLevel="1">
      <c r="A1986" s="338"/>
      <c r="B1986" s="337" t="s">
        <v>1249</v>
      </c>
      <c r="C1986" s="416" t="s">
        <v>733</v>
      </c>
      <c r="D1986" s="48"/>
      <c r="E1986" s="48"/>
      <c r="F1986" s="48"/>
      <c r="G1986" s="48"/>
      <c r="H1986" s="48"/>
      <c r="I1986" s="48"/>
      <c r="J1986" s="48"/>
      <c r="K1986" s="49"/>
      <c r="L1986" s="49"/>
      <c r="M1986" s="49"/>
      <c r="N1986" s="49"/>
      <c r="O1986" s="49"/>
      <c r="P1986" s="49"/>
      <c r="Q1986" s="49"/>
      <c r="R1986" s="49"/>
      <c r="S1986" s="49"/>
      <c r="T1986" s="49"/>
      <c r="U1986" s="49"/>
      <c r="V1986" s="49"/>
      <c r="W1986" s="49"/>
      <c r="X1986" s="49"/>
      <c r="Y1986" s="49"/>
      <c r="Z1986" s="49"/>
      <c r="AA1986" s="738">
        <f t="shared" si="687"/>
        <v>0.63738738738738743</v>
      </c>
      <c r="AB1986" s="738">
        <v>-3.4387895460797901E-3</v>
      </c>
      <c r="AC1986" s="738">
        <v>9.3167701863354102E-2</v>
      </c>
      <c r="AD1986" s="738">
        <f t="shared" si="687"/>
        <v>7.638888888888884E-2</v>
      </c>
      <c r="AE1986" s="738">
        <f t="shared" si="687"/>
        <v>-0.11964809384164221</v>
      </c>
      <c r="AF1986" s="738">
        <f t="shared" si="687"/>
        <v>-3.3311125916055673E-3</v>
      </c>
      <c r="AG1986" s="738">
        <f t="shared" ref="AG1986:AP1986" si="688">AG1980/AF1980-1</f>
        <v>3.3422459893048817E-3</v>
      </c>
      <c r="AH1986" s="738">
        <f t="shared" si="688"/>
        <v>0.139240506329114</v>
      </c>
      <c r="AI1986" s="738">
        <f t="shared" si="688"/>
        <v>8.9473684210526372E-2</v>
      </c>
      <c r="AJ1986" s="738">
        <f t="shared" si="688"/>
        <v>3.4353193773483559E-2</v>
      </c>
      <c r="AK1986" s="738">
        <f t="shared" ca="1" si="688"/>
        <v>-4.5422809665865538E-2</v>
      </c>
      <c r="AL1986" s="738">
        <f t="shared" ca="1" si="688"/>
        <v>1.2397611970648592E-2</v>
      </c>
      <c r="AM1986" s="738">
        <f t="shared" ca="1" si="688"/>
        <v>1.2490709243621057E-2</v>
      </c>
      <c r="AN1986" s="738">
        <f t="shared" ca="1" si="688"/>
        <v>1.258334848130227E-2</v>
      </c>
      <c r="AO1986" s="738">
        <f t="shared" ca="1" si="688"/>
        <v>1.2675515028149231E-2</v>
      </c>
      <c r="AP1986" s="738">
        <f t="shared" ca="1" si="688"/>
        <v>1.2767194562172124E-2</v>
      </c>
      <c r="AQ1986" s="738">
        <f t="shared" ref="AQ1986" ca="1" si="689">AQ1980/AP1980-1</f>
        <v>1.2858373102265785E-2</v>
      </c>
      <c r="AR1986" s="738">
        <f t="shared" ref="AR1986:AS1986" ca="1" si="690">AR1980/AQ1980-1</f>
        <v>1.2949037015056453E-2</v>
      </c>
      <c r="AS1986" s="738">
        <f t="shared" ca="1" si="690"/>
        <v>1.3039173021259565E-2</v>
      </c>
      <c r="AT1986" s="9"/>
      <c r="AU1986" s="9"/>
    </row>
    <row r="1988" spans="1:47" outlineLevel="1">
      <c r="A1988" s="298"/>
      <c r="B1988" s="339" t="s">
        <v>1270</v>
      </c>
      <c r="C1988" s="14" t="s">
        <v>732</v>
      </c>
      <c r="D1988" s="18"/>
      <c r="E1988" s="18"/>
      <c r="F1988" s="18"/>
      <c r="G1988" s="18"/>
      <c r="H1988" s="18"/>
      <c r="I1988" s="18"/>
      <c r="J1988" s="18"/>
      <c r="K1988" s="254"/>
      <c r="L1988" s="254"/>
      <c r="M1988" s="254"/>
      <c r="N1988" s="254"/>
      <c r="O1988" s="254"/>
      <c r="P1988" s="254"/>
      <c r="Q1988" s="254"/>
      <c r="R1988" s="254"/>
      <c r="S1988" s="254"/>
      <c r="T1988" s="254"/>
      <c r="U1988" s="254"/>
      <c r="V1988" s="254"/>
      <c r="W1988" s="254"/>
      <c r="X1988" s="254"/>
      <c r="Y1988" s="254"/>
      <c r="Z1988" s="254"/>
      <c r="AA1988" s="254"/>
      <c r="AB1988" s="254"/>
      <c r="AC1988" s="254">
        <v>2282</v>
      </c>
      <c r="AD1988" s="254">
        <f t="shared" ref="AD1988:AR1988" si="691">+AD470</f>
        <v>2116</v>
      </c>
      <c r="AE1988" s="254">
        <f t="shared" si="691"/>
        <v>2004</v>
      </c>
      <c r="AF1988" s="254">
        <f t="shared" si="691"/>
        <v>1050</v>
      </c>
      <c r="AG1988" s="254">
        <f t="shared" si="691"/>
        <v>378</v>
      </c>
      <c r="AH1988" s="254">
        <f t="shared" si="691"/>
        <v>72</v>
      </c>
      <c r="AI1988" s="254">
        <f t="shared" si="691"/>
        <v>0</v>
      </c>
      <c r="AJ1988" s="254">
        <f t="shared" si="691"/>
        <v>0</v>
      </c>
      <c r="AK1988" s="254">
        <f t="shared" si="691"/>
        <v>9.9475983006414026E-14</v>
      </c>
      <c r="AL1988" s="254">
        <f t="shared" si="691"/>
        <v>9.9475983006414026E-14</v>
      </c>
      <c r="AM1988" s="254">
        <f t="shared" si="691"/>
        <v>9.9475983006414026E-14</v>
      </c>
      <c r="AN1988" s="254">
        <f t="shared" si="691"/>
        <v>9.9475983006414026E-14</v>
      </c>
      <c r="AO1988" s="254">
        <f t="shared" si="691"/>
        <v>9.9475983006414026E-14</v>
      </c>
      <c r="AP1988" s="254">
        <f t="shared" si="691"/>
        <v>9.9475983006414026E-14</v>
      </c>
      <c r="AQ1988" s="254">
        <f t="shared" si="691"/>
        <v>9.9475983006414026E-14</v>
      </c>
      <c r="AR1988" s="254">
        <f t="shared" si="691"/>
        <v>9.9475983006414026E-14</v>
      </c>
      <c r="AS1988" s="254">
        <f t="shared" ref="AS1988" si="692">+AS470</f>
        <v>9.9475983006414026E-14</v>
      </c>
      <c r="AT1988" s="2"/>
      <c r="AU1988" s="2"/>
    </row>
    <row r="1992" spans="1:47" ht="15.6" outlineLevel="1">
      <c r="A1992" s="298"/>
      <c r="B1992" s="237" t="s">
        <v>1359</v>
      </c>
      <c r="C1992" s="238"/>
      <c r="D1992" s="239"/>
      <c r="E1992" s="239"/>
      <c r="F1992" s="239"/>
      <c r="G1992" s="239"/>
      <c r="H1992" s="239"/>
      <c r="I1992" s="239"/>
      <c r="J1992" s="239"/>
      <c r="K1992" s="239"/>
      <c r="L1992" s="239"/>
      <c r="M1992" s="239"/>
      <c r="N1992" s="239"/>
      <c r="O1992" s="239"/>
      <c r="P1992" s="239"/>
      <c r="Q1992" s="239"/>
      <c r="R1992" s="239"/>
      <c r="S1992" s="239"/>
      <c r="T1992" s="239"/>
      <c r="U1992" s="239"/>
      <c r="V1992" s="239"/>
      <c r="W1992" s="239"/>
      <c r="X1992" s="239"/>
      <c r="Y1992" s="239"/>
      <c r="Z1992" s="239"/>
      <c r="AA1992" s="239"/>
      <c r="AB1992" s="239"/>
      <c r="AC1992" s="239"/>
      <c r="AD1992" s="239"/>
      <c r="AE1992" s="239"/>
      <c r="AF1992" s="239"/>
      <c r="AG1992" s="239"/>
      <c r="AH1992" s="239"/>
      <c r="AI1992" s="239"/>
      <c r="AJ1992" s="239"/>
      <c r="AK1992" s="239"/>
      <c r="AL1992" s="239"/>
      <c r="AM1992" s="239"/>
      <c r="AN1992" s="239"/>
      <c r="AO1992" s="270"/>
      <c r="AP1992" s="240"/>
      <c r="AQ1992" s="240"/>
      <c r="AR1992" s="240"/>
      <c r="AS1992" s="240"/>
      <c r="AT1992" s="2"/>
      <c r="AU1992" s="2"/>
    </row>
    <row r="1993" spans="1:47" outlineLevel="1">
      <c r="A1993" s="298"/>
      <c r="B1993" s="6"/>
      <c r="C1993" s="21"/>
      <c r="D1993" s="21"/>
      <c r="E1993" s="21"/>
      <c r="F1993" s="21"/>
      <c r="G1993" s="21"/>
      <c r="H1993" s="21"/>
      <c r="I1993" s="21"/>
      <c r="J1993" s="21"/>
      <c r="K1993" s="70"/>
      <c r="L1993" s="70"/>
      <c r="M1993" s="70"/>
      <c r="N1993" s="70"/>
      <c r="O1993" s="70"/>
      <c r="P1993" s="70"/>
      <c r="Q1993" s="70"/>
      <c r="R1993" s="70"/>
      <c r="S1993" s="70"/>
      <c r="T1993" s="70"/>
      <c r="U1993" s="70"/>
      <c r="V1993" s="70"/>
      <c r="W1993" s="70"/>
      <c r="X1993" s="70"/>
      <c r="Y1993" s="70"/>
      <c r="Z1993" s="70"/>
      <c r="AA1993" s="70"/>
      <c r="AB1993" s="70"/>
      <c r="AC1993" s="70"/>
      <c r="AD1993" s="70"/>
      <c r="AE1993" s="70"/>
      <c r="AF1993" s="70"/>
      <c r="AG1993" s="70"/>
      <c r="AH1993" s="70"/>
      <c r="AI1993" s="70"/>
      <c r="AJ1993" s="70"/>
      <c r="AK1993" s="70"/>
      <c r="AL1993" s="70"/>
      <c r="AM1993" s="70"/>
      <c r="AN1993" s="70"/>
      <c r="AO1993" s="70"/>
      <c r="AP1993" s="70"/>
      <c r="AQ1993" s="70"/>
      <c r="AR1993" s="70"/>
      <c r="AS1993" s="70"/>
      <c r="AT1993" s="2"/>
      <c r="AU1993" s="2"/>
    </row>
    <row r="1994" spans="1:47" ht="15.6" outlineLevel="1">
      <c r="A1994" s="298"/>
      <c r="B1994" s="737" t="s">
        <v>266</v>
      </c>
      <c r="C1994" s="283"/>
      <c r="D1994" s="284"/>
      <c r="E1994" s="284"/>
      <c r="F1994" s="284"/>
      <c r="G1994" s="285"/>
      <c r="H1994" s="285"/>
      <c r="I1994" s="285"/>
      <c r="J1994" s="285"/>
      <c r="K1994" s="285"/>
      <c r="L1994" s="285"/>
      <c r="M1994" s="285"/>
      <c r="N1994" s="284"/>
      <c r="O1994" s="286"/>
      <c r="P1994" s="286"/>
      <c r="Q1994" s="286"/>
      <c r="R1994" s="286"/>
      <c r="S1994" s="286"/>
      <c r="T1994" s="286"/>
      <c r="U1994" s="286"/>
      <c r="V1994" s="285"/>
      <c r="W1994" s="285"/>
      <c r="X1994" s="285"/>
      <c r="Y1994" s="285"/>
      <c r="Z1994" s="285"/>
      <c r="AA1994" s="285"/>
      <c r="AB1994" s="285"/>
      <c r="AC1994" s="285"/>
      <c r="AD1994" s="285"/>
      <c r="AE1994" s="285"/>
      <c r="AF1994" s="285"/>
      <c r="AG1994" s="285"/>
      <c r="AH1994" s="285"/>
      <c r="AI1994" s="285"/>
      <c r="AJ1994" s="285"/>
      <c r="AK1994" s="285"/>
      <c r="AL1994" s="285"/>
      <c r="AM1994" s="285"/>
      <c r="AN1994" s="285"/>
      <c r="AO1994" s="285"/>
      <c r="AP1994" s="285"/>
      <c r="AQ1994" s="285"/>
      <c r="AR1994" s="285"/>
      <c r="AS1994" s="285"/>
      <c r="AT1994" s="2"/>
      <c r="AU1994" s="2"/>
    </row>
    <row r="1995" spans="1:47" outlineLevel="1">
      <c r="A1995" s="298"/>
      <c r="B1995" s="407" t="s">
        <v>1234</v>
      </c>
      <c r="C1995" s="14" t="s">
        <v>733</v>
      </c>
      <c r="D1995" s="18"/>
      <c r="E1995" s="18"/>
      <c r="F1995" s="18"/>
      <c r="G1995" s="18"/>
      <c r="H1995" s="18"/>
      <c r="I1995" s="18"/>
      <c r="J1995" s="18"/>
      <c r="K1995" s="254"/>
      <c r="L1995" s="254"/>
      <c r="M1995" s="254"/>
      <c r="N1995" s="254"/>
      <c r="O1995" s="254"/>
      <c r="P1995" s="254"/>
      <c r="Q1995" s="254"/>
      <c r="R1995" s="254"/>
      <c r="S1995" s="254"/>
      <c r="T1995" s="254"/>
      <c r="U1995" s="254"/>
      <c r="V1995" s="254"/>
      <c r="W1995" s="254"/>
      <c r="X1995" s="254"/>
      <c r="Y1995" s="254"/>
      <c r="Z1995" s="254"/>
      <c r="AA1995" s="254"/>
      <c r="AB1995" s="254"/>
      <c r="AC1995" s="254"/>
      <c r="AD1995" s="366">
        <f t="shared" ref="AD1995:AS1995" si="693">+AD13/AC13-1</f>
        <v>7.3872472783826915E-3</v>
      </c>
      <c r="AE1995" s="366">
        <f t="shared" si="693"/>
        <v>-5.191045928213045E-2</v>
      </c>
      <c r="AF1995" s="366">
        <f t="shared" si="693"/>
        <v>-1.6893954813759438E-2</v>
      </c>
      <c r="AG1995" s="366">
        <f t="shared" si="693"/>
        <v>4.451345755693592E-2</v>
      </c>
      <c r="AH1995" s="366">
        <f t="shared" si="693"/>
        <v>6.8582755203171475E-2</v>
      </c>
      <c r="AI1995" s="366">
        <f t="shared" si="693"/>
        <v>4.5075125208681177E-2</v>
      </c>
      <c r="AJ1995" s="366">
        <f t="shared" si="693"/>
        <v>2.8221512247071256E-2</v>
      </c>
      <c r="AK1995" s="366">
        <f t="shared" si="693"/>
        <v>4.1794087788710854E-2</v>
      </c>
      <c r="AL1995" s="366">
        <f t="shared" si="693"/>
        <v>4.0300000000000225E-2</v>
      </c>
      <c r="AM1995" s="366">
        <f t="shared" si="693"/>
        <v>4.0300000000000002E-2</v>
      </c>
      <c r="AN1995" s="366">
        <f t="shared" si="693"/>
        <v>4.0300000000000002E-2</v>
      </c>
      <c r="AO1995" s="366">
        <f t="shared" si="693"/>
        <v>4.0300000000000225E-2</v>
      </c>
      <c r="AP1995" s="366">
        <f t="shared" si="693"/>
        <v>4.029999999999978E-2</v>
      </c>
      <c r="AQ1995" s="366">
        <f t="shared" si="693"/>
        <v>4.0300000000000002E-2</v>
      </c>
      <c r="AR1995" s="366">
        <f t="shared" si="693"/>
        <v>4.0300000000000225E-2</v>
      </c>
      <c r="AS1995" s="366">
        <f t="shared" si="693"/>
        <v>4.0300000000000002E-2</v>
      </c>
      <c r="AT1995" s="2"/>
      <c r="AU1995" s="2"/>
    </row>
    <row r="1996" spans="1:47" outlineLevel="1">
      <c r="A1996" s="298"/>
      <c r="B1996" s="407" t="s">
        <v>1235</v>
      </c>
      <c r="C1996" s="18" t="s">
        <v>733</v>
      </c>
      <c r="D1996" s="18"/>
      <c r="E1996" s="18"/>
      <c r="F1996" s="18"/>
      <c r="G1996" s="18"/>
      <c r="H1996" s="18"/>
      <c r="I1996" s="18"/>
      <c r="J1996" s="18"/>
      <c r="K1996" s="254"/>
      <c r="L1996" s="254"/>
      <c r="M1996" s="254"/>
      <c r="N1996" s="254"/>
      <c r="O1996" s="254"/>
      <c r="P1996" s="254"/>
      <c r="Q1996" s="254"/>
      <c r="R1996" s="254"/>
      <c r="S1996" s="254"/>
      <c r="T1996" s="254"/>
      <c r="U1996" s="254"/>
      <c r="V1996" s="254"/>
      <c r="W1996" s="254"/>
      <c r="X1996" s="254"/>
      <c r="Y1996" s="254"/>
      <c r="Z1996" s="254"/>
      <c r="AA1996" s="254"/>
      <c r="AB1996" s="254"/>
      <c r="AC1996" s="254"/>
      <c r="AD1996" s="366">
        <f t="shared" ref="AD1996:AS1996" si="694">+AD14/AC14-1</f>
        <v>-0.13465553235908145</v>
      </c>
      <c r="AE1996" s="366">
        <f t="shared" si="694"/>
        <v>-6.7551266586248437E-2</v>
      </c>
      <c r="AF1996" s="366">
        <f t="shared" si="694"/>
        <v>4.6571798188874469E-2</v>
      </c>
      <c r="AG1996" s="366">
        <f t="shared" si="694"/>
        <v>0.14215080346106301</v>
      </c>
      <c r="AH1996" s="366">
        <f t="shared" si="694"/>
        <v>0.16450216450216448</v>
      </c>
      <c r="AI1996" s="366">
        <f t="shared" si="694"/>
        <v>0.10873605947955389</v>
      </c>
      <c r="AJ1996" s="366">
        <f t="shared" si="694"/>
        <v>7.7116512992456032E-2</v>
      </c>
      <c r="AK1996" s="366">
        <f t="shared" si="694"/>
        <v>9.7546708790142489E-2</v>
      </c>
      <c r="AL1996" s="366">
        <f t="shared" si="694"/>
        <v>8.6168000000000022E-2</v>
      </c>
      <c r="AM1996" s="366">
        <f t="shared" si="694"/>
        <v>8.6168000000000022E-2</v>
      </c>
      <c r="AN1996" s="366">
        <f t="shared" si="694"/>
        <v>8.61679999999998E-2</v>
      </c>
      <c r="AO1996" s="366">
        <f t="shared" si="694"/>
        <v>8.6168000000000022E-2</v>
      </c>
      <c r="AP1996" s="366">
        <f t="shared" si="694"/>
        <v>8.6168000000000244E-2</v>
      </c>
      <c r="AQ1996" s="366">
        <f t="shared" si="694"/>
        <v>8.6168000000000022E-2</v>
      </c>
      <c r="AR1996" s="366">
        <f t="shared" si="694"/>
        <v>8.6168000000000244E-2</v>
      </c>
      <c r="AS1996" s="366">
        <f t="shared" si="694"/>
        <v>8.61679999999998E-2</v>
      </c>
      <c r="AT1996" s="2"/>
      <c r="AU1996" s="2"/>
    </row>
    <row r="1997" spans="1:47" outlineLevel="1">
      <c r="A1997" s="298"/>
      <c r="B1997" s="407" t="s">
        <v>1236</v>
      </c>
      <c r="C1997" s="18" t="s">
        <v>733</v>
      </c>
      <c r="D1997" s="18"/>
      <c r="E1997" s="18"/>
      <c r="F1997" s="18"/>
      <c r="G1997" s="18"/>
      <c r="H1997" s="18"/>
      <c r="I1997" s="18"/>
      <c r="J1997" s="18"/>
      <c r="K1997" s="254"/>
      <c r="L1997" s="254"/>
      <c r="M1997" s="254"/>
      <c r="N1997" s="254"/>
      <c r="O1997" s="254"/>
      <c r="P1997" s="254"/>
      <c r="Q1997" s="254"/>
      <c r="R1997" s="254"/>
      <c r="S1997" s="254"/>
      <c r="T1997" s="254"/>
      <c r="U1997" s="254"/>
      <c r="V1997" s="254"/>
      <c r="W1997" s="254"/>
      <c r="X1997" s="254"/>
      <c r="Y1997" s="254"/>
      <c r="Z1997" s="254"/>
      <c r="AA1997" s="254"/>
      <c r="AB1997" s="254"/>
      <c r="AC1997" s="254"/>
      <c r="AD1997" s="366">
        <f t="shared" ref="AD1997:AS1997" si="695">+AD15/AC15-1</f>
        <v>-0.14048531289910604</v>
      </c>
      <c r="AE1997" s="366">
        <f t="shared" si="695"/>
        <v>-4.9034175334323971E-2</v>
      </c>
      <c r="AF1997" s="366">
        <f t="shared" si="695"/>
        <v>-4.3749999999999956E-2</v>
      </c>
      <c r="AG1997" s="366">
        <f t="shared" si="695"/>
        <v>7.0261437908496704E-2</v>
      </c>
      <c r="AH1997" s="366">
        <f t="shared" si="695"/>
        <v>1.3740458015267132E-2</v>
      </c>
      <c r="AI1997" s="366">
        <f t="shared" si="695"/>
        <v>-2.4096385542168641E-2</v>
      </c>
      <c r="AJ1997" s="366">
        <f t="shared" si="695"/>
        <v>-8.1790123456790154E-2</v>
      </c>
      <c r="AK1997" s="366">
        <f t="shared" si="695"/>
        <v>-6.9179814352279934E-2</v>
      </c>
      <c r="AL1997" s="366">
        <f t="shared" si="695"/>
        <v>-4.3774925441253165E-2</v>
      </c>
      <c r="AM1997" s="366">
        <f t="shared" si="695"/>
        <v>-4.3774925441253165E-2</v>
      </c>
      <c r="AN1997" s="366">
        <f t="shared" si="695"/>
        <v>-4.3774925441253054E-2</v>
      </c>
      <c r="AO1997" s="366">
        <f t="shared" si="695"/>
        <v>-4.3774925441253165E-2</v>
      </c>
      <c r="AP1997" s="366">
        <f t="shared" si="695"/>
        <v>-4.3774925441253054E-2</v>
      </c>
      <c r="AQ1997" s="366">
        <f t="shared" si="695"/>
        <v>-4.3774925441253387E-2</v>
      </c>
      <c r="AR1997" s="366">
        <f t="shared" si="695"/>
        <v>-4.3774925441253276E-2</v>
      </c>
      <c r="AS1997" s="366">
        <f t="shared" si="695"/>
        <v>-4.3774925441253276E-2</v>
      </c>
      <c r="AT1997" s="2"/>
      <c r="AU1997" s="2"/>
    </row>
    <row r="1998" spans="1:47" outlineLevel="1">
      <c r="A1998" s="298"/>
      <c r="B1998" s="407" t="s">
        <v>1219</v>
      </c>
      <c r="C1998" s="18" t="s">
        <v>733</v>
      </c>
      <c r="D1998" s="18"/>
      <c r="E1998" s="18"/>
      <c r="F1998" s="18"/>
      <c r="G1998" s="18"/>
      <c r="H1998" s="18"/>
      <c r="I1998" s="18"/>
      <c r="J1998" s="18"/>
      <c r="K1998" s="254"/>
      <c r="L1998" s="254"/>
      <c r="M1998" s="254"/>
      <c r="N1998" s="254"/>
      <c r="O1998" s="254"/>
      <c r="P1998" s="254"/>
      <c r="Q1998" s="254"/>
      <c r="R1998" s="254"/>
      <c r="S1998" s="254"/>
      <c r="T1998" s="254"/>
      <c r="U1998" s="254"/>
      <c r="V1998" s="254"/>
      <c r="W1998" s="254"/>
      <c r="X1998" s="254"/>
      <c r="Y1998" s="254"/>
      <c r="Z1998" s="254"/>
      <c r="AA1998" s="254"/>
      <c r="AB1998" s="254"/>
      <c r="AC1998" s="254"/>
      <c r="AD1998" s="366">
        <f t="shared" ref="AD1998:AS1998" si="696">+AD16/AC16-1</f>
        <v>0.18518518518518512</v>
      </c>
      <c r="AE1998" s="366">
        <f t="shared" si="696"/>
        <v>8.4821428571428603E-2</v>
      </c>
      <c r="AF1998" s="366">
        <f t="shared" si="696"/>
        <v>1.2345679012345734E-2</v>
      </c>
      <c r="AG1998" s="366">
        <f t="shared" si="696"/>
        <v>8.9430894308943021E-2</v>
      </c>
      <c r="AH1998" s="366">
        <f t="shared" si="696"/>
        <v>5.5970149253731449E-2</v>
      </c>
      <c r="AI1998" s="366">
        <f t="shared" si="696"/>
        <v>2.1201413427561766E-2</v>
      </c>
      <c r="AJ1998" s="366">
        <f t="shared" si="696"/>
        <v>1.384083044982698E-2</v>
      </c>
      <c r="AK1998" s="366">
        <f t="shared" si="696"/>
        <v>8.3615026833631312E-2</v>
      </c>
      <c r="AL1998" s="366">
        <f t="shared" si="696"/>
        <v>5.0635234080319558E-2</v>
      </c>
      <c r="AM1998" s="366">
        <f t="shared" si="696"/>
        <v>5.0000000000000044E-2</v>
      </c>
      <c r="AN1998" s="366">
        <f t="shared" si="696"/>
        <v>5.0000000000000044E-2</v>
      </c>
      <c r="AO1998" s="366">
        <f t="shared" si="696"/>
        <v>5.0000000000000044E-2</v>
      </c>
      <c r="AP1998" s="366">
        <f t="shared" si="696"/>
        <v>5.0000000000000044E-2</v>
      </c>
      <c r="AQ1998" s="366">
        <f t="shared" si="696"/>
        <v>5.0000000000000044E-2</v>
      </c>
      <c r="AR1998" s="366">
        <f t="shared" si="696"/>
        <v>5.0000000000000266E-2</v>
      </c>
      <c r="AS1998" s="366">
        <f t="shared" si="696"/>
        <v>5.0000000000000044E-2</v>
      </c>
      <c r="AT1998" s="2"/>
      <c r="AU1998" s="2"/>
    </row>
    <row r="1999" spans="1:47" outlineLevel="1">
      <c r="A1999" s="298"/>
      <c r="B1999" s="407" t="s">
        <v>1237</v>
      </c>
      <c r="C1999" s="18" t="s">
        <v>733</v>
      </c>
      <c r="D1999" s="18"/>
      <c r="E1999" s="18"/>
      <c r="F1999" s="18"/>
      <c r="G1999" s="18"/>
      <c r="H1999" s="18"/>
      <c r="I1999" s="18"/>
      <c r="J1999" s="18"/>
      <c r="K1999" s="254"/>
      <c r="L1999" s="254"/>
      <c r="M1999" s="254"/>
      <c r="N1999" s="254"/>
      <c r="O1999" s="254"/>
      <c r="P1999" s="254"/>
      <c r="Q1999" s="254"/>
      <c r="R1999" s="254"/>
      <c r="S1999" s="254"/>
      <c r="T1999" s="254"/>
      <c r="U1999" s="254"/>
      <c r="V1999" s="254"/>
      <c r="W1999" s="254"/>
      <c r="X1999" s="254"/>
      <c r="Y1999" s="254"/>
      <c r="Z1999" s="254"/>
      <c r="AA1999" s="254"/>
      <c r="AB1999" s="254"/>
      <c r="AC1999" s="254"/>
      <c r="AD1999" s="366">
        <f t="shared" ref="AD1999:AS1999" si="697">+AD17/AC17-1</f>
        <v>6.3492063492063489E-2</v>
      </c>
      <c r="AE1999" s="366">
        <f t="shared" si="697"/>
        <v>9.9502487562189046E-2</v>
      </c>
      <c r="AF1999" s="366">
        <f t="shared" si="697"/>
        <v>0.20814479638009042</v>
      </c>
      <c r="AG1999" s="366">
        <f t="shared" si="697"/>
        <v>0.15355805243445686</v>
      </c>
      <c r="AH1999" s="366">
        <f t="shared" si="697"/>
        <v>0.14610389610389607</v>
      </c>
      <c r="AI1999" s="366">
        <f t="shared" si="697"/>
        <v>0.2464589235127479</v>
      </c>
      <c r="AJ1999" s="366">
        <f t="shared" si="697"/>
        <v>0.18636363636363629</v>
      </c>
      <c r="AK1999" s="366">
        <f t="shared" si="697"/>
        <v>0.14295333673022337</v>
      </c>
      <c r="AL1999" s="366">
        <f t="shared" si="697"/>
        <v>0.14295333673022381</v>
      </c>
      <c r="AM1999" s="366">
        <f t="shared" si="697"/>
        <v>0.14295333673022315</v>
      </c>
      <c r="AN1999" s="366">
        <f t="shared" si="697"/>
        <v>0.14295333673022337</v>
      </c>
      <c r="AO1999" s="366">
        <f t="shared" si="697"/>
        <v>0.14295333673022359</v>
      </c>
      <c r="AP1999" s="366">
        <f t="shared" si="697"/>
        <v>0.14295333673022337</v>
      </c>
      <c r="AQ1999" s="366">
        <f t="shared" si="697"/>
        <v>0.14295333673022359</v>
      </c>
      <c r="AR1999" s="366">
        <f t="shared" si="697"/>
        <v>0.14295333673022359</v>
      </c>
      <c r="AS1999" s="366">
        <f t="shared" si="697"/>
        <v>0.14295333673022359</v>
      </c>
      <c r="AT1999" s="2"/>
      <c r="AU1999" s="2"/>
    </row>
    <row r="2000" spans="1:47" outlineLevel="1">
      <c r="A2000" s="298"/>
      <c r="B2000" s="407" t="s">
        <v>28</v>
      </c>
      <c r="C2000" s="18" t="s">
        <v>733</v>
      </c>
      <c r="D2000" s="18"/>
      <c r="E2000" s="18"/>
      <c r="F2000" s="18"/>
      <c r="G2000" s="18"/>
      <c r="H2000" s="18"/>
      <c r="I2000" s="18"/>
      <c r="J2000" s="18"/>
      <c r="K2000" s="254"/>
      <c r="L2000" s="254"/>
      <c r="M2000" s="254"/>
      <c r="N2000" s="254"/>
      <c r="O2000" s="254"/>
      <c r="P2000" s="254"/>
      <c r="Q2000" s="254"/>
      <c r="R2000" s="254"/>
      <c r="S2000" s="254"/>
      <c r="T2000" s="254"/>
      <c r="U2000" s="254"/>
      <c r="V2000" s="254"/>
      <c r="W2000" s="254"/>
      <c r="X2000" s="254"/>
      <c r="Y2000" s="254"/>
      <c r="Z2000" s="254"/>
      <c r="AA2000" s="254"/>
      <c r="AB2000" s="254"/>
      <c r="AC2000" s="254"/>
      <c r="AD2000" s="366">
        <f t="shared" ref="AD2000:AS2000" si="698">+AD18/AC18-1</f>
        <v>0.25</v>
      </c>
      <c r="AE2000" s="366">
        <f t="shared" si="698"/>
        <v>-1.5333333333333332</v>
      </c>
      <c r="AF2000" s="366">
        <f t="shared" si="698"/>
        <v>-3.125</v>
      </c>
      <c r="AG2000" s="366">
        <f t="shared" si="698"/>
        <v>5.8823529411764719E-2</v>
      </c>
      <c r="AH2000" s="366">
        <f t="shared" si="698"/>
        <v>0</v>
      </c>
      <c r="AI2000" s="366">
        <f t="shared" si="698"/>
        <v>0.11111111111111116</v>
      </c>
      <c r="AJ2000" s="366">
        <f t="shared" si="698"/>
        <v>0</v>
      </c>
      <c r="AK2000" s="366">
        <f t="shared" si="698"/>
        <v>0</v>
      </c>
      <c r="AL2000" s="366">
        <f t="shared" si="698"/>
        <v>0</v>
      </c>
      <c r="AM2000" s="366">
        <f t="shared" si="698"/>
        <v>0</v>
      </c>
      <c r="AN2000" s="366">
        <f t="shared" si="698"/>
        <v>0</v>
      </c>
      <c r="AO2000" s="366">
        <f t="shared" si="698"/>
        <v>0</v>
      </c>
      <c r="AP2000" s="366">
        <f t="shared" si="698"/>
        <v>0</v>
      </c>
      <c r="AQ2000" s="366">
        <f t="shared" si="698"/>
        <v>0</v>
      </c>
      <c r="AR2000" s="366">
        <f t="shared" si="698"/>
        <v>0</v>
      </c>
      <c r="AS2000" s="366">
        <f t="shared" si="698"/>
        <v>0</v>
      </c>
      <c r="AT2000" s="2"/>
      <c r="AU2000" s="2"/>
    </row>
    <row r="2001" spans="1:47" outlineLevel="1">
      <c r="A2001" s="338"/>
      <c r="B2001" s="406" t="s">
        <v>1238</v>
      </c>
      <c r="C2001" s="48" t="s">
        <v>733</v>
      </c>
      <c r="D2001" s="48"/>
      <c r="E2001" s="48"/>
      <c r="F2001" s="48"/>
      <c r="G2001" s="48"/>
      <c r="H2001" s="48"/>
      <c r="I2001" s="48"/>
      <c r="J2001" s="48"/>
      <c r="K2001" s="404"/>
      <c r="L2001" s="404"/>
      <c r="M2001" s="404"/>
      <c r="N2001" s="404"/>
      <c r="O2001" s="404"/>
      <c r="P2001" s="404"/>
      <c r="Q2001" s="404"/>
      <c r="R2001" s="404"/>
      <c r="S2001" s="404"/>
      <c r="T2001" s="404"/>
      <c r="U2001" s="404"/>
      <c r="V2001" s="404"/>
      <c r="W2001" s="404"/>
      <c r="X2001" s="404"/>
      <c r="Y2001" s="404"/>
      <c r="Z2001" s="404"/>
      <c r="AA2001" s="404"/>
      <c r="AB2001" s="404"/>
      <c r="AC2001" s="404"/>
      <c r="AD2001">
        <f t="shared" ref="AD2001:AS2001" si="699">+AD19/AC19-1</f>
        <v>-2.075601374570446E-2</v>
      </c>
      <c r="AE2001">
        <f t="shared" si="699"/>
        <v>-4.8006737787759657E-2</v>
      </c>
      <c r="AF2001">
        <f t="shared" si="699"/>
        <v>-1.4744913005015903E-4</v>
      </c>
      <c r="AG2001">
        <f t="shared" si="699"/>
        <v>6.4444772157498997E-2</v>
      </c>
      <c r="AH2001">
        <f t="shared" si="699"/>
        <v>7.8553615960099687E-2</v>
      </c>
      <c r="AI2001">
        <f t="shared" si="699"/>
        <v>5.6390494540783598E-2</v>
      </c>
      <c r="AJ2001">
        <f t="shared" si="699"/>
        <v>3.4533073929961189E-2</v>
      </c>
      <c r="AK2001">
        <f t="shared" si="699"/>
        <v>5.0002295069482727E-2</v>
      </c>
      <c r="AL2001">
        <f t="shared" si="699"/>
        <v>4.9461840130857748E-2</v>
      </c>
      <c r="AM2001">
        <f t="shared" si="699"/>
        <v>5.0770995810174968E-2</v>
      </c>
      <c r="AN2001">
        <f t="shared" si="699"/>
        <v>5.2109713212078246E-2</v>
      </c>
      <c r="AO2001">
        <f t="shared" si="699"/>
        <v>5.3458984053705416E-2</v>
      </c>
      <c r="AP2001">
        <f t="shared" si="699"/>
        <v>5.4822201833812922E-2</v>
      </c>
      <c r="AQ2001">
        <f t="shared" si="699"/>
        <v>5.6202564663815568E-2</v>
      </c>
      <c r="AR2001">
        <f t="shared" si="699"/>
        <v>5.7603043315656244E-2</v>
      </c>
      <c r="AS2001">
        <f t="shared" si="699"/>
        <v>5.90263499374859E-2</v>
      </c>
      <c r="AT2001" s="9"/>
      <c r="AU2001" s="9"/>
    </row>
    <row r="2002" spans="1:47" outlineLevel="1">
      <c r="A2002" s="298"/>
      <c r="B2002" s="407" t="s">
        <v>1239</v>
      </c>
      <c r="C2002" s="18" t="s">
        <v>733</v>
      </c>
      <c r="D2002" s="18"/>
      <c r="E2002" s="18"/>
      <c r="F2002" s="18"/>
      <c r="G2002" s="18"/>
      <c r="H2002" s="18"/>
      <c r="I2002" s="18"/>
      <c r="J2002" s="18"/>
      <c r="K2002" s="254"/>
      <c r="L2002" s="254"/>
      <c r="M2002" s="254"/>
      <c r="N2002" s="254"/>
      <c r="O2002" s="254"/>
      <c r="P2002" s="254"/>
      <c r="Q2002" s="254"/>
      <c r="R2002" s="254"/>
      <c r="S2002" s="254"/>
      <c r="T2002" s="254"/>
      <c r="U2002" s="254"/>
      <c r="V2002" s="254"/>
      <c r="W2002" s="254"/>
      <c r="X2002" s="254"/>
      <c r="Y2002" s="254"/>
      <c r="Z2002" s="254"/>
      <c r="AA2002" s="254"/>
      <c r="AB2002" s="254"/>
      <c r="AC2002" s="254"/>
      <c r="AD2002" s="366">
        <f t="shared" ref="AD2002:AS2002" si="700">+AD20/AC20-1</f>
        <v>0.10751932536893882</v>
      </c>
      <c r="AE2002" s="366">
        <f t="shared" si="700"/>
        <v>-3.1091370558375631E-2</v>
      </c>
      <c r="AF2002" s="366">
        <f t="shared" si="700"/>
        <v>-0.24492468893254749</v>
      </c>
      <c r="AG2002" s="366">
        <f t="shared" si="700"/>
        <v>-8.9332176929748486E-2</v>
      </c>
      <c r="AH2002" s="366">
        <f t="shared" si="700"/>
        <v>0.12142857142857144</v>
      </c>
      <c r="AI2002" s="366">
        <f t="shared" si="700"/>
        <v>1.6985138004246281E-3</v>
      </c>
      <c r="AJ2002" s="366">
        <f t="shared" si="700"/>
        <v>0</v>
      </c>
      <c r="AK2002" s="366">
        <f t="shared" si="700"/>
        <v>3.0000000000000027E-2</v>
      </c>
      <c r="AL2002" s="366">
        <f t="shared" si="700"/>
        <v>3.0000000000000027E-2</v>
      </c>
      <c r="AM2002" s="366">
        <f t="shared" si="700"/>
        <v>3.0000000000000027E-2</v>
      </c>
      <c r="AN2002" s="366">
        <f t="shared" si="700"/>
        <v>3.0000000000000027E-2</v>
      </c>
      <c r="AO2002" s="366">
        <f t="shared" si="700"/>
        <v>3.0000000000000027E-2</v>
      </c>
      <c r="AP2002" s="366">
        <f t="shared" si="700"/>
        <v>3.0000000000000027E-2</v>
      </c>
      <c r="AQ2002" s="366">
        <f t="shared" si="700"/>
        <v>3.0000000000000027E-2</v>
      </c>
      <c r="AR2002" s="366">
        <f t="shared" si="700"/>
        <v>3.0000000000000027E-2</v>
      </c>
      <c r="AS2002" s="366">
        <f t="shared" si="700"/>
        <v>3.0000000000000027E-2</v>
      </c>
      <c r="AT2002" s="2"/>
      <c r="AU2002" s="2"/>
    </row>
    <row r="2003" spans="1:47" outlineLevel="1">
      <c r="A2003" s="298"/>
      <c r="B2003" s="407" t="s">
        <v>1240</v>
      </c>
      <c r="C2003" s="18" t="s">
        <v>733</v>
      </c>
      <c r="D2003" s="18"/>
      <c r="E2003" s="18"/>
      <c r="F2003" s="18"/>
      <c r="G2003" s="18"/>
      <c r="H2003" s="18"/>
      <c r="I2003" s="18"/>
      <c r="J2003" s="18"/>
      <c r="K2003" s="254"/>
      <c r="L2003" s="254"/>
      <c r="M2003" s="254"/>
      <c r="N2003" s="254"/>
      <c r="O2003" s="254"/>
      <c r="P2003" s="254"/>
      <c r="Q2003" s="254"/>
      <c r="R2003" s="254"/>
      <c r="S2003" s="254"/>
      <c r="T2003" s="254"/>
      <c r="U2003" s="254"/>
      <c r="V2003" s="254"/>
      <c r="W2003" s="254"/>
      <c r="X2003" s="254"/>
      <c r="Y2003" s="254"/>
      <c r="Z2003" s="254"/>
      <c r="AA2003" s="254"/>
      <c r="AB2003" s="254"/>
      <c r="AC2003" s="254"/>
      <c r="AD2003" s="366">
        <f t="shared" ref="AD2003:AS2003" si="701">+AD21/AC21-1</f>
        <v>5.6603773584905648E-2</v>
      </c>
      <c r="AE2003" s="366">
        <f t="shared" si="701"/>
        <v>0.1473214285714286</v>
      </c>
      <c r="AF2003" s="366">
        <f t="shared" si="701"/>
        <v>2.7237354085603016E-2</v>
      </c>
      <c r="AG2003" s="366">
        <f t="shared" si="701"/>
        <v>-5.3030303030302983E-2</v>
      </c>
      <c r="AH2003" s="366">
        <f t="shared" si="701"/>
        <v>-0.10799999999999998</v>
      </c>
      <c r="AI2003" s="366">
        <f t="shared" si="701"/>
        <v>-3.5874439461883401E-2</v>
      </c>
      <c r="AJ2003" s="366">
        <f t="shared" si="701"/>
        <v>9.3023255813953432E-2</v>
      </c>
      <c r="AK2003" s="366">
        <f t="shared" si="701"/>
        <v>9.3023255813953432E-2</v>
      </c>
      <c r="AL2003" s="366">
        <f t="shared" si="701"/>
        <v>9.3023255813953432E-2</v>
      </c>
      <c r="AM2003" s="366">
        <f t="shared" si="701"/>
        <v>9.3023255813953432E-2</v>
      </c>
      <c r="AN2003" s="366">
        <f t="shared" si="701"/>
        <v>9.3023255813953432E-2</v>
      </c>
      <c r="AO2003" s="366">
        <f t="shared" si="701"/>
        <v>9.3023255813953432E-2</v>
      </c>
      <c r="AP2003" s="366">
        <f t="shared" si="701"/>
        <v>9.3023255813953432E-2</v>
      </c>
      <c r="AQ2003" s="366">
        <f t="shared" si="701"/>
        <v>9.3023255813953432E-2</v>
      </c>
      <c r="AR2003" s="366">
        <f t="shared" si="701"/>
        <v>9.3023255813953432E-2</v>
      </c>
      <c r="AS2003" s="366">
        <f t="shared" si="701"/>
        <v>9.3023255813953432E-2</v>
      </c>
      <c r="AT2003" s="2"/>
      <c r="AU2003" s="2"/>
    </row>
    <row r="2004" spans="1:47" outlineLevel="1">
      <c r="A2004" s="298"/>
      <c r="B2004" s="407" t="s">
        <v>1241</v>
      </c>
      <c r="C2004" s="18" t="s">
        <v>733</v>
      </c>
      <c r="D2004" s="18"/>
      <c r="E2004" s="18"/>
      <c r="F2004" s="18"/>
      <c r="G2004" s="18"/>
      <c r="H2004" s="18"/>
      <c r="I2004" s="18"/>
      <c r="J2004" s="18"/>
      <c r="K2004" s="254"/>
      <c r="L2004" s="254"/>
      <c r="M2004" s="254"/>
      <c r="N2004" s="254"/>
      <c r="O2004" s="254"/>
      <c r="P2004" s="254"/>
      <c r="Q2004" s="254"/>
      <c r="R2004" s="254"/>
      <c r="S2004" s="254"/>
      <c r="T2004" s="254"/>
      <c r="U2004" s="254"/>
      <c r="V2004" s="254"/>
      <c r="W2004" s="254"/>
      <c r="X2004" s="254"/>
      <c r="Y2004" s="254"/>
      <c r="Z2004" s="254"/>
      <c r="AA2004" s="254"/>
      <c r="AB2004" s="254"/>
      <c r="AC2004" s="254"/>
      <c r="AD2004" s="366">
        <f t="shared" ref="AD2004:AS2004" si="702">+AD22/AC22-1</f>
        <v>-0.14857142857142858</v>
      </c>
      <c r="AE2004" s="366">
        <f t="shared" si="702"/>
        <v>-0.75167785234899331</v>
      </c>
      <c r="AF2004" s="366">
        <f t="shared" si="702"/>
        <v>-2.1081081081081079</v>
      </c>
      <c r="AG2004" s="366">
        <f t="shared" si="702"/>
        <v>1.3902439024390243</v>
      </c>
      <c r="AH2004" s="366">
        <f t="shared" si="702"/>
        <v>7.1428571428571397E-2</v>
      </c>
      <c r="AI2004" s="366">
        <f t="shared" si="702"/>
        <v>-0.27619047619047621</v>
      </c>
      <c r="AJ2004" s="366">
        <f t="shared" si="702"/>
        <v>0.14473684210526305</v>
      </c>
      <c r="AK2004" s="366">
        <f t="shared" si="702"/>
        <v>0.14473684210526305</v>
      </c>
      <c r="AL2004" s="366">
        <f t="shared" si="702"/>
        <v>0.14473684210526305</v>
      </c>
      <c r="AM2004" s="366">
        <f t="shared" si="702"/>
        <v>0.14473684210526305</v>
      </c>
      <c r="AN2004" s="366">
        <f t="shared" si="702"/>
        <v>0.14473684210526305</v>
      </c>
      <c r="AO2004" s="366">
        <f t="shared" si="702"/>
        <v>0.14473684210526305</v>
      </c>
      <c r="AP2004" s="366">
        <f t="shared" si="702"/>
        <v>0.14473684210526305</v>
      </c>
      <c r="AQ2004" s="366">
        <f t="shared" si="702"/>
        <v>0.14473684210526305</v>
      </c>
      <c r="AR2004" s="366">
        <f t="shared" si="702"/>
        <v>0.14473684210526305</v>
      </c>
      <c r="AS2004" s="366">
        <f t="shared" si="702"/>
        <v>0.14473684210526305</v>
      </c>
      <c r="AT2004" s="2"/>
      <c r="AU2004" s="2"/>
    </row>
    <row r="2005" spans="1:47" outlineLevel="1">
      <c r="A2005" s="298"/>
      <c r="B2005" s="434" t="s">
        <v>1110</v>
      </c>
      <c r="C2005" s="433" t="s">
        <v>733</v>
      </c>
      <c r="D2005" s="209"/>
      <c r="E2005" s="209"/>
      <c r="F2005" s="209"/>
      <c r="G2005" s="209"/>
      <c r="H2005" s="209"/>
      <c r="I2005" s="209"/>
      <c r="J2005" s="209"/>
      <c r="K2005" s="262"/>
      <c r="L2005" s="262"/>
      <c r="M2005" s="262"/>
      <c r="N2005" s="262"/>
      <c r="O2005" s="262"/>
      <c r="P2005" s="262"/>
      <c r="Q2005" s="262"/>
      <c r="R2005" s="262"/>
      <c r="S2005" s="262"/>
      <c r="T2005" s="262"/>
      <c r="U2005" s="262"/>
      <c r="V2005" s="262"/>
      <c r="W2005" s="262"/>
      <c r="X2005" s="262"/>
      <c r="Y2005" s="262"/>
      <c r="Z2005" s="262"/>
      <c r="AA2005" s="262"/>
      <c r="AB2005" s="262"/>
      <c r="AC2005" s="262"/>
      <c r="AD2005" s="449">
        <f t="shared" ref="AD2005:AS2005" si="703">+AD23/AC23-1</f>
        <v>1.3418347925390206E-2</v>
      </c>
      <c r="AE2005" s="449">
        <f t="shared" si="703"/>
        <v>-4.8736970607568764E-2</v>
      </c>
      <c r="AF2005" s="449">
        <f t="shared" si="703"/>
        <v>-8.0947680157946733E-2</v>
      </c>
      <c r="AG2005" s="449">
        <f t="shared" si="703"/>
        <v>1.7185821697099923E-2</v>
      </c>
      <c r="AH2005" s="449">
        <f t="shared" si="703"/>
        <v>8.321013727560711E-2</v>
      </c>
      <c r="AI2005" s="449">
        <f t="shared" si="703"/>
        <v>4.5232988886722447E-2</v>
      </c>
      <c r="AJ2005" s="449">
        <f t="shared" si="703"/>
        <v>2.7326991232978992E-2</v>
      </c>
      <c r="AK2005" s="449">
        <f t="shared" si="703"/>
        <v>4.5888142197392456E-2</v>
      </c>
      <c r="AL2005" s="449">
        <f t="shared" si="703"/>
        <v>4.550477277496312E-2</v>
      </c>
      <c r="AM2005" s="449">
        <f t="shared" si="703"/>
        <v>4.6550628199936162E-2</v>
      </c>
      <c r="AN2005" s="449">
        <f t="shared" si="703"/>
        <v>4.7625396154019617E-2</v>
      </c>
      <c r="AO2005" s="449">
        <f t="shared" si="703"/>
        <v>4.871471603914701E-2</v>
      </c>
      <c r="AP2005" s="449">
        <f t="shared" si="703"/>
        <v>4.9821566384699478E-2</v>
      </c>
      <c r="AQ2005" s="449">
        <f t="shared" si="703"/>
        <v>5.0948815299605599E-2</v>
      </c>
      <c r="AR2005" s="449">
        <f t="shared" si="703"/>
        <v>5.209920168503257E-2</v>
      </c>
      <c r="AS2005" s="449">
        <f t="shared" si="703"/>
        <v>5.3275315528987122E-2</v>
      </c>
      <c r="AT2005" s="2"/>
      <c r="AU2005" s="2"/>
    </row>
    <row r="2006" spans="1:47" outlineLevel="1">
      <c r="A2006" s="298"/>
      <c r="B2006" s="167"/>
      <c r="C2006" s="21"/>
      <c r="D2006" s="21"/>
      <c r="E2006" s="21"/>
      <c r="F2006" s="21"/>
      <c r="G2006" s="21"/>
      <c r="H2006" s="21"/>
      <c r="I2006" s="21"/>
      <c r="J2006" s="21"/>
      <c r="K2006" s="34"/>
      <c r="L2006" s="34"/>
      <c r="M2006" s="34"/>
      <c r="N2006" s="34"/>
      <c r="O2006" s="34"/>
      <c r="P2006" s="34"/>
      <c r="Q2006" s="34"/>
      <c r="R2006" s="34"/>
      <c r="S2006" s="34"/>
      <c r="T2006" s="34"/>
      <c r="U2006" s="34"/>
      <c r="V2006" s="52"/>
      <c r="W2006" s="34"/>
      <c r="X2006" s="34"/>
      <c r="Y2006" s="34"/>
      <c r="Z2006" s="34"/>
      <c r="AA2006" s="34"/>
      <c r="AB2006" s="34"/>
      <c r="AC2006" s="34"/>
      <c r="AD2006" s="34"/>
      <c r="AE2006" s="34"/>
      <c r="AF2006" s="34"/>
      <c r="AG2006" s="34"/>
      <c r="AH2006" s="34"/>
      <c r="AI2006" s="34"/>
      <c r="AJ2006" s="34"/>
      <c r="AK2006" s="34"/>
      <c r="AL2006" s="34"/>
      <c r="AM2006" s="34"/>
      <c r="AN2006" s="34"/>
      <c r="AO2006" s="34"/>
      <c r="AP2006" s="34"/>
      <c r="AQ2006" s="34"/>
      <c r="AR2006" s="34"/>
      <c r="AS2006" s="34"/>
      <c r="AT2006" s="2"/>
      <c r="AU2006" s="2"/>
    </row>
    <row r="2007" spans="1:47" ht="15.6" outlineLevel="1">
      <c r="A2007" s="298"/>
      <c r="B2007" s="737" t="s">
        <v>1250</v>
      </c>
      <c r="C2007" s="283"/>
      <c r="D2007" s="284"/>
      <c r="E2007" s="284"/>
      <c r="F2007" s="284"/>
      <c r="G2007" s="285"/>
      <c r="H2007" s="285"/>
      <c r="I2007" s="285"/>
      <c r="J2007" s="285"/>
      <c r="K2007" s="285"/>
      <c r="L2007" s="285"/>
      <c r="M2007" s="285"/>
      <c r="N2007" s="284"/>
      <c r="O2007" s="286"/>
      <c r="P2007" s="286"/>
      <c r="Q2007" s="286"/>
      <c r="R2007" s="286"/>
      <c r="S2007" s="286"/>
      <c r="T2007" s="286"/>
      <c r="U2007" s="286"/>
      <c r="V2007" s="285"/>
      <c r="W2007" s="285"/>
      <c r="X2007" s="285"/>
      <c r="Y2007" s="285"/>
      <c r="Z2007" s="285"/>
      <c r="AA2007" s="285"/>
      <c r="AB2007" s="285"/>
      <c r="AC2007" s="285"/>
      <c r="AD2007" s="285"/>
      <c r="AE2007" s="285"/>
      <c r="AF2007" s="285"/>
      <c r="AG2007" s="285"/>
      <c r="AH2007" s="285"/>
      <c r="AI2007" s="285"/>
      <c r="AJ2007" s="285"/>
      <c r="AK2007" s="285"/>
      <c r="AL2007" s="285"/>
      <c r="AM2007" s="285"/>
      <c r="AN2007" s="285"/>
      <c r="AO2007" s="285"/>
      <c r="AP2007" s="285"/>
      <c r="AQ2007" s="285"/>
      <c r="AR2007" s="285"/>
      <c r="AS2007" s="285"/>
      <c r="AT2007" s="2"/>
      <c r="AU2007" s="2"/>
    </row>
    <row r="2008" spans="1:47" outlineLevel="1">
      <c r="A2008" s="298"/>
      <c r="B2008" s="407" t="s">
        <v>1251</v>
      </c>
      <c r="C2008" s="18" t="s">
        <v>733</v>
      </c>
      <c r="D2008" s="18"/>
      <c r="E2008" s="18"/>
      <c r="F2008" s="18"/>
      <c r="G2008" s="18"/>
      <c r="H2008" s="18"/>
      <c r="I2008" s="18"/>
      <c r="J2008" s="18"/>
      <c r="K2008" s="254"/>
      <c r="L2008" s="254"/>
      <c r="M2008" s="254"/>
      <c r="N2008" s="254"/>
      <c r="O2008" s="254"/>
      <c r="P2008" s="254"/>
      <c r="Q2008" s="254"/>
      <c r="R2008" s="254"/>
      <c r="S2008" s="254"/>
      <c r="T2008" s="254"/>
      <c r="U2008" s="254"/>
      <c r="V2008" s="254"/>
      <c r="W2008" s="254"/>
      <c r="X2008" s="254"/>
      <c r="Y2008" s="254"/>
      <c r="Z2008" s="254"/>
      <c r="AA2008" s="254"/>
      <c r="AB2008" s="254"/>
      <c r="AC2008" s="254"/>
      <c r="AD2008" s="366">
        <f t="shared" ref="AD2008:AS2008" si="704">+IFERROR(AD27/AC27-1, "")</f>
        <v>-0.26693980460132372</v>
      </c>
      <c r="AE2008" s="366">
        <f t="shared" si="704"/>
        <v>-0.37532244196044717</v>
      </c>
      <c r="AF2008" s="366">
        <f t="shared" si="704"/>
        <v>-0.46042670337233316</v>
      </c>
      <c r="AG2008" s="366">
        <f t="shared" si="704"/>
        <v>-1</v>
      </c>
      <c r="AH2008" s="366" t="str">
        <f t="shared" si="704"/>
        <v/>
      </c>
      <c r="AI2008" s="366" t="str">
        <f t="shared" si="704"/>
        <v/>
      </c>
      <c r="AJ2008" s="366" t="str">
        <f t="shared" si="704"/>
        <v/>
      </c>
      <c r="AK2008" s="366" t="str">
        <f t="shared" si="704"/>
        <v/>
      </c>
      <c r="AL2008" s="366" t="str">
        <f t="shared" si="704"/>
        <v/>
      </c>
      <c r="AM2008" s="366" t="str">
        <f t="shared" si="704"/>
        <v/>
      </c>
      <c r="AN2008" s="366" t="str">
        <f t="shared" si="704"/>
        <v/>
      </c>
      <c r="AO2008" s="366" t="str">
        <f t="shared" si="704"/>
        <v/>
      </c>
      <c r="AP2008" s="366" t="str">
        <f t="shared" si="704"/>
        <v/>
      </c>
      <c r="AQ2008" s="366" t="str">
        <f t="shared" si="704"/>
        <v/>
      </c>
      <c r="AR2008" s="366" t="str">
        <f t="shared" si="704"/>
        <v/>
      </c>
      <c r="AS2008" s="366" t="str">
        <f t="shared" si="704"/>
        <v/>
      </c>
      <c r="AT2008" s="2"/>
      <c r="AU2008" s="2"/>
    </row>
    <row r="2009" spans="1:47" outlineLevel="1">
      <c r="A2009" s="298"/>
      <c r="B2009" s="407" t="s">
        <v>1252</v>
      </c>
      <c r="C2009" s="18" t="s">
        <v>733</v>
      </c>
      <c r="D2009" s="18"/>
      <c r="E2009" s="18"/>
      <c r="F2009" s="18"/>
      <c r="G2009" s="18"/>
      <c r="H2009" s="18"/>
      <c r="I2009" s="18"/>
      <c r="J2009" s="18"/>
      <c r="K2009" s="254"/>
      <c r="L2009" s="254"/>
      <c r="M2009" s="254"/>
      <c r="N2009" s="254"/>
      <c r="O2009" s="254"/>
      <c r="P2009" s="254"/>
      <c r="Q2009" s="254"/>
      <c r="R2009" s="254"/>
      <c r="S2009" s="254"/>
      <c r="T2009" s="254"/>
      <c r="U2009" s="254"/>
      <c r="V2009" s="254"/>
      <c r="W2009" s="254"/>
      <c r="X2009" s="254"/>
      <c r="Y2009" s="254"/>
      <c r="Z2009" s="254"/>
      <c r="AA2009" s="254"/>
      <c r="AB2009" s="254"/>
      <c r="AC2009" s="254"/>
      <c r="AD2009" s="366">
        <f t="shared" ref="AD2009:AS2009" si="705">+IFERROR(AD28/AC28-1, "")</f>
        <v>0.42541436464088389</v>
      </c>
      <c r="AE2009" s="366">
        <f t="shared" si="705"/>
        <v>0.25726744186046502</v>
      </c>
      <c r="AF2009" s="366">
        <f t="shared" si="705"/>
        <v>0.15645472061657029</v>
      </c>
      <c r="AG2009" s="366">
        <f t="shared" si="705"/>
        <v>-1</v>
      </c>
      <c r="AH2009" s="366" t="str">
        <f t="shared" si="705"/>
        <v/>
      </c>
      <c r="AI2009" s="366" t="str">
        <f t="shared" si="705"/>
        <v/>
      </c>
      <c r="AJ2009" s="366" t="str">
        <f t="shared" si="705"/>
        <v/>
      </c>
      <c r="AK2009" s="366" t="str">
        <f t="shared" si="705"/>
        <v/>
      </c>
      <c r="AL2009" s="366" t="str">
        <f t="shared" si="705"/>
        <v/>
      </c>
      <c r="AM2009" s="366" t="str">
        <f t="shared" si="705"/>
        <v/>
      </c>
      <c r="AN2009" s="366" t="str">
        <f t="shared" si="705"/>
        <v/>
      </c>
      <c r="AO2009" s="366" t="str">
        <f t="shared" si="705"/>
        <v/>
      </c>
      <c r="AP2009" s="366" t="str">
        <f t="shared" si="705"/>
        <v/>
      </c>
      <c r="AQ2009" s="366" t="str">
        <f t="shared" si="705"/>
        <v/>
      </c>
      <c r="AR2009" s="366" t="str">
        <f t="shared" si="705"/>
        <v/>
      </c>
      <c r="AS2009" s="366" t="str">
        <f t="shared" si="705"/>
        <v/>
      </c>
      <c r="AT2009" s="2"/>
      <c r="AU2009" s="2"/>
    </row>
    <row r="2010" spans="1:47" outlineLevel="1">
      <c r="A2010" s="338"/>
      <c r="B2010" s="406" t="s">
        <v>1307</v>
      </c>
      <c r="C2010" s="48" t="s">
        <v>733</v>
      </c>
      <c r="D2010" s="48"/>
      <c r="E2010" s="48"/>
      <c r="F2010" s="48"/>
      <c r="G2010" s="48"/>
      <c r="H2010" s="48"/>
      <c r="I2010" s="48"/>
      <c r="J2010" s="48"/>
      <c r="K2010" s="404"/>
      <c r="L2010" s="404"/>
      <c r="M2010" s="404"/>
      <c r="N2010" s="404"/>
      <c r="O2010" s="404"/>
      <c r="P2010" s="404"/>
      <c r="Q2010" s="404"/>
      <c r="R2010" s="404"/>
      <c r="S2010" s="404"/>
      <c r="T2010" s="404"/>
      <c r="U2010" s="404"/>
      <c r="V2010" s="404"/>
      <c r="W2010" s="404"/>
      <c r="X2010" s="404"/>
      <c r="Y2010" s="404"/>
      <c r="Z2010" s="404"/>
      <c r="AA2010" s="404"/>
      <c r="AB2010" s="404"/>
      <c r="AC2010" s="404"/>
      <c r="AD2010">
        <f t="shared" ref="AD2010:AS2010" si="706">+IFERROR(AD29/AC29-1, "")</f>
        <v>-4.9989179831205321E-2</v>
      </c>
      <c r="AE2010">
        <f t="shared" si="706"/>
        <v>-7.7904328018223223E-2</v>
      </c>
      <c r="AF2010">
        <f t="shared" si="706"/>
        <v>-6.4970355731225338E-2</v>
      </c>
      <c r="AG2010">
        <f t="shared" si="706"/>
        <v>-4.3857331571994673E-2</v>
      </c>
      <c r="AH2010">
        <f t="shared" si="706"/>
        <v>1.9342359767891004E-3</v>
      </c>
      <c r="AI2010">
        <f t="shared" si="706"/>
        <v>-4.7435190292333118E-2</v>
      </c>
      <c r="AJ2010">
        <f t="shared" si="706"/>
        <v>-2.6056745801968928E-3</v>
      </c>
      <c r="AK2010">
        <f t="shared" si="706"/>
        <v>1.2647924266995014E-2</v>
      </c>
      <c r="AL2010">
        <f t="shared" si="706"/>
        <v>1.3997033382634028E-2</v>
      </c>
      <c r="AM2010">
        <f t="shared" si="706"/>
        <v>1.5064644426360241E-2</v>
      </c>
      <c r="AN2010">
        <f t="shared" si="706"/>
        <v>1.5907335406094125E-2</v>
      </c>
      <c r="AO2010">
        <f t="shared" si="706"/>
        <v>1.6571096606456948E-2</v>
      </c>
      <c r="AP2010">
        <f t="shared" si="706"/>
        <v>1.7093003697222775E-2</v>
      </c>
      <c r="AQ2010">
        <f t="shared" si="706"/>
        <v>1.7502754584882263E-2</v>
      </c>
      <c r="AR2010">
        <f t="shared" si="706"/>
        <v>1.7824019259099044E-2</v>
      </c>
      <c r="AS2010">
        <f t="shared" si="706"/>
        <v>-2.2630390786704369E-2</v>
      </c>
      <c r="AT2010" s="9"/>
      <c r="AU2010" s="9"/>
    </row>
    <row r="2011" spans="1:47" outlineLevel="1">
      <c r="A2011" s="298"/>
      <c r="B2011" s="339" t="s">
        <v>1253</v>
      </c>
      <c r="C2011" s="18" t="s">
        <v>733</v>
      </c>
      <c r="D2011" s="18"/>
      <c r="E2011" s="18"/>
      <c r="F2011" s="18"/>
      <c r="G2011" s="18"/>
      <c r="H2011" s="18"/>
      <c r="I2011" s="18"/>
      <c r="J2011" s="18"/>
      <c r="K2011" s="254"/>
      <c r="L2011" s="254"/>
      <c r="M2011" s="254"/>
      <c r="N2011" s="254"/>
      <c r="O2011" s="254"/>
      <c r="P2011" s="254"/>
      <c r="Q2011" s="254"/>
      <c r="R2011" s="254"/>
      <c r="S2011" s="254"/>
      <c r="T2011" s="254"/>
      <c r="U2011" s="254"/>
      <c r="V2011" s="254"/>
      <c r="W2011" s="254"/>
      <c r="X2011" s="254"/>
      <c r="Y2011" s="254"/>
      <c r="Z2011" s="254"/>
      <c r="AA2011" s="254"/>
      <c r="AB2011" s="254"/>
      <c r="AC2011" s="254"/>
      <c r="AD2011" s="366">
        <f t="shared" ref="AD2011:AS2011" si="707">+IFERROR(AD30/AC30-1, "")</f>
        <v>-6.8209500609013429E-2</v>
      </c>
      <c r="AE2011" s="366">
        <f t="shared" si="707"/>
        <v>-4.9673202614379131E-2</v>
      </c>
      <c r="AF2011" s="366">
        <f t="shared" si="707"/>
        <v>-9.0784044016506193E-2</v>
      </c>
      <c r="AG2011" s="366">
        <f t="shared" si="707"/>
        <v>-9.2284417549167941E-2</v>
      </c>
      <c r="AH2011" s="366">
        <f t="shared" si="707"/>
        <v>-1.5000000000000013E-2</v>
      </c>
      <c r="AI2011" s="366">
        <f t="shared" si="707"/>
        <v>-8.7986463620981392E-2</v>
      </c>
      <c r="AJ2011" s="366">
        <f t="shared" si="707"/>
        <v>-0.17625231910946193</v>
      </c>
      <c r="AK2011" s="366">
        <f t="shared" si="707"/>
        <v>-0.17625231910946193</v>
      </c>
      <c r="AL2011" s="366">
        <f t="shared" si="707"/>
        <v>-0.17625231910946204</v>
      </c>
      <c r="AM2011" s="366">
        <f t="shared" si="707"/>
        <v>-0.17625231910946193</v>
      </c>
      <c r="AN2011" s="366">
        <f t="shared" si="707"/>
        <v>-0.17625231910946193</v>
      </c>
      <c r="AO2011" s="366">
        <f t="shared" si="707"/>
        <v>-0.17625231910946193</v>
      </c>
      <c r="AP2011" s="366">
        <f t="shared" si="707"/>
        <v>-0.17625231910946193</v>
      </c>
      <c r="AQ2011" s="366">
        <f t="shared" si="707"/>
        <v>-0.17625231910946193</v>
      </c>
      <c r="AR2011" s="366">
        <f t="shared" si="707"/>
        <v>-0.17625231910946193</v>
      </c>
      <c r="AS2011" s="366">
        <f t="shared" si="707"/>
        <v>-0.17625231910946193</v>
      </c>
      <c r="AT2011" s="2"/>
      <c r="AU2011" s="2"/>
    </row>
    <row r="2012" spans="1:47" outlineLevel="1">
      <c r="A2012" s="298"/>
      <c r="B2012" s="339" t="s">
        <v>1254</v>
      </c>
      <c r="C2012" s="18" t="s">
        <v>733</v>
      </c>
      <c r="D2012" s="18"/>
      <c r="E2012" s="18"/>
      <c r="F2012" s="18"/>
      <c r="G2012" s="18"/>
      <c r="H2012" s="18"/>
      <c r="I2012" s="18"/>
      <c r="J2012" s="18"/>
      <c r="K2012" s="254"/>
      <c r="L2012" s="254"/>
      <c r="M2012" s="254"/>
      <c r="N2012" s="254"/>
      <c r="O2012" s="254"/>
      <c r="P2012" s="254"/>
      <c r="Q2012" s="254"/>
      <c r="R2012" s="254"/>
      <c r="S2012" s="254"/>
      <c r="T2012" s="254"/>
      <c r="U2012" s="254"/>
      <c r="V2012" s="254"/>
      <c r="W2012" s="254"/>
      <c r="X2012" s="254"/>
      <c r="Y2012" s="254"/>
      <c r="Z2012" s="254"/>
      <c r="AA2012" s="254"/>
      <c r="AB2012" s="254"/>
      <c r="AC2012" s="254"/>
      <c r="AD2012" s="366">
        <f t="shared" ref="AD2012:AS2012" si="708">+IFERROR(AD31/AC31-1, "")</f>
        <v>-7.1065989847715727E-2</v>
      </c>
      <c r="AE2012" s="366">
        <f t="shared" si="708"/>
        <v>5.464480874316946E-2</v>
      </c>
      <c r="AF2012" s="366">
        <f t="shared" si="708"/>
        <v>-5.1813471502590636E-2</v>
      </c>
      <c r="AG2012" s="366">
        <f t="shared" si="708"/>
        <v>-8.1967213114754078E-2</v>
      </c>
      <c r="AH2012" s="366">
        <f t="shared" si="708"/>
        <v>-5.9523809523809534E-2</v>
      </c>
      <c r="AI2012" s="366">
        <f t="shared" si="708"/>
        <v>-3.1645569620253111E-2</v>
      </c>
      <c r="AJ2012" s="366">
        <f t="shared" si="708"/>
        <v>-2.6143790849673221E-2</v>
      </c>
      <c r="AK2012" s="366">
        <f t="shared" si="708"/>
        <v>-2.6143790849673221E-2</v>
      </c>
      <c r="AL2012" s="366">
        <f t="shared" si="708"/>
        <v>-2.6143790849673221E-2</v>
      </c>
      <c r="AM2012" s="366">
        <f t="shared" si="708"/>
        <v>-2.6143790849673221E-2</v>
      </c>
      <c r="AN2012" s="366">
        <f t="shared" si="708"/>
        <v>-2.6143790849673332E-2</v>
      </c>
      <c r="AO2012" s="366">
        <f t="shared" si="708"/>
        <v>-2.6143790849673332E-2</v>
      </c>
      <c r="AP2012" s="366">
        <f t="shared" si="708"/>
        <v>-2.6143790849673221E-2</v>
      </c>
      <c r="AQ2012" s="366">
        <f t="shared" si="708"/>
        <v>-2.6143790849673221E-2</v>
      </c>
      <c r="AR2012" s="366">
        <f t="shared" si="708"/>
        <v>-2.6143790849673221E-2</v>
      </c>
      <c r="AS2012" s="366">
        <f t="shared" si="708"/>
        <v>-2.6143790849673221E-2</v>
      </c>
      <c r="AT2012" s="2"/>
      <c r="AU2012" s="2"/>
    </row>
    <row r="2013" spans="1:47" outlineLevel="1">
      <c r="A2013" s="298"/>
      <c r="B2013" s="339" t="s">
        <v>1306</v>
      </c>
      <c r="C2013" s="18" t="s">
        <v>733</v>
      </c>
      <c r="D2013" s="18"/>
      <c r="E2013" s="18"/>
      <c r="F2013" s="18"/>
      <c r="G2013" s="18"/>
      <c r="H2013" s="18"/>
      <c r="I2013" s="18"/>
      <c r="J2013" s="18"/>
      <c r="K2013" s="254"/>
      <c r="L2013" s="254"/>
      <c r="M2013" s="254"/>
      <c r="N2013" s="254"/>
      <c r="O2013" s="254"/>
      <c r="P2013" s="254"/>
      <c r="Q2013" s="254"/>
      <c r="R2013" s="254"/>
      <c r="S2013" s="254"/>
      <c r="T2013" s="254"/>
      <c r="U2013" s="254"/>
      <c r="V2013" s="254"/>
      <c r="W2013" s="254"/>
      <c r="X2013" s="254"/>
      <c r="Y2013" s="254"/>
      <c r="Z2013" s="254"/>
      <c r="AA2013" s="254"/>
      <c r="AB2013" s="254"/>
      <c r="AC2013" s="254"/>
      <c r="AD2013" s="366">
        <f t="shared" ref="AD2013:AS2013" si="709">+IFERROR(AD32/AC32-1, "")</f>
        <v>-0.14534883720930236</v>
      </c>
      <c r="AE2013" s="366">
        <f t="shared" si="709"/>
        <v>-0.21768707482993199</v>
      </c>
      <c r="AF2013" s="366">
        <f t="shared" si="709"/>
        <v>-6.956521739130439E-2</v>
      </c>
      <c r="AG2013" s="366">
        <f t="shared" si="709"/>
        <v>-7.4766355140186924E-2</v>
      </c>
      <c r="AH2013" s="366">
        <f t="shared" si="709"/>
        <v>-0.17171717171717171</v>
      </c>
      <c r="AI2013" s="366">
        <f t="shared" si="709"/>
        <v>1.5487804878048781</v>
      </c>
      <c r="AJ2013" s="366">
        <f t="shared" si="709"/>
        <v>0.24880382775119614</v>
      </c>
      <c r="AK2013" s="366">
        <f t="shared" si="709"/>
        <v>0.24880382775119614</v>
      </c>
      <c r="AL2013" s="366">
        <f t="shared" si="709"/>
        <v>0.24880382775119614</v>
      </c>
      <c r="AM2013" s="366">
        <f t="shared" si="709"/>
        <v>0.24880382775119614</v>
      </c>
      <c r="AN2013" s="366">
        <f t="shared" si="709"/>
        <v>0.24880382775119614</v>
      </c>
      <c r="AO2013" s="366">
        <f t="shared" si="709"/>
        <v>0.24880382775119614</v>
      </c>
      <c r="AP2013" s="366">
        <f t="shared" si="709"/>
        <v>0.24880382775119614</v>
      </c>
      <c r="AQ2013" s="366">
        <f t="shared" si="709"/>
        <v>0.24880382775119614</v>
      </c>
      <c r="AR2013" s="366">
        <f t="shared" si="709"/>
        <v>0.24880382775119614</v>
      </c>
      <c r="AS2013" s="366">
        <f t="shared" si="709"/>
        <v>0.24880382775119614</v>
      </c>
      <c r="AT2013" s="2"/>
      <c r="AU2013" s="2"/>
    </row>
    <row r="2014" spans="1:47" outlineLevel="1">
      <c r="A2014" s="298"/>
      <c r="B2014" s="434" t="s">
        <v>1256</v>
      </c>
      <c r="C2014" s="433" t="s">
        <v>733</v>
      </c>
      <c r="D2014" s="209"/>
      <c r="E2014" s="209"/>
      <c r="F2014" s="209"/>
      <c r="G2014" s="209"/>
      <c r="H2014" s="209"/>
      <c r="I2014" s="209"/>
      <c r="J2014" s="209"/>
      <c r="K2014" s="262"/>
      <c r="L2014" s="262"/>
      <c r="M2014" s="262"/>
      <c r="N2014" s="262"/>
      <c r="O2014" s="262"/>
      <c r="P2014" s="262"/>
      <c r="Q2014" s="262"/>
      <c r="R2014" s="262"/>
      <c r="S2014" s="262"/>
      <c r="T2014" s="262"/>
      <c r="U2014" s="262"/>
      <c r="V2014" s="262"/>
      <c r="W2014" s="262"/>
      <c r="X2014" s="262"/>
      <c r="Y2014" s="262"/>
      <c r="Z2014" s="262"/>
      <c r="AA2014" s="262"/>
      <c r="AB2014" s="262"/>
      <c r="AC2014" s="262"/>
      <c r="AD2014" s="449">
        <f t="shared" ref="AD2014:AS2014" si="710">+IFERROR(AD33/AC33-1, "")</f>
        <v>-5.6100499053519215E-2</v>
      </c>
      <c r="AE2014" s="449">
        <f t="shared" si="710"/>
        <v>-7.3290793072014582E-2</v>
      </c>
      <c r="AF2014" s="449">
        <f t="shared" si="710"/>
        <v>-6.8266771591579789E-2</v>
      </c>
      <c r="AG2014" s="449">
        <f t="shared" si="710"/>
        <v>-5.2787162162162171E-2</v>
      </c>
      <c r="AH2014" s="449">
        <f t="shared" si="710"/>
        <v>-6.4645563976817311E-3</v>
      </c>
      <c r="AI2014" s="449">
        <f t="shared" si="710"/>
        <v>-2.2885348889387536E-2</v>
      </c>
      <c r="AJ2014" s="449">
        <f t="shared" si="710"/>
        <v>-1.2858783008036778E-2</v>
      </c>
      <c r="AK2014" s="449">
        <f t="shared" si="710"/>
        <v>6.1312964925930302E-3</v>
      </c>
      <c r="AL2014" s="449">
        <f t="shared" si="710"/>
        <v>1.425718268451992E-2</v>
      </c>
      <c r="AM2014" s="449">
        <f t="shared" si="710"/>
        <v>2.2285046662548602E-2</v>
      </c>
      <c r="AN2014" s="449">
        <f t="shared" si="710"/>
        <v>3.0379612500971875E-2</v>
      </c>
      <c r="AO2014" s="449">
        <f t="shared" si="710"/>
        <v>3.8702458636451276E-2</v>
      </c>
      <c r="AP2014" s="449">
        <f t="shared" si="710"/>
        <v>4.740104459212291E-2</v>
      </c>
      <c r="AQ2014" s="449">
        <f t="shared" si="710"/>
        <v>5.6597839822697171E-2</v>
      </c>
      <c r="AR2014" s="449">
        <f t="shared" si="710"/>
        <v>6.6379654025216617E-2</v>
      </c>
      <c r="AS2014" s="449">
        <f t="shared" si="710"/>
        <v>4.8718479865020425E-2</v>
      </c>
      <c r="AT2014" s="2"/>
      <c r="AU2014" s="2"/>
    </row>
    <row r="2015" spans="1:47" outlineLevel="1">
      <c r="A2015" s="298"/>
      <c r="B2015" s="339"/>
      <c r="C2015" s="18"/>
      <c r="D2015" s="18"/>
      <c r="E2015" s="18"/>
      <c r="F2015" s="18"/>
      <c r="G2015" s="18"/>
      <c r="H2015" s="18"/>
      <c r="I2015" s="18"/>
      <c r="J2015" s="18"/>
      <c r="K2015" s="254"/>
      <c r="L2015" s="254"/>
      <c r="M2015" s="254"/>
      <c r="N2015" s="254"/>
      <c r="O2015" s="254"/>
      <c r="P2015" s="254"/>
      <c r="Q2015" s="254"/>
      <c r="R2015" s="254"/>
      <c r="S2015" s="254"/>
      <c r="T2015" s="254"/>
      <c r="U2015" s="254"/>
      <c r="V2015" s="254"/>
      <c r="W2015" s="254"/>
      <c r="X2015" s="254"/>
      <c r="Y2015" s="254"/>
      <c r="Z2015" s="254"/>
      <c r="AA2015" s="254"/>
      <c r="AB2015" s="254"/>
      <c r="AC2015" s="254"/>
      <c r="AD2015" s="366"/>
      <c r="AE2015" s="366"/>
      <c r="AF2015" s="366"/>
      <c r="AG2015" s="366"/>
      <c r="AH2015" s="366"/>
      <c r="AI2015" s="366"/>
      <c r="AJ2015" s="366"/>
      <c r="AK2015" s="366"/>
      <c r="AL2015" s="366"/>
      <c r="AM2015" s="366"/>
      <c r="AN2015" s="366"/>
      <c r="AO2015" s="366"/>
      <c r="AP2015" s="366"/>
      <c r="AQ2015" s="366"/>
      <c r="AR2015" s="366"/>
      <c r="AS2015" s="366"/>
      <c r="AT2015" s="2"/>
      <c r="AU2015" s="2"/>
    </row>
    <row r="2016" spans="1:47" ht="15.6" outlineLevel="1">
      <c r="A2016" s="298"/>
      <c r="B2016" s="737" t="s">
        <v>1320</v>
      </c>
      <c r="C2016" s="283"/>
      <c r="D2016" s="284"/>
      <c r="E2016" s="284"/>
      <c r="F2016" s="284"/>
      <c r="G2016" s="285"/>
      <c r="H2016" s="285"/>
      <c r="I2016" s="285"/>
      <c r="J2016" s="285"/>
      <c r="K2016" s="285"/>
      <c r="L2016" s="285"/>
      <c r="M2016" s="285"/>
      <c r="N2016" s="284"/>
      <c r="O2016" s="286"/>
      <c r="P2016" s="286"/>
      <c r="Q2016" s="286"/>
      <c r="R2016" s="286"/>
      <c r="S2016" s="286"/>
      <c r="T2016" s="286"/>
      <c r="U2016" s="286"/>
      <c r="V2016" s="285"/>
      <c r="W2016" s="285"/>
      <c r="X2016" s="285"/>
      <c r="Y2016" s="285"/>
      <c r="Z2016" s="285"/>
      <c r="AA2016" s="285"/>
      <c r="AB2016" s="285"/>
      <c r="AC2016" s="285"/>
      <c r="AD2016" s="285"/>
      <c r="AE2016" s="285"/>
      <c r="AF2016" s="285"/>
      <c r="AG2016" s="285"/>
      <c r="AH2016" s="285"/>
      <c r="AI2016" s="285"/>
      <c r="AJ2016" s="285"/>
      <c r="AK2016" s="285"/>
      <c r="AL2016" s="285"/>
      <c r="AM2016" s="285"/>
      <c r="AN2016" s="285"/>
      <c r="AO2016" s="285"/>
      <c r="AP2016" s="285"/>
      <c r="AQ2016" s="285"/>
      <c r="AR2016" s="285"/>
      <c r="AS2016" s="285"/>
      <c r="AT2016" s="2"/>
      <c r="AU2016" s="2"/>
    </row>
    <row r="2017" spans="1:47" outlineLevel="1">
      <c r="A2017" s="298"/>
      <c r="B2017" s="339" t="s">
        <v>1244</v>
      </c>
      <c r="C2017" s="18" t="s">
        <v>733</v>
      </c>
      <c r="D2017" s="18"/>
      <c r="E2017" s="18"/>
      <c r="F2017" s="18"/>
      <c r="G2017" s="18"/>
      <c r="H2017" s="18"/>
      <c r="I2017" s="18"/>
      <c r="J2017" s="18"/>
      <c r="K2017" s="254"/>
      <c r="L2017" s="254"/>
      <c r="M2017" s="254"/>
      <c r="N2017" s="254"/>
      <c r="O2017" s="254"/>
      <c r="P2017" s="254"/>
      <c r="Q2017" s="254"/>
      <c r="R2017" s="254"/>
      <c r="S2017" s="254"/>
      <c r="T2017" s="254"/>
      <c r="U2017" s="254"/>
      <c r="V2017" s="254"/>
      <c r="W2017" s="254"/>
      <c r="X2017" s="254"/>
      <c r="Y2017" s="254"/>
      <c r="Z2017" s="254"/>
      <c r="AA2017" s="254"/>
      <c r="AB2017" s="254"/>
      <c r="AC2017" s="254"/>
      <c r="AD2017" s="366">
        <f t="shared" ref="AD2017:AS2017" si="711">+IFERROR(AD37/AC37-1, "")</f>
        <v>-6.2225475841874101E-2</v>
      </c>
      <c r="AE2017" s="366">
        <f t="shared" si="711"/>
        <v>-6.8696330991412924E-2</v>
      </c>
      <c r="AF2017" s="366">
        <f t="shared" si="711"/>
        <v>-7.5440067057837346E-2</v>
      </c>
      <c r="AG2017" s="366">
        <f t="shared" si="711"/>
        <v>-0.13327289211242066</v>
      </c>
      <c r="AH2017" s="366">
        <f t="shared" si="711"/>
        <v>-0.16212391213389121</v>
      </c>
      <c r="AI2017" s="366">
        <f t="shared" si="711"/>
        <v>-6.6178412806419229E-2</v>
      </c>
      <c r="AJ2017" s="366">
        <f t="shared" si="711"/>
        <v>-9.224598930481287E-2</v>
      </c>
      <c r="AK2017" s="366">
        <f t="shared" si="711"/>
        <v>0.32152081127708798</v>
      </c>
      <c r="AL2017" s="366">
        <f t="shared" si="711"/>
        <v>-9.6103896103896136E-2</v>
      </c>
      <c r="AM2017" s="366">
        <f t="shared" si="711"/>
        <v>-9.6103896103896136E-2</v>
      </c>
      <c r="AN2017" s="366">
        <f t="shared" si="711"/>
        <v>-9.6103896103896247E-2</v>
      </c>
      <c r="AO2017" s="366">
        <f t="shared" si="711"/>
        <v>-9.6103896103896025E-2</v>
      </c>
      <c r="AP2017" s="366">
        <f t="shared" si="711"/>
        <v>-9.6103896103896025E-2</v>
      </c>
      <c r="AQ2017" s="366">
        <f t="shared" si="711"/>
        <v>-9.610389610389658E-2</v>
      </c>
      <c r="AR2017" s="366">
        <f t="shared" si="711"/>
        <v>-9.6103896103896025E-2</v>
      </c>
      <c r="AS2017" s="366">
        <f t="shared" si="711"/>
        <v>-9.6103896103896025E-2</v>
      </c>
      <c r="AT2017" s="2"/>
      <c r="AU2017" s="8" t="s">
        <v>1363</v>
      </c>
    </row>
    <row r="2018" spans="1:47" outlineLevel="1">
      <c r="A2018" s="298"/>
      <c r="B2018" s="407" t="s">
        <v>1257</v>
      </c>
      <c r="C2018" s="18" t="s">
        <v>733</v>
      </c>
      <c r="D2018" s="18"/>
      <c r="E2018" s="18"/>
      <c r="F2018" s="18"/>
      <c r="G2018" s="18"/>
      <c r="H2018" s="18"/>
      <c r="I2018" s="18"/>
      <c r="J2018" s="18"/>
      <c r="K2018" s="254"/>
      <c r="L2018" s="254"/>
      <c r="M2018" s="254"/>
      <c r="N2018" s="254"/>
      <c r="O2018" s="254"/>
      <c r="P2018" s="254"/>
      <c r="Q2018" s="254"/>
      <c r="R2018" s="254"/>
      <c r="S2018" s="254"/>
      <c r="T2018" s="254"/>
      <c r="U2018" s="254"/>
      <c r="V2018" s="254"/>
      <c r="W2018" s="254"/>
      <c r="X2018" s="254"/>
      <c r="Y2018" s="254"/>
      <c r="Z2018" s="254"/>
      <c r="AA2018" s="254"/>
      <c r="AB2018" s="254"/>
      <c r="AC2018" s="254"/>
      <c r="AD2018" s="366">
        <f t="shared" ref="AD2018:AS2018" si="712">+IFERROR(AD38/AC38-1, "")</f>
        <v>-7.8870496592015615E-2</v>
      </c>
      <c r="AE2018" s="366">
        <f t="shared" si="712"/>
        <v>-0.12473572938689215</v>
      </c>
      <c r="AF2018" s="366">
        <f t="shared" si="712"/>
        <v>-0.14492753623188404</v>
      </c>
      <c r="AG2018" s="366">
        <f t="shared" si="712"/>
        <v>-0.10028248587570621</v>
      </c>
      <c r="AH2018" s="366">
        <f t="shared" si="712"/>
        <v>-0.24646781789638927</v>
      </c>
      <c r="AI2018" s="366">
        <f t="shared" si="712"/>
        <v>-0.14166666666666672</v>
      </c>
      <c r="AJ2018" s="366">
        <f t="shared" si="712"/>
        <v>-5.5825242718446577E-2</v>
      </c>
      <c r="AK2018" s="366">
        <f t="shared" si="712"/>
        <v>-5.5825242718446577E-2</v>
      </c>
      <c r="AL2018" s="366">
        <f t="shared" si="712"/>
        <v>-5.5825242718446466E-2</v>
      </c>
      <c r="AM2018" s="366">
        <f t="shared" si="712"/>
        <v>-5.5825242718446577E-2</v>
      </c>
      <c r="AN2018" s="366">
        <f t="shared" si="712"/>
        <v>-5.5825242718446577E-2</v>
      </c>
      <c r="AO2018" s="366">
        <f t="shared" si="712"/>
        <v>-5.5825242718446577E-2</v>
      </c>
      <c r="AP2018" s="366">
        <f t="shared" si="712"/>
        <v>-5.5825242718446577E-2</v>
      </c>
      <c r="AQ2018" s="366">
        <f t="shared" si="712"/>
        <v>-5.5825242718446466E-2</v>
      </c>
      <c r="AR2018" s="366">
        <f t="shared" si="712"/>
        <v>-5.5825242718446577E-2</v>
      </c>
      <c r="AS2018" s="366">
        <f t="shared" si="712"/>
        <v>-5.5825242718446577E-2</v>
      </c>
      <c r="AT2018" s="2"/>
      <c r="AU2018" s="2"/>
    </row>
    <row r="2019" spans="1:47" outlineLevel="1">
      <c r="A2019" s="410"/>
      <c r="B2019" s="407" t="s">
        <v>1258</v>
      </c>
      <c r="C2019" s="14" t="s">
        <v>733</v>
      </c>
      <c r="D2019" s="14"/>
      <c r="E2019" s="14"/>
      <c r="F2019" s="14"/>
      <c r="G2019" s="14"/>
      <c r="H2019" s="14"/>
      <c r="I2019" s="14"/>
      <c r="J2019" s="14"/>
      <c r="K2019" s="425"/>
      <c r="L2019" s="425"/>
      <c r="M2019" s="425"/>
      <c r="N2019" s="425"/>
      <c r="O2019" s="425"/>
      <c r="P2019" s="425"/>
      <c r="Q2019" s="425"/>
      <c r="R2019" s="425"/>
      <c r="S2019" s="425"/>
      <c r="T2019" s="425"/>
      <c r="U2019" s="425"/>
      <c r="V2019" s="425"/>
      <c r="W2019" s="425"/>
      <c r="X2019" s="425"/>
      <c r="Y2019" s="425"/>
      <c r="Z2019" s="425"/>
      <c r="AA2019" s="425"/>
      <c r="AB2019" s="425"/>
      <c r="AC2019" s="254"/>
      <c r="AD2019" s="366">
        <f t="shared" ref="AD2019:AS2019" si="713">+IFERROR(AD39/AC39-1, "")</f>
        <v>1.9230769230769162E-2</v>
      </c>
      <c r="AE2019" s="366">
        <f t="shared" si="713"/>
        <v>-3.1446540880503138E-3</v>
      </c>
      <c r="AF2019" s="366">
        <f t="shared" si="713"/>
        <v>5.8359621451104182E-2</v>
      </c>
      <c r="AG2019" s="366">
        <f t="shared" si="713"/>
        <v>9.9850968703427689E-2</v>
      </c>
      <c r="AH2019" s="366">
        <f t="shared" si="713"/>
        <v>4.6070460704606964E-2</v>
      </c>
      <c r="AI2019" s="366">
        <f t="shared" si="713"/>
        <v>2.0725388601036343E-2</v>
      </c>
      <c r="AJ2019" s="366">
        <f t="shared" si="713"/>
        <v>4.1878172588832419E-2</v>
      </c>
      <c r="AK2019" s="366">
        <f t="shared" si="713"/>
        <v>4.1878172588832419E-2</v>
      </c>
      <c r="AL2019" s="366">
        <f t="shared" si="713"/>
        <v>4.1878172588832419E-2</v>
      </c>
      <c r="AM2019" s="366">
        <f t="shared" si="713"/>
        <v>4.1878172588832419E-2</v>
      </c>
      <c r="AN2019" s="366">
        <f t="shared" si="713"/>
        <v>4.1878172588832419E-2</v>
      </c>
      <c r="AO2019" s="366">
        <f t="shared" si="713"/>
        <v>4.1878172588832419E-2</v>
      </c>
      <c r="AP2019" s="366">
        <f t="shared" si="713"/>
        <v>4.1878172588832419E-2</v>
      </c>
      <c r="AQ2019" s="366">
        <f t="shared" si="713"/>
        <v>4.1878172588832419E-2</v>
      </c>
      <c r="AR2019" s="366">
        <f t="shared" si="713"/>
        <v>4.1878172588832419E-2</v>
      </c>
      <c r="AS2019" s="366">
        <f t="shared" si="713"/>
        <v>4.1878172588832419E-2</v>
      </c>
      <c r="AT2019" s="8"/>
      <c r="AU2019" s="8"/>
    </row>
    <row r="2020" spans="1:47" outlineLevel="1">
      <c r="A2020" s="298"/>
      <c r="B2020" s="407" t="s">
        <v>1308</v>
      </c>
      <c r="C2020" s="18" t="s">
        <v>733</v>
      </c>
      <c r="D2020" s="18"/>
      <c r="E2020" s="18"/>
      <c r="F2020" s="18"/>
      <c r="G2020" s="18"/>
      <c r="H2020" s="18"/>
      <c r="I2020" s="18"/>
      <c r="J2020" s="18"/>
      <c r="K2020" s="254"/>
      <c r="L2020" s="254"/>
      <c r="M2020" s="254"/>
      <c r="N2020" s="254"/>
      <c r="O2020" s="254"/>
      <c r="P2020" s="254"/>
      <c r="Q2020" s="254"/>
      <c r="R2020" s="254"/>
      <c r="S2020" s="254"/>
      <c r="T2020" s="254"/>
      <c r="U2020" s="254"/>
      <c r="V2020" s="254"/>
      <c r="W2020" s="254"/>
      <c r="X2020" s="254"/>
      <c r="Y2020" s="254"/>
      <c r="Z2020" s="254"/>
      <c r="AA2020" s="254"/>
      <c r="AB2020" s="254"/>
      <c r="AC2020" s="254"/>
      <c r="AD2020" s="366">
        <f t="shared" ref="AD2020:AS2020" si="714">+IFERROR(AD40/AC40-1, "")</f>
        <v>-0.10200364298724951</v>
      </c>
      <c r="AE2020" s="366">
        <f t="shared" si="714"/>
        <v>-0.1338742393509128</v>
      </c>
      <c r="AF2020" s="366">
        <f t="shared" si="714"/>
        <v>-0.11943793911007028</v>
      </c>
      <c r="AG2020" s="366">
        <f t="shared" si="714"/>
        <v>0.16755319148936176</v>
      </c>
      <c r="AH2020" s="366">
        <f t="shared" si="714"/>
        <v>0.23462414578587709</v>
      </c>
      <c r="AI2020" s="366">
        <f t="shared" si="714"/>
        <v>-7.1955719557195597E-2</v>
      </c>
      <c r="AJ2020" s="366">
        <f t="shared" si="714"/>
        <v>6.7594433399602361E-2</v>
      </c>
      <c r="AK2020" s="366">
        <f t="shared" si="714"/>
        <v>6.7594433399602361E-2</v>
      </c>
      <c r="AL2020" s="366">
        <f t="shared" si="714"/>
        <v>6.7594433399602361E-2</v>
      </c>
      <c r="AM2020" s="366">
        <f t="shared" si="714"/>
        <v>6.7594433399602361E-2</v>
      </c>
      <c r="AN2020" s="366">
        <f t="shared" si="714"/>
        <v>6.7594433399602361E-2</v>
      </c>
      <c r="AO2020" s="366">
        <f t="shared" si="714"/>
        <v>6.7594433399602361E-2</v>
      </c>
      <c r="AP2020" s="366">
        <f t="shared" si="714"/>
        <v>6.7594433399602361E-2</v>
      </c>
      <c r="AQ2020" s="366">
        <f t="shared" si="714"/>
        <v>6.7594433399602361E-2</v>
      </c>
      <c r="AR2020" s="366">
        <f t="shared" si="714"/>
        <v>6.7594433399602361E-2</v>
      </c>
      <c r="AS2020" s="366">
        <f t="shared" si="714"/>
        <v>6.7594433399602361E-2</v>
      </c>
      <c r="AT2020" s="2"/>
      <c r="AU2020" s="2"/>
    </row>
    <row r="2021" spans="1:47" outlineLevel="1">
      <c r="A2021" s="298"/>
      <c r="B2021" s="407" t="s">
        <v>1259</v>
      </c>
      <c r="C2021" s="18" t="s">
        <v>733</v>
      </c>
      <c r="D2021" s="18"/>
      <c r="E2021" s="18"/>
      <c r="F2021" s="18"/>
      <c r="G2021" s="18"/>
      <c r="H2021" s="18"/>
      <c r="I2021" s="18"/>
      <c r="J2021" s="18"/>
      <c r="K2021" s="254"/>
      <c r="L2021" s="254"/>
      <c r="M2021" s="254"/>
      <c r="N2021" s="254"/>
      <c r="O2021" s="254"/>
      <c r="P2021" s="254"/>
      <c r="Q2021" s="254"/>
      <c r="R2021" s="254"/>
      <c r="S2021" s="254"/>
      <c r="T2021" s="254"/>
      <c r="U2021" s="254"/>
      <c r="V2021" s="254"/>
      <c r="W2021" s="254"/>
      <c r="X2021" s="254"/>
      <c r="Y2021" s="254"/>
      <c r="Z2021" s="254"/>
      <c r="AA2021" s="254"/>
      <c r="AB2021" s="254"/>
      <c r="AC2021" s="254"/>
      <c r="AD2021" s="366">
        <f t="shared" ref="AD2021:AS2021" si="715">+IFERROR(AD41/AC41-1, "")</f>
        <v>0.27329192546583858</v>
      </c>
      <c r="AE2021" s="366">
        <f t="shared" si="715"/>
        <v>0.19999999999999996</v>
      </c>
      <c r="AF2021" s="366">
        <f t="shared" si="715"/>
        <v>4.471544715447151E-2</v>
      </c>
      <c r="AG2021" s="366">
        <f t="shared" si="715"/>
        <v>8.5603112840466844E-2</v>
      </c>
      <c r="AH2021" s="366">
        <f t="shared" si="715"/>
        <v>0.11469534050179209</v>
      </c>
      <c r="AI2021" s="366">
        <f t="shared" si="715"/>
        <v>0.18327974276527326</v>
      </c>
      <c r="AJ2021" s="366">
        <f t="shared" si="715"/>
        <v>4.6195652173913082E-2</v>
      </c>
      <c r="AK2021" s="366">
        <f t="shared" si="715"/>
        <v>0.10000000000000009</v>
      </c>
      <c r="AL2021" s="366">
        <f t="shared" si="715"/>
        <v>5.0000000000000044E-2</v>
      </c>
      <c r="AM2021" s="366">
        <f t="shared" si="715"/>
        <v>5.0000000000000044E-2</v>
      </c>
      <c r="AN2021" s="366">
        <f t="shared" si="715"/>
        <v>5.0000000000000044E-2</v>
      </c>
      <c r="AO2021" s="366">
        <f t="shared" si="715"/>
        <v>5.0000000000000044E-2</v>
      </c>
      <c r="AP2021" s="366">
        <f t="shared" si="715"/>
        <v>5.0000000000000044E-2</v>
      </c>
      <c r="AQ2021" s="366">
        <f t="shared" si="715"/>
        <v>5.0000000000000044E-2</v>
      </c>
      <c r="AR2021" s="366">
        <f t="shared" si="715"/>
        <v>5.0000000000000044E-2</v>
      </c>
      <c r="AS2021" s="366">
        <f t="shared" si="715"/>
        <v>5.0000000000000044E-2</v>
      </c>
      <c r="AT2021" s="2"/>
      <c r="AU2021" s="2"/>
    </row>
    <row r="2022" spans="1:47" outlineLevel="1">
      <c r="A2022" s="298"/>
      <c r="B2022" s="407" t="s">
        <v>1260</v>
      </c>
      <c r="C2022" s="18" t="s">
        <v>733</v>
      </c>
      <c r="D2022" s="18"/>
      <c r="E2022" s="18"/>
      <c r="F2022" s="18"/>
      <c r="G2022" s="18"/>
      <c r="H2022" s="18"/>
      <c r="I2022" s="18"/>
      <c r="J2022" s="18"/>
      <c r="K2022" s="254"/>
      <c r="L2022" s="254"/>
      <c r="M2022" s="254"/>
      <c r="N2022" s="254"/>
      <c r="O2022" s="254"/>
      <c r="P2022" s="254"/>
      <c r="Q2022" s="254"/>
      <c r="R2022" s="254"/>
      <c r="S2022" s="254"/>
      <c r="T2022" s="254"/>
      <c r="U2022" s="254"/>
      <c r="V2022" s="254"/>
      <c r="W2022" s="254"/>
      <c r="X2022" s="254"/>
      <c r="Y2022" s="254"/>
      <c r="Z2022" s="254"/>
      <c r="AA2022" s="254"/>
      <c r="AB2022" s="254"/>
      <c r="AC2022" s="254"/>
      <c r="AD2022" s="366">
        <f t="shared" ref="AD2022:AS2022" si="716">+IFERROR(AD42/AC42-1, "")</f>
        <v>-7.9113924050632889E-2</v>
      </c>
      <c r="AE2022" s="366">
        <f t="shared" si="716"/>
        <v>-0.14089347079037806</v>
      </c>
      <c r="AF2022" s="366">
        <f t="shared" si="716"/>
        <v>-0.31399999999999995</v>
      </c>
      <c r="AG2022" s="366">
        <f t="shared" si="716"/>
        <v>0.1574344023323615</v>
      </c>
      <c r="AH2022" s="366">
        <f t="shared" si="716"/>
        <v>3.7783375314861534E-2</v>
      </c>
      <c r="AI2022" s="366">
        <f t="shared" si="716"/>
        <v>-0.11407766990291257</v>
      </c>
      <c r="AJ2022" s="366">
        <f t="shared" si="716"/>
        <v>-0.25479452054794516</v>
      </c>
      <c r="AK2022" s="366">
        <f t="shared" si="716"/>
        <v>-0.25479452054794516</v>
      </c>
      <c r="AL2022" s="366">
        <f t="shared" si="716"/>
        <v>-0.25479452054794516</v>
      </c>
      <c r="AM2022" s="366">
        <f t="shared" si="716"/>
        <v>-0.25479452054794516</v>
      </c>
      <c r="AN2022" s="366">
        <f t="shared" si="716"/>
        <v>-0.25479452054794516</v>
      </c>
      <c r="AO2022" s="366">
        <f t="shared" si="716"/>
        <v>-0.25479452054794516</v>
      </c>
      <c r="AP2022" s="366">
        <f t="shared" si="716"/>
        <v>-0.25479452054794516</v>
      </c>
      <c r="AQ2022" s="366">
        <f t="shared" si="716"/>
        <v>-0.25479452054794516</v>
      </c>
      <c r="AR2022" s="366">
        <f t="shared" si="716"/>
        <v>-0.25479452054794516</v>
      </c>
      <c r="AS2022" s="366">
        <f t="shared" si="716"/>
        <v>-0.25479452054794516</v>
      </c>
      <c r="AT2022" s="2"/>
      <c r="AU2022" s="2"/>
    </row>
    <row r="2023" spans="1:47" outlineLevel="1">
      <c r="A2023" s="298"/>
      <c r="B2023" s="407" t="s">
        <v>28</v>
      </c>
      <c r="C2023" s="18" t="s">
        <v>733</v>
      </c>
      <c r="D2023" s="18"/>
      <c r="E2023" s="18"/>
      <c r="F2023" s="18"/>
      <c r="G2023" s="18"/>
      <c r="H2023" s="18"/>
      <c r="I2023" s="18"/>
      <c r="J2023" s="18"/>
      <c r="K2023" s="254"/>
      <c r="L2023" s="254"/>
      <c r="M2023" s="254"/>
      <c r="N2023" s="254"/>
      <c r="O2023" s="254"/>
      <c r="P2023" s="254"/>
      <c r="Q2023" s="254"/>
      <c r="R2023" s="254"/>
      <c r="S2023" s="254"/>
      <c r="T2023" s="254"/>
      <c r="U2023" s="254"/>
      <c r="V2023" s="254"/>
      <c r="W2023" s="254"/>
      <c r="X2023" s="254"/>
      <c r="Y2023" s="254"/>
      <c r="Z2023" s="254"/>
      <c r="AA2023" s="254"/>
      <c r="AB2023" s="254"/>
      <c r="AC2023" s="254"/>
      <c r="AD2023" s="366">
        <f t="shared" ref="AD2023:AS2023" si="717">+IFERROR(AD43/AC43-1, "")</f>
        <v>0.11489361702127665</v>
      </c>
      <c r="AE2023" s="366">
        <f t="shared" si="717"/>
        <v>6.1068702290076438E-2</v>
      </c>
      <c r="AF2023" s="366">
        <f t="shared" si="717"/>
        <v>-4.3165467625899234E-2</v>
      </c>
      <c r="AG2023" s="366">
        <f t="shared" si="717"/>
        <v>6.3909774436090139E-2</v>
      </c>
      <c r="AH2023" s="366">
        <f t="shared" si="717"/>
        <v>0.12367491166077738</v>
      </c>
      <c r="AI2023" s="366">
        <f t="shared" si="717"/>
        <v>0.11006289308176109</v>
      </c>
      <c r="AJ2023" s="366">
        <f t="shared" si="717"/>
        <v>2.5495750708215192E-2</v>
      </c>
      <c r="AK2023" s="366">
        <f t="shared" si="717"/>
        <v>8.3832335329341312E-2</v>
      </c>
      <c r="AL2023" s="366">
        <f t="shared" si="717"/>
        <v>8.3832335329341312E-2</v>
      </c>
      <c r="AM2023" s="366">
        <f t="shared" si="717"/>
        <v>8.3832335329341312E-2</v>
      </c>
      <c r="AN2023" s="366">
        <f t="shared" si="717"/>
        <v>8.3832335329341312E-2</v>
      </c>
      <c r="AO2023" s="366">
        <f t="shared" si="717"/>
        <v>8.3832335329341312E-2</v>
      </c>
      <c r="AP2023" s="366">
        <f t="shared" si="717"/>
        <v>8.3832335329341312E-2</v>
      </c>
      <c r="AQ2023" s="366">
        <f t="shared" si="717"/>
        <v>8.3832335329341312E-2</v>
      </c>
      <c r="AR2023" s="366">
        <f t="shared" si="717"/>
        <v>8.3832335329341312E-2</v>
      </c>
      <c r="AS2023" s="366">
        <f t="shared" si="717"/>
        <v>8.3832335329341312E-2</v>
      </c>
      <c r="AT2023" s="2"/>
      <c r="AU2023" s="2"/>
    </row>
    <row r="2024" spans="1:47" outlineLevel="1">
      <c r="A2024" s="298"/>
      <c r="B2024" s="339" t="s">
        <v>657</v>
      </c>
      <c r="C2024" s="18" t="s">
        <v>733</v>
      </c>
      <c r="D2024" s="18"/>
      <c r="E2024" s="18"/>
      <c r="F2024" s="18"/>
      <c r="G2024" s="18"/>
      <c r="H2024" s="18"/>
      <c r="I2024" s="18"/>
      <c r="J2024" s="18"/>
      <c r="K2024" s="254"/>
      <c r="L2024" s="254"/>
      <c r="M2024" s="254"/>
      <c r="N2024" s="254"/>
      <c r="O2024" s="254"/>
      <c r="P2024" s="254"/>
      <c r="Q2024" s="254"/>
      <c r="R2024" s="254"/>
      <c r="S2024" s="254"/>
      <c r="T2024" s="254"/>
      <c r="U2024" s="254"/>
      <c r="V2024" s="254"/>
      <c r="W2024" s="254"/>
      <c r="X2024" s="254"/>
      <c r="Y2024" s="254"/>
      <c r="Z2024" s="254"/>
      <c r="AA2024" s="254"/>
      <c r="AB2024" s="254"/>
      <c r="AC2024" s="254"/>
      <c r="AD2024" s="366">
        <f t="shared" ref="AD2024:AS2024" si="718">+IFERROR(AD44/AC44-1, "")</f>
        <v>-3.2218091697645557E-2</v>
      </c>
      <c r="AE2024" s="366">
        <f t="shared" si="718"/>
        <v>-6.7541613316261184E-2</v>
      </c>
      <c r="AF2024" s="366">
        <f t="shared" si="718"/>
        <v>-0.1002403020940611</v>
      </c>
      <c r="AG2024" s="366">
        <f t="shared" si="718"/>
        <v>5.7993132392216706E-2</v>
      </c>
      <c r="AH2024" s="366">
        <f t="shared" si="718"/>
        <v>2.2358456545257921E-2</v>
      </c>
      <c r="AI2024" s="366">
        <f t="shared" si="718"/>
        <v>-1.6225749559082847E-2</v>
      </c>
      <c r="AJ2024" s="366">
        <f t="shared" si="718"/>
        <v>-8.2466833990677557E-3</v>
      </c>
      <c r="AK2024" s="366">
        <f t="shared" si="718"/>
        <v>1.7537008970977208E-2</v>
      </c>
      <c r="AL2024" s="366">
        <f t="shared" si="718"/>
        <v>2.0071176170602723E-2</v>
      </c>
      <c r="AM2024" s="366">
        <f t="shared" si="718"/>
        <v>2.7422463839259725E-2</v>
      </c>
      <c r="AN2024" s="366">
        <f t="shared" si="718"/>
        <v>3.324931101260864E-2</v>
      </c>
      <c r="AO2024" s="366">
        <f t="shared" si="718"/>
        <v>3.7871426911133321E-2</v>
      </c>
      <c r="AP2024" s="366">
        <f t="shared" si="718"/>
        <v>4.1556891455184042E-2</v>
      </c>
      <c r="AQ2024" s="366">
        <f t="shared" si="718"/>
        <v>4.4521428213052161E-2</v>
      </c>
      <c r="AR2024" s="366">
        <f t="shared" si="718"/>
        <v>4.6933847273952667E-2</v>
      </c>
      <c r="AS2024" s="366">
        <f t="shared" si="718"/>
        <v>4.8923774099096207E-2</v>
      </c>
      <c r="AT2024" s="2"/>
      <c r="AU2024" s="2"/>
    </row>
    <row r="2025" spans="1:47" outlineLevel="1">
      <c r="A2025" s="298"/>
      <c r="B2025" s="434" t="s">
        <v>1360</v>
      </c>
      <c r="C2025" s="433" t="s">
        <v>733</v>
      </c>
      <c r="D2025" s="209"/>
      <c r="E2025" s="209"/>
      <c r="F2025" s="209"/>
      <c r="G2025" s="209"/>
      <c r="H2025" s="209"/>
      <c r="I2025" s="209"/>
      <c r="J2025" s="209"/>
      <c r="K2025" s="262"/>
      <c r="L2025" s="262"/>
      <c r="M2025" s="262"/>
      <c r="N2025" s="262"/>
      <c r="O2025" s="262"/>
      <c r="P2025" s="262"/>
      <c r="Q2025" s="262"/>
      <c r="R2025" s="262"/>
      <c r="S2025" s="262"/>
      <c r="T2025" s="262"/>
      <c r="U2025" s="262"/>
      <c r="V2025" s="262"/>
      <c r="W2025" s="262"/>
      <c r="X2025" s="262"/>
      <c r="Y2025" s="262"/>
      <c r="Z2025" s="262"/>
      <c r="AA2025" s="262"/>
      <c r="AB2025" s="262"/>
      <c r="AC2025" s="262"/>
      <c r="AD2025" s="449">
        <f t="shared" ref="AD2025:AS2025" si="719">+IFERROR(AD45/AC45-1, "")</f>
        <v>-4.1140618197649137E-2</v>
      </c>
      <c r="AE2025" s="449">
        <f t="shared" si="719"/>
        <v>-6.7877412031782103E-2</v>
      </c>
      <c r="AF2025" s="449">
        <f t="shared" si="719"/>
        <v>-9.3034583536288351E-2</v>
      </c>
      <c r="AG2025" s="449">
        <f t="shared" si="719"/>
        <v>1.3426423200859627E-3</v>
      </c>
      <c r="AH2025" s="449">
        <f t="shared" si="719"/>
        <v>-2.493710378117453E-2</v>
      </c>
      <c r="AI2025" s="449">
        <f t="shared" si="719"/>
        <v>-2.7230275088882205E-2</v>
      </c>
      <c r="AJ2025" s="449">
        <f t="shared" si="719"/>
        <v>-2.6010743567995487E-2</v>
      </c>
      <c r="AK2025" s="449">
        <f t="shared" si="719"/>
        <v>7.7451378133778226E-2</v>
      </c>
      <c r="AL2025" s="449">
        <f t="shared" si="719"/>
        <v>-8.0135261608849095E-3</v>
      </c>
      <c r="AM2025" s="449">
        <f t="shared" si="719"/>
        <v>2.1241747748113049E-4</v>
      </c>
      <c r="AN2025" s="449">
        <f t="shared" si="719"/>
        <v>7.4995554202679227E-3</v>
      </c>
      <c r="AO2025" s="449">
        <f t="shared" si="719"/>
        <v>1.3944089466811249E-2</v>
      </c>
      <c r="AP2025" s="449">
        <f t="shared" si="719"/>
        <v>1.9639729443430065E-2</v>
      </c>
      <c r="AQ2025" s="449">
        <f t="shared" si="719"/>
        <v>2.4673765521724844E-2</v>
      </c>
      <c r="AR2025" s="449">
        <f t="shared" si="719"/>
        <v>2.9125263622399755E-2</v>
      </c>
      <c r="AS2025" s="449">
        <f t="shared" si="719"/>
        <v>3.3064625231342237E-2</v>
      </c>
      <c r="AT2025" s="2"/>
      <c r="AU2025" s="2" t="s">
        <v>1362</v>
      </c>
    </row>
    <row r="2026" spans="1:47" outlineLevel="1">
      <c r="A2026" s="298"/>
      <c r="B2026" s="339"/>
      <c r="C2026" s="18"/>
      <c r="D2026" s="18"/>
      <c r="E2026" s="18"/>
      <c r="F2026" s="18"/>
      <c r="G2026" s="18"/>
      <c r="H2026" s="18"/>
      <c r="I2026" s="18"/>
      <c r="J2026" s="18"/>
      <c r="K2026" s="254"/>
      <c r="L2026" s="254"/>
      <c r="M2026" s="254"/>
      <c r="N2026" s="254"/>
      <c r="O2026" s="254"/>
      <c r="P2026" s="254"/>
      <c r="Q2026" s="254"/>
      <c r="R2026" s="254"/>
      <c r="S2026" s="254"/>
      <c r="T2026" s="254"/>
      <c r="U2026" s="254"/>
      <c r="V2026" s="254"/>
      <c r="W2026" s="254"/>
      <c r="X2026" s="254"/>
      <c r="Y2026" s="254"/>
      <c r="Z2026" s="254"/>
      <c r="AA2026" s="254"/>
      <c r="AB2026" s="254"/>
      <c r="AC2026" s="313"/>
      <c r="AD2026" s="313"/>
      <c r="AE2026" s="313"/>
      <c r="AF2026" s="313"/>
      <c r="AG2026" s="313"/>
      <c r="AH2026" s="313"/>
      <c r="AI2026" s="313"/>
      <c r="AJ2026" s="313"/>
      <c r="AK2026" s="313"/>
      <c r="AL2026" s="313"/>
      <c r="AM2026" s="313"/>
      <c r="AN2026" s="313"/>
      <c r="AO2026" s="313"/>
      <c r="AP2026" s="313"/>
      <c r="AQ2026" s="313"/>
      <c r="AR2026" s="313"/>
      <c r="AS2026" s="313"/>
      <c r="AT2026" s="2"/>
      <c r="AU2026" s="2"/>
    </row>
    <row r="2027" spans="1:47" ht="15.6" outlineLevel="1">
      <c r="A2027" s="298"/>
      <c r="B2027" s="737" t="s">
        <v>1321</v>
      </c>
      <c r="C2027" s="283"/>
      <c r="D2027" s="284"/>
      <c r="E2027" s="284"/>
      <c r="F2027" s="284"/>
      <c r="G2027" s="285"/>
      <c r="H2027" s="285"/>
      <c r="I2027" s="285"/>
      <c r="J2027" s="285"/>
      <c r="K2027" s="285"/>
      <c r="L2027" s="285"/>
      <c r="M2027" s="285"/>
      <c r="N2027" s="284"/>
      <c r="O2027" s="286"/>
      <c r="P2027" s="286"/>
      <c r="Q2027" s="286"/>
      <c r="R2027" s="286"/>
      <c r="S2027" s="286"/>
      <c r="T2027" s="286"/>
      <c r="U2027" s="286"/>
      <c r="V2027" s="285"/>
      <c r="W2027" s="285"/>
      <c r="X2027" s="285"/>
      <c r="Y2027" s="285"/>
      <c r="Z2027" s="285"/>
      <c r="AA2027" s="285"/>
      <c r="AB2027" s="285"/>
      <c r="AC2027" s="285"/>
      <c r="AD2027" s="285"/>
      <c r="AE2027" s="285"/>
      <c r="AF2027" s="285"/>
      <c r="AG2027" s="285"/>
      <c r="AH2027" s="285"/>
      <c r="AI2027" s="285"/>
      <c r="AJ2027" s="285"/>
      <c r="AK2027" s="285"/>
      <c r="AL2027" s="285"/>
      <c r="AM2027" s="285"/>
      <c r="AN2027" s="285"/>
      <c r="AO2027" s="285"/>
      <c r="AP2027" s="285"/>
      <c r="AQ2027" s="285"/>
      <c r="AR2027" s="285"/>
      <c r="AS2027" s="285"/>
      <c r="AT2027" s="2"/>
      <c r="AU2027" s="2"/>
    </row>
    <row r="2028" spans="1:47" outlineLevel="1">
      <c r="A2028" s="298"/>
      <c r="B2028" s="339" t="s">
        <v>1244</v>
      </c>
      <c r="C2028" s="18" t="s">
        <v>733</v>
      </c>
      <c r="D2028" s="18"/>
      <c r="E2028" s="18"/>
      <c r="F2028" s="18"/>
      <c r="G2028" s="18"/>
      <c r="H2028" s="18"/>
      <c r="I2028" s="18"/>
      <c r="J2028" s="18"/>
      <c r="K2028" s="254"/>
      <c r="L2028" s="254"/>
      <c r="M2028" s="254"/>
      <c r="N2028" s="254"/>
      <c r="O2028" s="254"/>
      <c r="P2028" s="254"/>
      <c r="Q2028" s="254"/>
      <c r="R2028" s="254"/>
      <c r="S2028" s="254"/>
      <c r="T2028" s="254"/>
      <c r="U2028" s="254"/>
      <c r="V2028" s="254"/>
      <c r="W2028" s="254"/>
      <c r="X2028" s="254"/>
      <c r="Y2028" s="254"/>
      <c r="Z2028" s="254"/>
      <c r="AA2028" s="254"/>
      <c r="AB2028" s="254"/>
      <c r="AC2028" s="254"/>
      <c r="AD2028" s="366">
        <f t="shared" ref="AD2028:AS2028" si="720">+IFERROR(AD49/AC49-1, "")</f>
        <v>0</v>
      </c>
      <c r="AE2028" s="366">
        <f t="shared" si="720"/>
        <v>-8.4788029925187081E-2</v>
      </c>
      <c r="AF2028" s="366">
        <f t="shared" si="720"/>
        <v>-6.5395095367847378E-2</v>
      </c>
      <c r="AG2028" s="366">
        <f t="shared" si="720"/>
        <v>-0.11661807580174932</v>
      </c>
      <c r="AH2028" s="366">
        <f t="shared" si="720"/>
        <v>-8.9108910891089077E-2</v>
      </c>
      <c r="AI2028" s="366">
        <f t="shared" si="720"/>
        <v>-6.1594202898550776E-2</v>
      </c>
      <c r="AJ2028" s="366">
        <f t="shared" si="720"/>
        <v>-1.158301158301156E-2</v>
      </c>
      <c r="AK2028" s="366">
        <f t="shared" si="720"/>
        <v>-9.3951093951093911E-2</v>
      </c>
      <c r="AL2028" s="366">
        <f t="shared" si="720"/>
        <v>-9.3951093951094133E-2</v>
      </c>
      <c r="AM2028" s="366">
        <f t="shared" si="720"/>
        <v>-9.3951093951093689E-2</v>
      </c>
      <c r="AN2028" s="366">
        <f t="shared" si="720"/>
        <v>-9.3951093951094133E-2</v>
      </c>
      <c r="AO2028" s="366">
        <f t="shared" si="720"/>
        <v>-9.39510939510938E-2</v>
      </c>
      <c r="AP2028" s="366">
        <f t="shared" si="720"/>
        <v>-9.3951093951094133E-2</v>
      </c>
      <c r="AQ2028" s="366">
        <f t="shared" si="720"/>
        <v>-9.3951093951094133E-2</v>
      </c>
      <c r="AR2028" s="366">
        <f t="shared" si="720"/>
        <v>-9.39510939510938E-2</v>
      </c>
      <c r="AS2028" s="366">
        <f t="shared" si="720"/>
        <v>-9.3951093951093911E-2</v>
      </c>
      <c r="AT2028" s="2"/>
      <c r="AU2028" s="2"/>
    </row>
    <row r="2029" spans="1:47" outlineLevel="1">
      <c r="A2029" s="298"/>
      <c r="B2029" s="339" t="s">
        <v>1245</v>
      </c>
      <c r="C2029" s="18" t="s">
        <v>733</v>
      </c>
      <c r="D2029" s="18"/>
      <c r="E2029" s="18"/>
      <c r="F2029" s="18"/>
      <c r="G2029" s="18"/>
      <c r="H2029" s="18"/>
      <c r="I2029" s="18"/>
      <c r="J2029" s="18"/>
      <c r="K2029" s="254"/>
      <c r="L2029" s="254"/>
      <c r="M2029" s="254"/>
      <c r="N2029" s="254"/>
      <c r="O2029" s="254"/>
      <c r="P2029" s="254"/>
      <c r="Q2029" s="254"/>
      <c r="R2029" s="254"/>
      <c r="S2029" s="254"/>
      <c r="T2029" s="254"/>
      <c r="U2029" s="254"/>
      <c r="V2029" s="254"/>
      <c r="W2029" s="254"/>
      <c r="X2029" s="254"/>
      <c r="Y2029" s="254"/>
      <c r="Z2029" s="254"/>
      <c r="AA2029" s="254"/>
      <c r="AB2029" s="254"/>
      <c r="AC2029" s="254"/>
      <c r="AD2029" s="366">
        <f t="shared" ref="AD2029:AS2029" si="721">+IFERROR(AD50/AC50-1, "")</f>
        <v>-0.20256645279560037</v>
      </c>
      <c r="AE2029" s="366">
        <f t="shared" si="721"/>
        <v>-0.28275862068965518</v>
      </c>
      <c r="AF2029" s="366">
        <f t="shared" si="721"/>
        <v>-0.33974358974358976</v>
      </c>
      <c r="AG2029" s="366">
        <f t="shared" si="721"/>
        <v>-0.57766990291262132</v>
      </c>
      <c r="AH2029" s="366">
        <f t="shared" si="721"/>
        <v>-0.27011494252873558</v>
      </c>
      <c r="AI2029" s="366">
        <f t="shared" si="721"/>
        <v>-0.15748031496062997</v>
      </c>
      <c r="AJ2029" s="366">
        <f t="shared" si="721"/>
        <v>-0.13084112149532712</v>
      </c>
      <c r="AK2029" s="366">
        <f t="shared" si="721"/>
        <v>0.17762679190724118</v>
      </c>
      <c r="AL2029" s="366">
        <f t="shared" si="721"/>
        <v>0.17762679190724096</v>
      </c>
      <c r="AM2029" s="366">
        <f t="shared" si="721"/>
        <v>0.17762679190724118</v>
      </c>
      <c r="AN2029" s="366">
        <f t="shared" si="721"/>
        <v>0.17762679190724118</v>
      </c>
      <c r="AO2029" s="366">
        <f t="shared" si="721"/>
        <v>0.17762679190724118</v>
      </c>
      <c r="AP2029" s="366">
        <f t="shared" si="721"/>
        <v>0.17762679190724162</v>
      </c>
      <c r="AQ2029" s="366">
        <f t="shared" si="721"/>
        <v>0.17762679190724096</v>
      </c>
      <c r="AR2029" s="366">
        <f t="shared" si="721"/>
        <v>0.17762679190724118</v>
      </c>
      <c r="AS2029" s="366">
        <f t="shared" si="721"/>
        <v>0.17762679190724118</v>
      </c>
      <c r="AT2029" s="2"/>
      <c r="AU2029" s="2"/>
    </row>
    <row r="2030" spans="1:47" outlineLevel="1">
      <c r="A2030" s="410"/>
      <c r="B2030" s="339" t="s">
        <v>1246</v>
      </c>
      <c r="C2030" s="14" t="s">
        <v>733</v>
      </c>
      <c r="D2030" s="14"/>
      <c r="E2030" s="14"/>
      <c r="F2030" s="14"/>
      <c r="G2030" s="14"/>
      <c r="H2030" s="14"/>
      <c r="I2030" s="14"/>
      <c r="J2030" s="14"/>
      <c r="K2030" s="425"/>
      <c r="L2030" s="425"/>
      <c r="M2030" s="425"/>
      <c r="N2030" s="425"/>
      <c r="O2030" s="425"/>
      <c r="P2030" s="425"/>
      <c r="Q2030" s="425"/>
      <c r="R2030" s="425"/>
      <c r="S2030" s="425"/>
      <c r="T2030" s="425"/>
      <c r="U2030" s="425"/>
      <c r="V2030" s="425"/>
      <c r="W2030" s="425"/>
      <c r="X2030" s="425"/>
      <c r="Y2030" s="425"/>
      <c r="Z2030" s="425"/>
      <c r="AA2030" s="425"/>
      <c r="AB2030" s="425"/>
      <c r="AC2030" s="254"/>
      <c r="AD2030" s="366">
        <f t="shared" ref="AD2030:AS2030" si="722">+IFERROR(AD51/AC51-1, "")</f>
        <v>-0.11932773109243699</v>
      </c>
      <c r="AE2030" s="366">
        <f t="shared" si="722"/>
        <v>-0.15935114503816794</v>
      </c>
      <c r="AF2030" s="366">
        <f t="shared" si="722"/>
        <v>-0.31782065834279227</v>
      </c>
      <c r="AG2030" s="366">
        <f t="shared" si="722"/>
        <v>-1</v>
      </c>
      <c r="AH2030" s="366" t="str">
        <f t="shared" si="722"/>
        <v/>
      </c>
      <c r="AI2030" s="366" t="str">
        <f t="shared" si="722"/>
        <v/>
      </c>
      <c r="AJ2030" s="366" t="str">
        <f t="shared" si="722"/>
        <v/>
      </c>
      <c r="AK2030" s="366" t="str">
        <f t="shared" si="722"/>
        <v/>
      </c>
      <c r="AL2030" s="366" t="str">
        <f t="shared" si="722"/>
        <v/>
      </c>
      <c r="AM2030" s="366" t="str">
        <f t="shared" si="722"/>
        <v/>
      </c>
      <c r="AN2030" s="366" t="str">
        <f t="shared" si="722"/>
        <v/>
      </c>
      <c r="AO2030" s="366" t="str">
        <f t="shared" si="722"/>
        <v/>
      </c>
      <c r="AP2030" s="366" t="str">
        <f t="shared" si="722"/>
        <v/>
      </c>
      <c r="AQ2030" s="366" t="str">
        <f t="shared" si="722"/>
        <v/>
      </c>
      <c r="AR2030" s="366" t="str">
        <f t="shared" si="722"/>
        <v/>
      </c>
      <c r="AS2030" s="366" t="str">
        <f t="shared" si="722"/>
        <v/>
      </c>
      <c r="AT2030" s="8"/>
      <c r="AU2030" s="8"/>
    </row>
    <row r="2031" spans="1:47" outlineLevel="1">
      <c r="A2031" s="298"/>
      <c r="B2031" s="434" t="s">
        <v>1361</v>
      </c>
      <c r="C2031" s="433" t="s">
        <v>733</v>
      </c>
      <c r="D2031" s="209"/>
      <c r="E2031" s="209"/>
      <c r="F2031" s="209"/>
      <c r="G2031" s="209"/>
      <c r="H2031" s="209"/>
      <c r="I2031" s="209"/>
      <c r="J2031" s="209"/>
      <c r="K2031" s="262"/>
      <c r="L2031" s="262"/>
      <c r="M2031" s="262"/>
      <c r="N2031" s="262"/>
      <c r="O2031" s="262"/>
      <c r="P2031" s="262"/>
      <c r="Q2031" s="262"/>
      <c r="R2031" s="262"/>
      <c r="S2031" s="262"/>
      <c r="T2031" s="262"/>
      <c r="U2031" s="262"/>
      <c r="V2031" s="262"/>
      <c r="W2031" s="262"/>
      <c r="X2031" s="262"/>
      <c r="Y2031" s="262"/>
      <c r="Z2031" s="262"/>
      <c r="AA2031" s="262"/>
      <c r="AB2031" s="262"/>
      <c r="AC2031" s="262"/>
      <c r="AD2031" s="449">
        <f t="shared" ref="AD2031:AS2031" si="723">+IFERROR(AD52/AC52-1, "")</f>
        <v>-0.13534675615212532</v>
      </c>
      <c r="AE2031" s="449">
        <f t="shared" si="723"/>
        <v>-0.19275549805950842</v>
      </c>
      <c r="AF2031" s="449">
        <f t="shared" si="723"/>
        <v>-0.27564102564102566</v>
      </c>
      <c r="AG2031" s="449">
        <f t="shared" si="723"/>
        <v>-0.64823008849557517</v>
      </c>
      <c r="AH2031" s="449">
        <f t="shared" si="723"/>
        <v>-0.15513626834381555</v>
      </c>
      <c r="AI2031" s="449">
        <f t="shared" si="723"/>
        <v>-9.1811414392059532E-2</v>
      </c>
      <c r="AJ2031" s="449">
        <f t="shared" si="723"/>
        <v>-4.6448087431694041E-2</v>
      </c>
      <c r="AK2031" s="449">
        <f t="shared" si="723"/>
        <v>-2.1582201730964479E-2</v>
      </c>
      <c r="AL2031" s="449">
        <f t="shared" si="723"/>
        <v>-6.8476637704035781E-3</v>
      </c>
      <c r="AM2031" s="449">
        <f t="shared" si="723"/>
        <v>9.3314834601623264E-3</v>
      </c>
      <c r="AN2031" s="449">
        <f t="shared" si="723"/>
        <v>2.6552756656801124E-2</v>
      </c>
      <c r="AO2031" s="449">
        <f t="shared" si="723"/>
        <v>4.4286870034315085E-2</v>
      </c>
      <c r="AP2031" s="449">
        <f t="shared" si="723"/>
        <v>6.1937804702373089E-2</v>
      </c>
      <c r="AQ2031" s="449">
        <f t="shared" si="723"/>
        <v>7.8920558985950517E-2</v>
      </c>
      <c r="AR2031" s="449">
        <f t="shared" si="723"/>
        <v>9.4735912116611143E-2</v>
      </c>
      <c r="AS2031" s="449">
        <f t="shared" si="723"/>
        <v>0.10902285727379724</v>
      </c>
      <c r="AT2031" s="2"/>
      <c r="AU2031" s="2"/>
    </row>
    <row r="2032" spans="1:47" outlineLevel="1">
      <c r="A2032" s="298"/>
      <c r="B2032" s="339"/>
      <c r="C2032" s="18"/>
      <c r="D2032" s="18"/>
      <c r="E2032" s="18"/>
      <c r="F2032" s="18"/>
      <c r="G2032" s="18"/>
      <c r="H2032" s="18"/>
      <c r="I2032" s="18"/>
      <c r="J2032" s="18"/>
      <c r="K2032" s="254"/>
      <c r="L2032" s="254"/>
      <c r="M2032" s="254"/>
      <c r="N2032" s="254"/>
      <c r="O2032" s="254"/>
      <c r="P2032" s="254"/>
      <c r="Q2032" s="254"/>
      <c r="R2032" s="254"/>
      <c r="S2032" s="254"/>
      <c r="T2032" s="254"/>
      <c r="U2032" s="254"/>
      <c r="V2032" s="254"/>
      <c r="W2032" s="254"/>
      <c r="X2032" s="254"/>
      <c r="Y2032" s="254"/>
      <c r="Z2032" s="254"/>
      <c r="AA2032" s="254"/>
      <c r="AB2032" s="254"/>
      <c r="AC2032" s="254"/>
      <c r="AD2032" s="366"/>
      <c r="AE2032" s="366"/>
      <c r="AF2032" s="366"/>
      <c r="AG2032" s="366"/>
      <c r="AH2032" s="366"/>
      <c r="AI2032" s="366"/>
      <c r="AJ2032" s="366"/>
      <c r="AK2032" s="366"/>
      <c r="AL2032" s="366"/>
      <c r="AM2032" s="366"/>
      <c r="AN2032" s="366"/>
      <c r="AO2032" s="366"/>
      <c r="AP2032" s="366"/>
      <c r="AQ2032" s="366"/>
      <c r="AR2032" s="366"/>
      <c r="AS2032" s="366"/>
      <c r="AT2032" s="2"/>
      <c r="AU2032" s="2"/>
    </row>
    <row r="2033" spans="1:47" outlineLevel="1">
      <c r="A2033" s="298"/>
      <c r="B2033" s="339" t="s">
        <v>42</v>
      </c>
      <c r="C2033" s="14" t="s">
        <v>733</v>
      </c>
      <c r="D2033" s="18"/>
      <c r="E2033" s="18"/>
      <c r="F2033" s="18"/>
      <c r="G2033" s="18"/>
      <c r="H2033" s="18"/>
      <c r="I2033" s="18"/>
      <c r="J2033" s="18"/>
      <c r="K2033" s="254"/>
      <c r="L2033" s="254"/>
      <c r="M2033" s="254"/>
      <c r="N2033" s="254"/>
      <c r="O2033" s="254"/>
      <c r="P2033" s="254"/>
      <c r="Q2033" s="254"/>
      <c r="R2033" s="254"/>
      <c r="S2033" s="254"/>
      <c r="T2033" s="254"/>
      <c r="U2033" s="254"/>
      <c r="V2033" s="254"/>
      <c r="W2033" s="254"/>
      <c r="X2033" s="254"/>
      <c r="Y2033" s="254"/>
      <c r="Z2033" s="254"/>
      <c r="AA2033" s="254"/>
      <c r="AB2033" s="254"/>
      <c r="AC2033" s="254"/>
      <c r="AD2033" s="366">
        <f t="shared" ref="AD2033:AS2033" si="724">+IFERROR(AD56/AC56-1, "")</f>
        <v>7.638888888888884E-2</v>
      </c>
      <c r="AE2033" s="366">
        <f t="shared" si="724"/>
        <v>-0.11964809384164221</v>
      </c>
      <c r="AF2033" s="366">
        <f t="shared" si="724"/>
        <v>-3.3311125916055673E-3</v>
      </c>
      <c r="AG2033" s="366">
        <f t="shared" si="724"/>
        <v>3.3422459893048817E-3</v>
      </c>
      <c r="AH2033" s="366">
        <f t="shared" si="724"/>
        <v>0.61825449700199875</v>
      </c>
      <c r="AI2033" s="366">
        <f t="shared" si="724"/>
        <v>6.1342116097159227E-2</v>
      </c>
      <c r="AJ2033" s="366">
        <f t="shared" si="724"/>
        <v>3.4910783553141478E-3</v>
      </c>
      <c r="AK2033" s="366">
        <f t="shared" si="724"/>
        <v>2.0604690860566377E-2</v>
      </c>
      <c r="AL2033" s="366">
        <f t="shared" si="724"/>
        <v>2.0827406718899599E-2</v>
      </c>
      <c r="AM2033" s="366">
        <f t="shared" si="724"/>
        <v>1.7938493699717784E-2</v>
      </c>
      <c r="AN2033" s="366">
        <f t="shared" si="724"/>
        <v>1.8066518481639093E-2</v>
      </c>
      <c r="AO2033" s="366">
        <f t="shared" si="724"/>
        <v>1.8193600854701675E-2</v>
      </c>
      <c r="AP2033" s="366">
        <f t="shared" si="724"/>
        <v>1.8319725213792326E-2</v>
      </c>
      <c r="AQ2033" s="366">
        <f t="shared" si="724"/>
        <v>1.8444876746385619E-2</v>
      </c>
      <c r="AR2033" s="366">
        <f t="shared" si="724"/>
        <v>1.8569041431046207E-2</v>
      </c>
      <c r="AS2033" s="366">
        <f t="shared" si="724"/>
        <v>1.8569041431046207E-2</v>
      </c>
      <c r="AT2033" s="2"/>
      <c r="AU2033" s="2"/>
    </row>
    <row r="2034" spans="1:47" outlineLevel="1">
      <c r="A2034" s="298"/>
      <c r="B2034" s="339" t="s">
        <v>1071</v>
      </c>
      <c r="C2034" s="14" t="s">
        <v>733</v>
      </c>
      <c r="D2034" s="18"/>
      <c r="E2034" s="18"/>
      <c r="F2034" s="18"/>
      <c r="G2034" s="18"/>
      <c r="H2034" s="18"/>
      <c r="I2034" s="18"/>
      <c r="J2034" s="18"/>
      <c r="K2034" s="254"/>
      <c r="L2034" s="254"/>
      <c r="M2034" s="254"/>
      <c r="N2034" s="254"/>
      <c r="O2034" s="254"/>
      <c r="P2034" s="254"/>
      <c r="Q2034" s="254"/>
      <c r="R2034" s="254"/>
      <c r="S2034" s="254"/>
      <c r="T2034" s="254"/>
      <c r="U2034" s="254"/>
      <c r="V2034" s="254"/>
      <c r="W2034" s="254"/>
      <c r="X2034" s="254"/>
      <c r="Y2034" s="254"/>
      <c r="Z2034" s="254"/>
      <c r="AA2034" s="254"/>
      <c r="AB2034" s="254"/>
      <c r="AC2034" s="254"/>
      <c r="AD2034" s="366">
        <f t="shared" ref="AD2034:AS2034" si="725">+IFERROR(AD59/AC59-1, "")</f>
        <v>0.22118380062305287</v>
      </c>
      <c r="AE2034" s="366">
        <f t="shared" si="725"/>
        <v>0.11479591836734704</v>
      </c>
      <c r="AF2034" s="366">
        <f t="shared" si="725"/>
        <v>3.8901601830663601E-2</v>
      </c>
      <c r="AG2034" s="366">
        <f t="shared" si="725"/>
        <v>2.4229074889867919E-2</v>
      </c>
      <c r="AH2034" s="366">
        <f t="shared" si="725"/>
        <v>6.1290322580645151E-2</v>
      </c>
      <c r="AI2034" s="366">
        <f t="shared" si="725"/>
        <v>5.9777102330293763E-2</v>
      </c>
      <c r="AJ2034" s="366">
        <f t="shared" si="725"/>
        <v>5.3537284894837445E-2</v>
      </c>
      <c r="AK2034" s="366">
        <f t="shared" si="725"/>
        <v>3.0000000000000249E-2</v>
      </c>
      <c r="AL2034" s="366">
        <f t="shared" si="725"/>
        <v>3.0000000000000027E-2</v>
      </c>
      <c r="AM2034" s="366">
        <f t="shared" si="725"/>
        <v>3.0000000000000027E-2</v>
      </c>
      <c r="AN2034" s="366">
        <f t="shared" si="725"/>
        <v>3.0000000000000027E-2</v>
      </c>
      <c r="AO2034" s="366">
        <f t="shared" si="725"/>
        <v>3.0000000000000027E-2</v>
      </c>
      <c r="AP2034" s="366">
        <f t="shared" si="725"/>
        <v>3.0000000000000027E-2</v>
      </c>
      <c r="AQ2034" s="366">
        <f t="shared" si="725"/>
        <v>3.0000000000000027E-2</v>
      </c>
      <c r="AR2034" s="366">
        <f t="shared" si="725"/>
        <v>3.0000000000000027E-2</v>
      </c>
      <c r="AS2034" s="366">
        <f t="shared" si="725"/>
        <v>3.0000000000000027E-2</v>
      </c>
      <c r="AT2034" s="2"/>
      <c r="AU2034" s="2"/>
    </row>
    <row r="2035" spans="1:47" outlineLevel="1">
      <c r="A2035" s="298"/>
      <c r="B2035" s="339" t="s">
        <v>1269</v>
      </c>
      <c r="C2035" s="14" t="s">
        <v>733</v>
      </c>
      <c r="D2035" s="18"/>
      <c r="E2035" s="18"/>
      <c r="F2035" s="18"/>
      <c r="G2035" s="18"/>
      <c r="H2035" s="18"/>
      <c r="I2035" s="18"/>
      <c r="J2035" s="18"/>
      <c r="K2035" s="254"/>
      <c r="L2035" s="254"/>
      <c r="M2035" s="254"/>
      <c r="N2035" s="254"/>
      <c r="O2035" s="254"/>
      <c r="P2035" s="254"/>
      <c r="Q2035" s="254"/>
      <c r="R2035" s="254"/>
      <c r="S2035" s="254"/>
      <c r="T2035" s="254"/>
      <c r="U2035" s="254"/>
      <c r="V2035" s="254"/>
      <c r="W2035" s="254"/>
      <c r="X2035" s="254"/>
      <c r="Y2035" s="254"/>
      <c r="Z2035" s="254"/>
      <c r="AA2035" s="254"/>
      <c r="AB2035" s="254"/>
      <c r="AC2035" s="254"/>
      <c r="AD2035" s="366">
        <f t="shared" ref="AD2035:AS2035" si="726">+IFERROR(AD69/AC69-1, "")</f>
        <v>-0.53387533875338755</v>
      </c>
      <c r="AE2035" s="366">
        <f t="shared" si="726"/>
        <v>6.6860465116278966E-2</v>
      </c>
      <c r="AF2035" s="366">
        <f t="shared" si="726"/>
        <v>0.50408719346049047</v>
      </c>
      <c r="AG2035" s="366">
        <f t="shared" si="726"/>
        <v>0.36775362318840576</v>
      </c>
      <c r="AH2035" s="366">
        <f t="shared" si="726"/>
        <v>0.42516556291390728</v>
      </c>
      <c r="AI2035" s="366">
        <f t="shared" si="726"/>
        <v>0.17286245353159857</v>
      </c>
      <c r="AJ2035" s="366">
        <f t="shared" si="726"/>
        <v>-8.1616481774960392E-2</v>
      </c>
      <c r="AK2035" s="366">
        <f t="shared" si="726"/>
        <v>2.0000000000000018E-2</v>
      </c>
      <c r="AL2035" s="366">
        <f t="shared" si="726"/>
        <v>2.0000000000000018E-2</v>
      </c>
      <c r="AM2035" s="366">
        <f t="shared" si="726"/>
        <v>2.0000000000000018E-2</v>
      </c>
      <c r="AN2035" s="366">
        <f t="shared" si="726"/>
        <v>2.0000000000000018E-2</v>
      </c>
      <c r="AO2035" s="366">
        <f t="shared" si="726"/>
        <v>2.0000000000000018E-2</v>
      </c>
      <c r="AP2035" s="366">
        <f t="shared" si="726"/>
        <v>2.0000000000000018E-2</v>
      </c>
      <c r="AQ2035" s="366">
        <f t="shared" si="726"/>
        <v>2.0000000000000018E-2</v>
      </c>
      <c r="AR2035" s="366">
        <f t="shared" si="726"/>
        <v>2.0000000000000018E-2</v>
      </c>
      <c r="AS2035" s="366">
        <f t="shared" si="726"/>
        <v>2.0000000000000018E-2</v>
      </c>
      <c r="AT2035" s="2"/>
      <c r="AU2035" s="2"/>
    </row>
    <row r="2036" spans="1:47" outlineLevel="1">
      <c r="A2036" s="298"/>
      <c r="B2036" s="339" t="s">
        <v>1270</v>
      </c>
      <c r="C2036" s="14" t="s">
        <v>733</v>
      </c>
      <c r="D2036" s="18"/>
      <c r="E2036" s="18"/>
      <c r="F2036" s="18"/>
      <c r="G2036" s="18"/>
      <c r="H2036" s="18"/>
      <c r="I2036" s="18"/>
      <c r="J2036" s="18"/>
      <c r="K2036" s="254"/>
      <c r="L2036" s="254"/>
      <c r="M2036" s="254"/>
      <c r="N2036" s="254"/>
      <c r="O2036" s="254"/>
      <c r="P2036" s="254"/>
      <c r="Q2036" s="254"/>
      <c r="R2036" s="254"/>
      <c r="S2036" s="254"/>
      <c r="T2036" s="254"/>
      <c r="U2036" s="254"/>
      <c r="V2036" s="254"/>
      <c r="W2036" s="254"/>
      <c r="X2036" s="254"/>
      <c r="Y2036" s="254"/>
      <c r="Z2036" s="254"/>
      <c r="AA2036" s="254"/>
      <c r="AB2036" s="254"/>
      <c r="AC2036" s="254"/>
      <c r="AD2036" s="366">
        <f t="shared" ref="AD2036:AS2036" si="727">+IFERROR(AD1988/AC1988-1, "")</f>
        <v>-7.2743207712532842E-2</v>
      </c>
      <c r="AE2036" s="366">
        <f t="shared" si="727"/>
        <v>-5.2930056710774998E-2</v>
      </c>
      <c r="AF2036" s="366">
        <f t="shared" si="727"/>
        <v>-0.4760479041916168</v>
      </c>
      <c r="AG2036" s="366">
        <f t="shared" si="727"/>
        <v>-0.64</v>
      </c>
      <c r="AH2036" s="366">
        <f t="shared" si="727"/>
        <v>-0.80952380952380953</v>
      </c>
      <c r="AI2036" s="366">
        <f t="shared" si="727"/>
        <v>-1</v>
      </c>
      <c r="AJ2036" s="366" t="str">
        <f t="shared" si="727"/>
        <v/>
      </c>
      <c r="AK2036" s="366" t="str">
        <f t="shared" si="727"/>
        <v/>
      </c>
      <c r="AL2036" s="366">
        <f t="shared" si="727"/>
        <v>0</v>
      </c>
      <c r="AM2036" s="366">
        <f t="shared" si="727"/>
        <v>0</v>
      </c>
      <c r="AN2036" s="366">
        <f t="shared" si="727"/>
        <v>0</v>
      </c>
      <c r="AO2036" s="366">
        <f t="shared" si="727"/>
        <v>0</v>
      </c>
      <c r="AP2036" s="366">
        <f t="shared" si="727"/>
        <v>0</v>
      </c>
      <c r="AQ2036" s="366">
        <f t="shared" si="727"/>
        <v>0</v>
      </c>
      <c r="AR2036" s="366">
        <f t="shared" si="727"/>
        <v>0</v>
      </c>
      <c r="AS2036" s="366">
        <f t="shared" si="727"/>
        <v>0</v>
      </c>
      <c r="AT2036" s="2"/>
      <c r="AU2036" s="2"/>
    </row>
    <row r="2037" spans="1:47" outlineLevel="1">
      <c r="A2037" s="298"/>
      <c r="B2037" s="339"/>
      <c r="C2037" s="14"/>
      <c r="D2037" s="18"/>
      <c r="E2037" s="18"/>
      <c r="F2037" s="18"/>
      <c r="G2037" s="18"/>
      <c r="H2037" s="18"/>
      <c r="I2037" s="18"/>
      <c r="J2037" s="18"/>
      <c r="K2037" s="254"/>
      <c r="L2037" s="254"/>
      <c r="M2037" s="254"/>
      <c r="N2037" s="254"/>
      <c r="O2037" s="254"/>
      <c r="P2037" s="254"/>
      <c r="Q2037" s="254"/>
      <c r="R2037" s="254"/>
      <c r="S2037" s="254"/>
      <c r="T2037" s="254"/>
      <c r="U2037" s="254"/>
      <c r="V2037" s="254"/>
      <c r="W2037" s="254"/>
      <c r="X2037" s="254"/>
      <c r="Y2037" s="254"/>
      <c r="Z2037" s="254"/>
      <c r="AA2037" s="254"/>
      <c r="AB2037" s="254"/>
      <c r="AC2037" s="254"/>
      <c r="AD2037" s="366"/>
      <c r="AE2037" s="366"/>
      <c r="AF2037" s="366"/>
      <c r="AG2037" s="366"/>
      <c r="AH2037" s="366"/>
      <c r="AI2037" s="366"/>
      <c r="AJ2037" s="366"/>
      <c r="AK2037" s="366"/>
      <c r="AL2037" s="366"/>
      <c r="AM2037" s="366"/>
      <c r="AN2037" s="366"/>
      <c r="AO2037" s="366"/>
      <c r="AP2037" s="366"/>
      <c r="AQ2037" s="366"/>
      <c r="AR2037" s="366"/>
      <c r="AS2037" s="366"/>
      <c r="AT2037" s="2"/>
      <c r="AU2037" s="2"/>
    </row>
    <row r="2038" spans="1:47" outlineLevel="1">
      <c r="A2038" s="298"/>
      <c r="B2038" s="434" t="s">
        <v>1161</v>
      </c>
      <c r="C2038" s="433" t="s">
        <v>733</v>
      </c>
      <c r="D2038" s="209"/>
      <c r="E2038" s="209"/>
      <c r="F2038" s="209"/>
      <c r="G2038" s="209"/>
      <c r="H2038" s="209"/>
      <c r="I2038" s="209"/>
      <c r="J2038" s="209"/>
      <c r="K2038" s="262"/>
      <c r="L2038" s="262"/>
      <c r="M2038" s="262"/>
      <c r="N2038" s="262"/>
      <c r="O2038" s="262"/>
      <c r="P2038" s="262"/>
      <c r="Q2038" s="262"/>
      <c r="R2038" s="262"/>
      <c r="S2038" s="262"/>
      <c r="T2038" s="262"/>
      <c r="U2038" s="262"/>
      <c r="V2038" s="262"/>
      <c r="W2038" s="262"/>
      <c r="X2038" s="262"/>
      <c r="Y2038" s="262"/>
      <c r="Z2038" s="262"/>
      <c r="AA2038" s="262"/>
      <c r="AB2038" s="262"/>
      <c r="AC2038" s="262"/>
      <c r="AD2038" s="449">
        <f t="shared" ref="AD2038:AS2038" si="728">+IFERROR(AD76/AC76-1, "")</f>
        <v>-3.5851738844006831E-2</v>
      </c>
      <c r="AE2038" s="449">
        <f t="shared" si="728"/>
        <v>-6.7249253785018115E-2</v>
      </c>
      <c r="AF2038" s="449">
        <f t="shared" si="728"/>
        <v>-0.10814666306820375</v>
      </c>
      <c r="AG2038" s="449">
        <f t="shared" si="728"/>
        <v>-4.6991181047899011E-2</v>
      </c>
      <c r="AH2038" s="449">
        <f t="shared" si="728"/>
        <v>5.4434544794738082E-2</v>
      </c>
      <c r="AI2038" s="449">
        <f t="shared" si="728"/>
        <v>1.0195326424460527E-2</v>
      </c>
      <c r="AJ2038" s="449">
        <f t="shared" si="728"/>
        <v>5.4509837322205268E-3</v>
      </c>
      <c r="AK2038" s="449">
        <f t="shared" si="728"/>
        <v>3.8146907007580833E-2</v>
      </c>
      <c r="AL2038" s="449">
        <f t="shared" si="728"/>
        <v>2.7192520565718414E-2</v>
      </c>
      <c r="AM2038" s="449">
        <f t="shared" si="728"/>
        <v>3.0580866621936709E-2</v>
      </c>
      <c r="AN2038" s="449">
        <f t="shared" si="728"/>
        <v>3.4053278501660733E-2</v>
      </c>
      <c r="AO2038" s="449">
        <f t="shared" si="728"/>
        <v>3.7366848969744737E-2</v>
      </c>
      <c r="AP2038" s="449">
        <f t="shared" si="728"/>
        <v>4.0603823200605405E-2</v>
      </c>
      <c r="AQ2038" s="449">
        <f t="shared" si="728"/>
        <v>4.3837698767341893E-2</v>
      </c>
      <c r="AR2038" s="449">
        <f t="shared" si="728"/>
        <v>4.7135065888266769E-2</v>
      </c>
      <c r="AS2038" s="449">
        <f t="shared" si="728"/>
        <v>4.5522952721645193E-2</v>
      </c>
      <c r="AT2038" s="2"/>
      <c r="AU2038" s="2"/>
    </row>
  </sheetData>
  <dataConsolidate/>
  <phoneticPr fontId="10" type="noConversion"/>
  <printOptions horizontalCentered="1" verticalCentered="1"/>
  <pageMargins left="0.70866141732283472" right="0.70866141732283472" top="0.74803149606299213" bottom="0.74803149606299213" header="0.31496062992125984" footer="0.31496062992125984"/>
  <pageSetup paperSize="8" scale="120" orientation="portrait" r:id="rId1"/>
  <headerFooter alignWithMargins="0"/>
  <ignoredErrors>
    <ignoredError sqref="AL405:AP405 AI347:AJ347 AL347:AP347 AK369:AN369 AK374:AN374 AK373:AN373 AK372:AN372 AK371:AN371 AK370:AN370 AK331:AR331 AK330:AR330 AK344:AP344" unlockedFormula="1"/>
  </ignoredError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outlinePr summaryBelow="0"/>
    <pageSetUpPr autoPageBreaks="0"/>
  </sheetPr>
  <dimension ref="A1:AZ459"/>
  <sheetViews>
    <sheetView showGridLines="0" zoomScale="115" zoomScaleNormal="115" workbookViewId="0">
      <pane xSplit="18" ySplit="6" topLeftCell="X66" activePane="bottomRight" state="frozen"/>
      <selection pane="topRight" activeCell="S1" sqref="S1"/>
      <selection pane="bottomLeft" activeCell="A7" sqref="A7"/>
      <selection pane="bottomRight" activeCell="AL81" sqref="AL81"/>
    </sheetView>
  </sheetViews>
  <sheetFormatPr defaultColWidth="9.6640625" defaultRowHeight="13.8" outlineLevelRow="1" outlineLevelCol="1"/>
  <cols>
    <col min="1" max="1" width="2.6640625" customWidth="1"/>
    <col min="2" max="2" width="50.6640625" customWidth="1"/>
    <col min="3" max="3" width="9.6640625" customWidth="1"/>
    <col min="4" max="18" width="9.6640625" hidden="1" customWidth="1" outlineLevel="1"/>
    <col min="19" max="19" width="9.6640625" customWidth="1" collapsed="1"/>
    <col min="20" max="52" width="9.6640625" customWidth="1"/>
  </cols>
  <sheetData>
    <row r="1" spans="1:52">
      <c r="A1" s="472"/>
      <c r="B1" s="469"/>
      <c r="C1" s="485"/>
      <c r="D1" s="472"/>
      <c r="E1" s="477"/>
      <c r="F1" s="478"/>
      <c r="G1" s="469"/>
      <c r="H1" s="469"/>
      <c r="I1" s="469"/>
      <c r="J1" s="469"/>
      <c r="K1" s="472"/>
      <c r="L1" s="479"/>
      <c r="M1" s="469"/>
      <c r="N1" s="479"/>
      <c r="O1" s="479"/>
      <c r="P1" s="479"/>
      <c r="Q1" s="479"/>
      <c r="R1" s="479"/>
      <c r="S1" s="479"/>
      <c r="T1" s="479"/>
      <c r="U1" s="479"/>
      <c r="V1" s="479"/>
      <c r="W1" s="479"/>
      <c r="X1" s="479"/>
      <c r="Y1" s="479"/>
      <c r="Z1" s="479"/>
      <c r="AA1" s="479"/>
      <c r="AB1" s="479"/>
      <c r="AC1" s="479"/>
      <c r="AD1" s="479"/>
      <c r="AE1" s="479"/>
      <c r="AF1" s="479"/>
      <c r="AG1" s="479"/>
      <c r="AH1" s="479"/>
      <c r="AI1" s="479"/>
      <c r="AJ1" s="479"/>
      <c r="AK1" s="479"/>
      <c r="AL1" s="479"/>
      <c r="AM1" s="479"/>
      <c r="AN1" s="479"/>
      <c r="AO1" s="479"/>
      <c r="AP1" s="479"/>
      <c r="AQ1" s="479"/>
      <c r="AR1" s="479"/>
      <c r="AS1" s="479"/>
      <c r="AT1" s="479"/>
      <c r="AU1" s="479"/>
      <c r="AV1" s="479"/>
      <c r="AW1" s="479"/>
      <c r="AX1" s="479"/>
      <c r="AY1" s="479"/>
      <c r="AZ1" s="479"/>
    </row>
    <row r="2" spans="1:52" ht="23.4">
      <c r="A2" s="472"/>
      <c r="B2" s="475" t="s">
        <v>1368</v>
      </c>
      <c r="C2" s="472"/>
      <c r="D2" s="476"/>
      <c r="E2" s="476"/>
      <c r="F2" s="476"/>
      <c r="G2" s="476"/>
      <c r="H2" s="476"/>
      <c r="I2" s="476"/>
      <c r="J2" s="476"/>
      <c r="K2" s="476"/>
      <c r="L2" s="472"/>
      <c r="M2" s="477"/>
      <c r="N2" s="478"/>
      <c r="O2" s="469"/>
      <c r="P2" s="472"/>
      <c r="Q2" s="472"/>
      <c r="R2" s="472"/>
      <c r="S2" s="472"/>
      <c r="T2" s="472"/>
      <c r="U2" s="472"/>
      <c r="V2" s="472"/>
      <c r="W2" s="472"/>
      <c r="X2" s="472"/>
      <c r="Y2" s="472"/>
      <c r="Z2" s="472"/>
      <c r="AA2" s="479"/>
      <c r="AB2" s="479"/>
      <c r="AC2" s="479"/>
      <c r="AD2" s="479"/>
      <c r="AE2" s="479"/>
      <c r="AF2" s="479"/>
      <c r="AG2" s="479"/>
      <c r="AH2" s="479"/>
      <c r="AI2" s="479"/>
      <c r="AJ2" s="479"/>
      <c r="AK2" s="479"/>
      <c r="AL2" s="479"/>
      <c r="AM2" s="479"/>
      <c r="AN2" s="479"/>
      <c r="AO2" s="479"/>
      <c r="AP2" s="479"/>
      <c r="AQ2" s="479"/>
      <c r="AR2" s="479"/>
      <c r="AS2" s="479"/>
      <c r="AT2" s="479"/>
      <c r="AU2" s="479"/>
      <c r="AV2" s="479"/>
      <c r="AW2" s="479"/>
      <c r="AX2" s="479"/>
      <c r="AY2" s="479"/>
      <c r="AZ2" s="479"/>
    </row>
    <row r="3" spans="1:52" ht="18">
      <c r="A3" s="472"/>
      <c r="B3" s="480" t="str">
        <f ca="1">MID(CELL("filename",A1),FIND("]",CELL("filename",A1))+1,255)</f>
        <v>Cost + BS Assumptions</v>
      </c>
      <c r="C3" s="490"/>
      <c r="D3" s="476"/>
      <c r="E3" s="476"/>
      <c r="F3" s="476"/>
      <c r="G3" s="476"/>
      <c r="H3" s="476"/>
      <c r="I3" s="476"/>
      <c r="J3" s="476"/>
      <c r="K3" s="476"/>
      <c r="L3" s="481"/>
      <c r="M3" s="469"/>
      <c r="N3" s="469"/>
      <c r="O3" s="469"/>
      <c r="P3" s="472"/>
      <c r="Q3" s="472"/>
      <c r="R3" s="472"/>
      <c r="S3" s="472"/>
      <c r="T3" s="472"/>
      <c r="U3" s="472"/>
      <c r="V3" s="472"/>
      <c r="W3" s="472"/>
      <c r="X3" s="472"/>
      <c r="Y3" s="472"/>
      <c r="Z3" s="472"/>
      <c r="AA3" s="472"/>
      <c r="AB3" s="472"/>
      <c r="AC3" s="472"/>
      <c r="AD3" s="472"/>
      <c r="AE3" s="472"/>
      <c r="AF3" s="472"/>
      <c r="AG3" s="472"/>
      <c r="AH3" s="472"/>
      <c r="AI3" s="472"/>
      <c r="AJ3" s="472"/>
      <c r="AK3" s="472"/>
      <c r="AL3" s="472"/>
      <c r="AM3" s="472"/>
      <c r="AN3" s="472"/>
      <c r="AO3" s="472"/>
      <c r="AP3" s="472"/>
      <c r="AQ3" s="472"/>
      <c r="AR3" s="472"/>
      <c r="AS3" s="472"/>
      <c r="AT3" s="472"/>
      <c r="AU3" s="472"/>
      <c r="AV3" s="472"/>
      <c r="AW3" s="472"/>
      <c r="AX3" s="472"/>
      <c r="AY3" s="472"/>
      <c r="AZ3" s="472"/>
    </row>
    <row r="4" spans="1:52" ht="14.4">
      <c r="A4" s="469"/>
      <c r="B4" s="489">
        <f>MENU!$H$33</f>
        <v>4.8499999999999996</v>
      </c>
      <c r="C4" s="485"/>
      <c r="D4" s="488">
        <v>36707</v>
      </c>
      <c r="E4" s="488">
        <f>+EOMONTH(D4, 12)</f>
        <v>37072</v>
      </c>
      <c r="F4" s="488">
        <f t="shared" ref="F4:AI4" si="0">+EOMONTH(E4, 12)</f>
        <v>37437</v>
      </c>
      <c r="G4" s="488">
        <f t="shared" si="0"/>
        <v>37802</v>
      </c>
      <c r="H4" s="488">
        <f t="shared" si="0"/>
        <v>38168</v>
      </c>
      <c r="I4" s="488">
        <f t="shared" si="0"/>
        <v>38533</v>
      </c>
      <c r="J4" s="488">
        <f t="shared" si="0"/>
        <v>38898</v>
      </c>
      <c r="K4" s="488">
        <f t="shared" si="0"/>
        <v>39263</v>
      </c>
      <c r="L4" s="488">
        <f t="shared" si="0"/>
        <v>39629</v>
      </c>
      <c r="M4" s="488">
        <f t="shared" si="0"/>
        <v>39994</v>
      </c>
      <c r="N4" s="488">
        <f t="shared" si="0"/>
        <v>40359</v>
      </c>
      <c r="O4" s="488">
        <f t="shared" si="0"/>
        <v>40724</v>
      </c>
      <c r="P4" s="488">
        <f t="shared" si="0"/>
        <v>41090</v>
      </c>
      <c r="Q4" s="488">
        <f t="shared" si="0"/>
        <v>41455</v>
      </c>
      <c r="R4" s="488">
        <f t="shared" si="0"/>
        <v>41820</v>
      </c>
      <c r="S4" s="488">
        <f t="shared" si="0"/>
        <v>42185</v>
      </c>
      <c r="T4" s="488">
        <f t="shared" si="0"/>
        <v>42551</v>
      </c>
      <c r="U4" s="488">
        <f t="shared" si="0"/>
        <v>42916</v>
      </c>
      <c r="V4" s="488">
        <f t="shared" si="0"/>
        <v>43281</v>
      </c>
      <c r="W4" s="488">
        <f t="shared" si="0"/>
        <v>43646</v>
      </c>
      <c r="X4" s="488">
        <f t="shared" si="0"/>
        <v>44012</v>
      </c>
      <c r="Y4" s="488">
        <f t="shared" si="0"/>
        <v>44377</v>
      </c>
      <c r="Z4" s="488">
        <f t="shared" si="0"/>
        <v>44742</v>
      </c>
      <c r="AA4" s="488">
        <f t="shared" si="0"/>
        <v>45107</v>
      </c>
      <c r="AB4" s="488">
        <f t="shared" si="0"/>
        <v>45473</v>
      </c>
      <c r="AC4" s="488">
        <f t="shared" si="0"/>
        <v>45838</v>
      </c>
      <c r="AD4" s="488">
        <f t="shared" si="0"/>
        <v>46203</v>
      </c>
      <c r="AE4" s="488">
        <f t="shared" si="0"/>
        <v>46568</v>
      </c>
      <c r="AF4" s="488">
        <f t="shared" si="0"/>
        <v>46934</v>
      </c>
      <c r="AG4" s="488">
        <f t="shared" si="0"/>
        <v>47299</v>
      </c>
      <c r="AH4" s="488">
        <f t="shared" si="0"/>
        <v>47664</v>
      </c>
      <c r="AI4" s="488">
        <f t="shared" si="0"/>
        <v>48029</v>
      </c>
      <c r="AJ4" s="488">
        <f t="shared" ref="AJ4" si="1">+EOMONTH(AI4, 12)</f>
        <v>48395</v>
      </c>
      <c r="AK4" s="488">
        <f t="shared" ref="AK4:AL4" si="2">+EOMONTH(AJ4, 12)</f>
        <v>48760</v>
      </c>
      <c r="AL4" s="488">
        <f t="shared" si="2"/>
        <v>49125</v>
      </c>
      <c r="AM4" s="488"/>
      <c r="AN4" s="488"/>
      <c r="AO4" s="488"/>
      <c r="AP4" s="488"/>
      <c r="AQ4" s="488"/>
      <c r="AR4" s="488"/>
      <c r="AS4" s="488"/>
      <c r="AT4" s="488"/>
      <c r="AU4" s="488"/>
      <c r="AV4" s="488"/>
      <c r="AW4" s="488"/>
      <c r="AX4" s="488"/>
      <c r="AY4" s="488"/>
      <c r="AZ4" s="488"/>
    </row>
    <row r="5" spans="1:52">
      <c r="A5" s="472"/>
      <c r="B5" s="469" t="s">
        <v>1367</v>
      </c>
      <c r="C5" s="485" t="s">
        <v>184</v>
      </c>
      <c r="D5" s="491">
        <f>'Revenue Assumptions'!K5</f>
        <v>0</v>
      </c>
      <c r="E5" s="492">
        <f>'Revenue Assumptions'!L5</f>
        <v>1</v>
      </c>
      <c r="F5" s="492">
        <f>'Revenue Assumptions'!M5</f>
        <v>2</v>
      </c>
      <c r="G5" s="492">
        <f>'Revenue Assumptions'!N5</f>
        <v>3</v>
      </c>
      <c r="H5" s="492">
        <f>'Revenue Assumptions'!O5</f>
        <v>4</v>
      </c>
      <c r="I5" s="492">
        <f>'Revenue Assumptions'!P5</f>
        <v>5</v>
      </c>
      <c r="J5" s="492">
        <f>'Revenue Assumptions'!Q5</f>
        <v>6</v>
      </c>
      <c r="K5" s="492">
        <f>'Revenue Assumptions'!R5</f>
        <v>7</v>
      </c>
      <c r="L5" s="492">
        <f>'Revenue Assumptions'!S5</f>
        <v>8</v>
      </c>
      <c r="M5" s="492">
        <f>'Revenue Assumptions'!T5</f>
        <v>9</v>
      </c>
      <c r="N5" s="470">
        <f>'Revenue Assumptions'!U5</f>
        <v>10</v>
      </c>
      <c r="O5" s="470">
        <f>'Revenue Assumptions'!V5</f>
        <v>11</v>
      </c>
      <c r="P5" s="470">
        <f>'Revenue Assumptions'!W5</f>
        <v>12</v>
      </c>
      <c r="Q5" s="470">
        <f>'Revenue Assumptions'!X5</f>
        <v>13</v>
      </c>
      <c r="R5" s="470">
        <f>'Revenue Assumptions'!Y5</f>
        <v>14</v>
      </c>
      <c r="S5" s="470">
        <f>'Revenue Assumptions'!Z5</f>
        <v>15</v>
      </c>
      <c r="T5" s="470">
        <f>'Revenue Assumptions'!AA5</f>
        <v>16</v>
      </c>
      <c r="U5" s="470">
        <f>'Revenue Assumptions'!AB5</f>
        <v>17</v>
      </c>
      <c r="V5" s="470">
        <f>'Revenue Assumptions'!AC5</f>
        <v>18</v>
      </c>
      <c r="W5" s="470">
        <f>'Revenue Assumptions'!AD5</f>
        <v>19</v>
      </c>
      <c r="X5" s="470">
        <f>'Revenue Assumptions'!AE5</f>
        <v>20</v>
      </c>
      <c r="Y5" s="470">
        <f>'Revenue Assumptions'!AF5</f>
        <v>21</v>
      </c>
      <c r="Z5" s="470">
        <f>'Revenue Assumptions'!AG5</f>
        <v>22</v>
      </c>
      <c r="AA5" s="470">
        <f>'Revenue Assumptions'!AH5</f>
        <v>23</v>
      </c>
      <c r="AB5" s="470">
        <f>'Revenue Assumptions'!AI5</f>
        <v>24</v>
      </c>
      <c r="AC5" s="470">
        <f>'Revenue Assumptions'!AJ5</f>
        <v>25</v>
      </c>
      <c r="AD5" s="471">
        <f>'Revenue Assumptions'!AK5</f>
        <v>26</v>
      </c>
      <c r="AE5" s="471">
        <f>'Revenue Assumptions'!AL5</f>
        <v>27</v>
      </c>
      <c r="AF5" s="471">
        <f>'Revenue Assumptions'!AM5</f>
        <v>28</v>
      </c>
      <c r="AG5" s="471">
        <f>'Revenue Assumptions'!AN5</f>
        <v>29</v>
      </c>
      <c r="AH5" s="471">
        <f>'Revenue Assumptions'!AO5</f>
        <v>30</v>
      </c>
      <c r="AI5" s="471">
        <f>'Revenue Assumptions'!AP5</f>
        <v>31</v>
      </c>
      <c r="AJ5" s="471">
        <f>'Revenue Assumptions'!AQ5</f>
        <v>32</v>
      </c>
      <c r="AK5" s="471">
        <f>'Revenue Assumptions'!AR5</f>
        <v>33</v>
      </c>
      <c r="AL5" s="471">
        <f>'Revenue Assumptions'!AS5</f>
        <v>34</v>
      </c>
      <c r="AM5" s="471"/>
      <c r="AN5" s="471"/>
      <c r="AO5" s="471"/>
      <c r="AP5" s="471"/>
      <c r="AQ5" s="471"/>
      <c r="AR5" s="471"/>
      <c r="AS5" s="471"/>
      <c r="AT5" s="471"/>
      <c r="AU5" s="471"/>
      <c r="AV5" s="471"/>
      <c r="AW5" s="471"/>
      <c r="AX5" s="471"/>
      <c r="AY5" s="471"/>
      <c r="AZ5" s="471"/>
    </row>
    <row r="6" spans="1:52">
      <c r="A6" s="472"/>
      <c r="B6" s="472"/>
      <c r="C6" s="472"/>
      <c r="D6" s="472"/>
      <c r="E6" s="472"/>
      <c r="F6" s="472"/>
      <c r="G6" s="472"/>
      <c r="H6" s="472"/>
      <c r="I6" s="472"/>
      <c r="J6" s="472"/>
      <c r="K6" s="472"/>
      <c r="L6" s="472"/>
      <c r="M6" s="472"/>
      <c r="N6" s="472"/>
      <c r="O6" s="472"/>
      <c r="P6" s="472"/>
      <c r="Q6" s="472"/>
      <c r="R6" s="472"/>
      <c r="S6" s="472"/>
      <c r="T6" s="472"/>
      <c r="U6" s="472"/>
      <c r="V6" s="472"/>
      <c r="W6" s="472"/>
      <c r="X6" s="472"/>
      <c r="Y6" s="472"/>
      <c r="Z6" s="472"/>
      <c r="AA6" s="472"/>
      <c r="AB6" s="472"/>
      <c r="AC6" s="472"/>
      <c r="AD6" s="472"/>
      <c r="AE6" s="472"/>
      <c r="AF6" s="472"/>
      <c r="AG6" s="472"/>
      <c r="AH6" s="472"/>
      <c r="AI6" s="472"/>
      <c r="AJ6" s="472"/>
      <c r="AK6" s="472"/>
      <c r="AL6" s="472"/>
      <c r="AM6" s="472"/>
      <c r="AN6" s="472"/>
      <c r="AO6" s="472"/>
      <c r="AP6" s="472"/>
      <c r="AQ6" s="472"/>
      <c r="AR6" s="472"/>
      <c r="AS6" s="472"/>
      <c r="AT6" s="472"/>
      <c r="AU6" s="472"/>
      <c r="AV6" s="472"/>
      <c r="AW6" s="472"/>
      <c r="AX6" s="472"/>
      <c r="AY6" s="472"/>
      <c r="AZ6" s="472"/>
    </row>
    <row r="7" spans="1:52">
      <c r="A7" s="2"/>
      <c r="B7" s="35"/>
      <c r="C7" s="21"/>
      <c r="D7" s="34"/>
      <c r="E7" s="34"/>
      <c r="F7" s="34"/>
      <c r="G7" s="34"/>
      <c r="H7" s="34"/>
      <c r="I7" s="34"/>
      <c r="J7" s="34"/>
      <c r="K7" s="34"/>
      <c r="L7" s="34"/>
      <c r="M7" s="34"/>
      <c r="N7" s="34"/>
      <c r="O7" s="34"/>
      <c r="P7" s="34"/>
      <c r="Q7" s="34"/>
      <c r="R7" s="34"/>
      <c r="S7" s="34"/>
      <c r="T7" s="34"/>
      <c r="U7" s="34"/>
      <c r="V7" s="34"/>
      <c r="W7" s="34"/>
      <c r="X7" s="34"/>
      <c r="Y7" s="34"/>
      <c r="Z7" s="34"/>
      <c r="AA7" s="34"/>
      <c r="AB7" s="34"/>
      <c r="AC7" s="34"/>
      <c r="AD7" s="34"/>
      <c r="AE7" s="34"/>
      <c r="AF7" s="34"/>
      <c r="AG7" s="34"/>
      <c r="AH7" s="34"/>
      <c r="AI7" s="34"/>
      <c r="AJ7" s="34"/>
      <c r="AK7" s="34"/>
      <c r="AL7" s="34"/>
      <c r="AM7" s="2"/>
      <c r="AN7" s="2"/>
    </row>
    <row r="8" spans="1:52">
      <c r="A8" s="299" t="s">
        <v>1163</v>
      </c>
      <c r="B8" s="1073" t="s">
        <v>1485</v>
      </c>
      <c r="C8" s="1073"/>
      <c r="D8" s="1073"/>
      <c r="E8" s="1073"/>
      <c r="F8" s="1073"/>
      <c r="G8" s="1073"/>
      <c r="H8" s="1073"/>
      <c r="I8" s="1073"/>
      <c r="J8" s="1073"/>
      <c r="K8" s="1073"/>
      <c r="L8" s="1073"/>
      <c r="M8" s="1073"/>
      <c r="N8" s="1073"/>
      <c r="O8" s="1073"/>
      <c r="P8" s="1073"/>
      <c r="Q8" s="1073"/>
      <c r="R8" s="1073"/>
      <c r="S8" s="1073"/>
      <c r="T8" s="1073"/>
      <c r="U8" s="1073"/>
      <c r="V8" s="1073"/>
      <c r="W8" s="1073"/>
      <c r="X8" s="1073"/>
      <c r="Y8" s="1073"/>
      <c r="Z8" s="1073"/>
      <c r="AA8" s="1073"/>
      <c r="AB8" s="1073"/>
      <c r="AC8" s="1073"/>
      <c r="AD8" s="1073"/>
      <c r="AE8" s="1073"/>
      <c r="AF8" s="1073"/>
      <c r="AG8" s="1073"/>
      <c r="AH8" s="1073"/>
      <c r="AI8" s="1073"/>
      <c r="AJ8" s="1073"/>
      <c r="AK8" s="1073"/>
      <c r="AL8" s="1073"/>
      <c r="AM8" s="2"/>
      <c r="AN8" s="2"/>
    </row>
    <row r="9" spans="1:52">
      <c r="A9" s="2"/>
      <c r="B9" s="35"/>
      <c r="C9" s="21"/>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2"/>
      <c r="AN9" s="2"/>
    </row>
    <row r="10" spans="1:52" ht="15.6">
      <c r="A10" s="2"/>
      <c r="B10" s="237" t="s">
        <v>88</v>
      </c>
      <c r="C10" s="238"/>
      <c r="D10" s="239"/>
      <c r="E10" s="239"/>
      <c r="F10" s="239"/>
      <c r="G10" s="239"/>
      <c r="H10" s="239"/>
      <c r="I10" s="239"/>
      <c r="J10" s="239"/>
      <c r="K10" s="239"/>
      <c r="L10" s="239"/>
      <c r="M10" s="239"/>
      <c r="N10" s="239"/>
      <c r="O10" s="239"/>
      <c r="P10" s="239"/>
      <c r="Q10" s="239"/>
      <c r="R10" s="239"/>
      <c r="S10" s="239"/>
      <c r="T10" s="239"/>
      <c r="U10" s="239"/>
      <c r="V10" s="239"/>
      <c r="W10" s="239"/>
      <c r="X10" s="239"/>
      <c r="Y10" s="239"/>
      <c r="Z10" s="239"/>
      <c r="AA10" s="239"/>
      <c r="AB10" s="239"/>
      <c r="AC10" s="239"/>
      <c r="AD10" s="239"/>
      <c r="AE10" s="239"/>
      <c r="AF10" s="239"/>
      <c r="AG10" s="239"/>
      <c r="AH10" s="270"/>
      <c r="AI10" s="270"/>
      <c r="AJ10" s="270"/>
      <c r="AK10" s="270"/>
      <c r="AL10" s="240"/>
      <c r="AM10" s="2"/>
      <c r="AN10" s="2"/>
    </row>
    <row r="11" spans="1:52" ht="15.75" customHeight="1">
      <c r="A11" s="2"/>
      <c r="B11" s="167"/>
      <c r="C11" s="21"/>
      <c r="D11" s="34"/>
      <c r="E11" s="34"/>
      <c r="F11" s="34"/>
      <c r="G11" s="34"/>
      <c r="H11" s="34"/>
      <c r="I11" s="34"/>
      <c r="J11" s="34"/>
      <c r="K11" s="34"/>
      <c r="L11" s="34"/>
      <c r="M11" s="34"/>
      <c r="N11" s="34"/>
      <c r="O11" s="52"/>
      <c r="P11" s="34"/>
      <c r="Q11" s="34"/>
      <c r="R11" s="34"/>
      <c r="S11" s="34"/>
      <c r="T11" s="34"/>
      <c r="U11" s="34"/>
      <c r="V11" s="34"/>
      <c r="W11" s="34"/>
      <c r="X11" s="34"/>
      <c r="Y11" s="34"/>
      <c r="Z11" s="34"/>
      <c r="AA11" s="34"/>
      <c r="AB11" s="34"/>
      <c r="AC11" s="34"/>
      <c r="AD11" s="34"/>
      <c r="AE11" s="34"/>
      <c r="AF11" s="34"/>
      <c r="AG11" s="34"/>
      <c r="AH11" s="34"/>
      <c r="AI11" s="34"/>
      <c r="AJ11" s="34"/>
      <c r="AK11" s="34"/>
      <c r="AL11" s="34"/>
      <c r="AM11" s="2"/>
      <c r="AN11" s="2"/>
    </row>
    <row r="12" spans="1:52" ht="15.6">
      <c r="A12" s="2"/>
      <c r="B12" s="737" t="s">
        <v>89</v>
      </c>
      <c r="C12" s="288"/>
      <c r="D12" s="289"/>
      <c r="E12" s="289"/>
      <c r="F12" s="289"/>
      <c r="G12" s="290"/>
      <c r="H12" s="290"/>
      <c r="I12" s="290"/>
      <c r="J12" s="290"/>
      <c r="K12" s="290"/>
      <c r="L12" s="290"/>
      <c r="M12" s="290"/>
      <c r="N12" s="289"/>
      <c r="O12" s="291"/>
      <c r="P12" s="291"/>
      <c r="Q12" s="291"/>
      <c r="R12" s="291"/>
      <c r="S12" s="291"/>
      <c r="T12" s="291"/>
      <c r="U12" s="291"/>
      <c r="V12" s="290"/>
      <c r="W12" s="285"/>
      <c r="X12" s="285"/>
      <c r="Y12" s="285"/>
      <c r="Z12" s="285"/>
      <c r="AA12" s="286"/>
      <c r="AB12" s="286"/>
      <c r="AC12" s="286"/>
      <c r="AD12" s="286"/>
      <c r="AE12" s="286"/>
      <c r="AF12" s="286"/>
      <c r="AG12" s="286"/>
      <c r="AH12" s="286"/>
      <c r="AI12" s="286"/>
      <c r="AJ12" s="286"/>
      <c r="AK12" s="286"/>
      <c r="AL12" s="286"/>
      <c r="AM12" s="2"/>
      <c r="AN12" s="2"/>
    </row>
    <row r="13" spans="1:52">
      <c r="A13" s="2"/>
      <c r="B13" s="55"/>
      <c r="C13" s="18"/>
      <c r="D13" s="599"/>
      <c r="E13" s="599"/>
      <c r="F13" s="599"/>
      <c r="G13" s="599"/>
      <c r="H13" s="599"/>
      <c r="I13" s="599"/>
      <c r="J13" s="599"/>
      <c r="K13" s="599"/>
      <c r="L13" s="600"/>
      <c r="M13" s="600"/>
      <c r="N13" s="600"/>
      <c r="O13" s="600"/>
      <c r="P13" s="615"/>
      <c r="Q13" s="615"/>
      <c r="R13" s="615"/>
      <c r="S13" s="615"/>
      <c r="T13" s="615"/>
      <c r="U13" s="615"/>
      <c r="V13" s="615"/>
      <c r="W13" s="615"/>
      <c r="X13" s="254"/>
      <c r="Y13" s="254"/>
      <c r="Z13" s="254"/>
      <c r="AA13" s="254"/>
      <c r="AB13" s="254"/>
      <c r="AC13" s="254"/>
      <c r="AD13" s="254"/>
      <c r="AE13" s="254"/>
      <c r="AF13" s="254"/>
      <c r="AG13" s="254"/>
      <c r="AH13" s="254"/>
      <c r="AI13" s="254"/>
      <c r="AJ13" s="254"/>
      <c r="AK13" s="254"/>
      <c r="AL13" s="254"/>
      <c r="AM13" s="2"/>
      <c r="AN13" s="2"/>
    </row>
    <row r="14" spans="1:52">
      <c r="A14" s="2"/>
      <c r="B14" s="243" t="s">
        <v>1017</v>
      </c>
      <c r="C14" s="18" t="s">
        <v>732</v>
      </c>
      <c r="D14" s="601">
        <v>3800</v>
      </c>
      <c r="E14" s="601">
        <v>3122</v>
      </c>
      <c r="F14" s="601">
        <v>3240</v>
      </c>
      <c r="G14" s="601">
        <v>3204</v>
      </c>
      <c r="H14" s="601">
        <v>3218</v>
      </c>
      <c r="I14" s="601">
        <v>3858</v>
      </c>
      <c r="J14" s="601">
        <v>4364</v>
      </c>
      <c r="K14" s="601">
        <v>4017</v>
      </c>
      <c r="L14" s="602">
        <v>5213</v>
      </c>
      <c r="M14" s="602">
        <v>5160</v>
      </c>
      <c r="N14" s="602">
        <v>4640</v>
      </c>
      <c r="O14" s="602">
        <v>4954</v>
      </c>
      <c r="P14" s="739">
        <v>4968</v>
      </c>
      <c r="Q14" s="739">
        <v>4803</v>
      </c>
      <c r="R14" s="739">
        <v>4732</v>
      </c>
      <c r="S14" s="739">
        <v>4782</v>
      </c>
      <c r="T14" s="739">
        <v>5041</v>
      </c>
      <c r="U14" s="739">
        <v>5381</v>
      </c>
      <c r="V14" s="739">
        <v>5207</v>
      </c>
      <c r="W14" s="739">
        <v>5279</v>
      </c>
      <c r="X14" s="739">
        <v>4058</v>
      </c>
      <c r="Y14" s="739">
        <v>4012</v>
      </c>
      <c r="Z14" s="739">
        <v>3620</v>
      </c>
      <c r="AA14" s="739">
        <v>3967</v>
      </c>
      <c r="AB14" s="739">
        <v>4291</v>
      </c>
      <c r="AC14" s="739">
        <v>3990</v>
      </c>
      <c r="AD14" s="254">
        <f t="shared" ref="AD14:AL14" si="3">AC14*(1+AD15)</f>
        <v>4029.9</v>
      </c>
      <c r="AE14" s="254">
        <f t="shared" si="3"/>
        <v>4070.1990000000001</v>
      </c>
      <c r="AF14" s="254">
        <f t="shared" si="3"/>
        <v>4128.2076829344687</v>
      </c>
      <c r="AG14" s="254">
        <f t="shared" si="3"/>
        <v>4187.0719939422215</v>
      </c>
      <c r="AH14" s="254">
        <f t="shared" si="3"/>
        <v>4246.8045535373367</v>
      </c>
      <c r="AI14" s="254">
        <f t="shared" si="3"/>
        <v>4307.4181683864808</v>
      </c>
      <c r="AJ14" s="254">
        <f t="shared" si="3"/>
        <v>4368.9258340546494</v>
      </c>
      <c r="AK14" s="254">
        <f t="shared" si="3"/>
        <v>4431.3407377914236</v>
      </c>
      <c r="AL14" s="254">
        <f t="shared" si="3"/>
        <v>4494.6473069755957</v>
      </c>
      <c r="AM14" s="2"/>
      <c r="AN14" s="2"/>
    </row>
    <row r="15" spans="1:52">
      <c r="A15" s="2"/>
      <c r="B15" s="243"/>
      <c r="C15" s="18"/>
      <c r="D15" s="601"/>
      <c r="E15" s="601"/>
      <c r="F15" s="601"/>
      <c r="G15" s="601"/>
      <c r="H15" s="601"/>
      <c r="I15" s="601"/>
      <c r="J15" s="601"/>
      <c r="K15" s="601"/>
      <c r="L15" s="602"/>
      <c r="M15" s="602"/>
      <c r="N15" s="602"/>
      <c r="O15" s="602"/>
      <c r="P15" s="739"/>
      <c r="Q15" s="739"/>
      <c r="R15" s="739"/>
      <c r="S15" s="739"/>
      <c r="T15" s="739"/>
      <c r="U15" s="739"/>
      <c r="V15" s="739"/>
      <c r="W15" s="739"/>
      <c r="X15" s="739"/>
      <c r="Y15" s="739"/>
      <c r="Z15" s="739"/>
      <c r="AA15" s="739"/>
      <c r="AB15" s="739"/>
      <c r="AC15" s="739"/>
      <c r="AD15" s="1203">
        <v>0.01</v>
      </c>
      <c r="AE15" s="1203">
        <v>0.01</v>
      </c>
      <c r="AF15" s="1203">
        <v>1.4252050805002137E-2</v>
      </c>
      <c r="AG15" s="1203">
        <v>1.4259047879565445E-2</v>
      </c>
      <c r="AH15" s="1203">
        <v>1.4265949972089187E-2</v>
      </c>
      <c r="AI15" s="1203">
        <v>1.4272758278611297E-2</v>
      </c>
      <c r="AJ15" s="1203">
        <v>1.427947398271967E-2</v>
      </c>
      <c r="AK15" s="1203">
        <v>1.4286098255609225E-2</v>
      </c>
      <c r="AL15" s="1203">
        <v>1.4286098255609225E-2</v>
      </c>
      <c r="AM15" s="2"/>
      <c r="AN15" s="2"/>
    </row>
    <row r="16" spans="1:52">
      <c r="A16" s="2"/>
      <c r="B16" s="243" t="s">
        <v>1124</v>
      </c>
      <c r="C16" s="18" t="s">
        <v>732</v>
      </c>
      <c r="D16" s="601">
        <v>3329</v>
      </c>
      <c r="E16" s="601">
        <v>3706</v>
      </c>
      <c r="F16" s="601">
        <v>3933</v>
      </c>
      <c r="G16" s="601">
        <v>3615</v>
      </c>
      <c r="H16" s="601">
        <v>3554</v>
      </c>
      <c r="I16" s="601">
        <v>4211</v>
      </c>
      <c r="J16" s="601">
        <v>4701</v>
      </c>
      <c r="K16" s="601">
        <v>5151</v>
      </c>
      <c r="L16" s="602">
        <v>5181</v>
      </c>
      <c r="M16" s="602">
        <v>5313</v>
      </c>
      <c r="N16" s="602">
        <v>5360</v>
      </c>
      <c r="O16" s="602">
        <v>6183</v>
      </c>
      <c r="P16" s="739">
        <v>6179</v>
      </c>
      <c r="Q16" s="739">
        <v>6389</v>
      </c>
      <c r="R16" s="739">
        <v>6465</v>
      </c>
      <c r="S16" s="739">
        <v>6845</v>
      </c>
      <c r="T16" s="739">
        <v>7245</v>
      </c>
      <c r="U16" s="739">
        <v>7671</v>
      </c>
      <c r="V16" s="739">
        <v>8338</v>
      </c>
      <c r="W16" s="739">
        <v>9138</v>
      </c>
      <c r="X16" s="739">
        <v>9107</v>
      </c>
      <c r="Y16" s="739">
        <v>8318</v>
      </c>
      <c r="Z16" s="739">
        <v>8228</v>
      </c>
      <c r="AA16" s="739">
        <v>8511</v>
      </c>
      <c r="AB16" s="739">
        <v>8441</v>
      </c>
      <c r="AC16" s="739">
        <v>8212</v>
      </c>
      <c r="AD16" s="254">
        <f>'P&amp;L'!AD21*'Cost + BS Assumptions'!AD17</f>
        <v>8774.8504180778327</v>
      </c>
      <c r="AE16" s="254">
        <f>'P&amp;L'!AE21*'Cost + BS Assumptions'!AE17</f>
        <v>9007.3630106383407</v>
      </c>
      <c r="AF16" s="254">
        <f>'P&amp;L'!AF21*'Cost + BS Assumptions'!AF17</f>
        <v>9280.5934640639534</v>
      </c>
      <c r="AG16" s="254">
        <f>'P&amp;L'!AG21*'Cost + BS Assumptions'!AG17</f>
        <v>9597.1515677170792</v>
      </c>
      <c r="AH16" s="254">
        <f>'P&amp;L'!AH21*'Cost + BS Assumptions'!AH17</f>
        <v>9959.2202141178986</v>
      </c>
      <c r="AI16" s="254">
        <f>'P&amp;L'!AI21*'Cost + BS Assumptions'!AI17</f>
        <v>10370.215456846712</v>
      </c>
      <c r="AJ16" s="254">
        <f>'P&amp;L'!AJ21*'Cost + BS Assumptions'!AJ17</f>
        <v>10834.874931181042</v>
      </c>
      <c r="AK16" s="254">
        <f>'P&amp;L'!AK21*'Cost + BS Assumptions'!AK17</f>
        <v>11359.40930252094</v>
      </c>
      <c r="AL16" s="254">
        <f>'P&amp;L'!AL21*'Cost + BS Assumptions'!AL17</f>
        <v>11876.522665116272</v>
      </c>
      <c r="AM16" s="2"/>
      <c r="AN16" s="2"/>
    </row>
    <row r="17" spans="1:40">
      <c r="A17" s="2"/>
      <c r="B17" s="339" t="s">
        <v>1483</v>
      </c>
      <c r="C17" s="18"/>
      <c r="D17" s="601"/>
      <c r="E17" s="601"/>
      <c r="F17" s="601"/>
      <c r="G17" s="601"/>
      <c r="H17" s="601"/>
      <c r="I17" s="601"/>
      <c r="J17" s="601"/>
      <c r="K17" s="601"/>
      <c r="L17" s="602"/>
      <c r="M17" s="602"/>
      <c r="N17" s="602"/>
      <c r="O17" s="602"/>
      <c r="P17" s="739"/>
      <c r="Q17" s="739"/>
      <c r="R17" s="739"/>
      <c r="S17" s="739"/>
      <c r="T17" s="739"/>
      <c r="U17" s="739"/>
      <c r="V17" s="739"/>
      <c r="W17" s="739"/>
      <c r="X17" s="739"/>
      <c r="Y17" s="739"/>
      <c r="Z17" s="739"/>
      <c r="AA17" s="739"/>
      <c r="AB17" s="739"/>
      <c r="AC17" s="739"/>
      <c r="AD17" s="1203">
        <v>0.35800112294831521</v>
      </c>
      <c r="AE17" s="1203">
        <v>0.35775894274043513</v>
      </c>
      <c r="AF17" s="1203">
        <v>0.35767329990769731</v>
      </c>
      <c r="AG17" s="1203">
        <v>0.35769282362531896</v>
      </c>
      <c r="AH17" s="1203">
        <v>0.35781691009747713</v>
      </c>
      <c r="AI17" s="1203">
        <v>0.35804524160410317</v>
      </c>
      <c r="AJ17" s="1203">
        <v>0.35837777648661623</v>
      </c>
      <c r="AK17" s="1203">
        <v>0.35881470457194375</v>
      </c>
      <c r="AL17" s="1203">
        <v>0.35881470457194375</v>
      </c>
      <c r="AM17" s="2"/>
      <c r="AN17" s="2"/>
    </row>
    <row r="18" spans="1:40">
      <c r="A18" s="2"/>
      <c r="B18" s="243"/>
      <c r="C18" s="18"/>
      <c r="D18" s="601"/>
      <c r="E18" s="601"/>
      <c r="F18" s="601"/>
      <c r="G18" s="601"/>
      <c r="H18" s="601"/>
      <c r="I18" s="601"/>
      <c r="J18" s="601"/>
      <c r="K18" s="601"/>
      <c r="L18" s="602"/>
      <c r="M18" s="602"/>
      <c r="N18" s="602"/>
      <c r="O18" s="602"/>
      <c r="P18" s="739"/>
      <c r="Q18" s="739"/>
      <c r="R18" s="739"/>
      <c r="S18" s="739"/>
      <c r="T18" s="739"/>
      <c r="U18" s="739"/>
      <c r="V18" s="739"/>
      <c r="W18" s="739"/>
      <c r="X18" s="739"/>
      <c r="Y18" s="739"/>
      <c r="Z18" s="739"/>
      <c r="AA18" s="739"/>
      <c r="AB18" s="739"/>
      <c r="AC18" s="739"/>
      <c r="AD18" s="2"/>
      <c r="AE18" s="2"/>
      <c r="AF18" s="2"/>
      <c r="AG18" s="2"/>
      <c r="AH18" s="2"/>
      <c r="AI18" s="2"/>
      <c r="AJ18" s="2"/>
      <c r="AK18" s="2"/>
      <c r="AL18" s="2"/>
      <c r="AM18" s="2"/>
      <c r="AN18" s="2"/>
    </row>
    <row r="19" spans="1:40">
      <c r="A19" s="2"/>
      <c r="B19" s="339" t="s">
        <v>1329</v>
      </c>
      <c r="C19" s="18" t="s">
        <v>732</v>
      </c>
      <c r="D19" s="601"/>
      <c r="E19" s="601"/>
      <c r="F19" s="601"/>
      <c r="G19" s="601"/>
      <c r="H19" s="601"/>
      <c r="I19" s="601"/>
      <c r="J19" s="601"/>
      <c r="K19" s="601"/>
      <c r="L19" s="602"/>
      <c r="M19" s="602"/>
      <c r="N19" s="602"/>
      <c r="O19" s="602"/>
      <c r="P19" s="739"/>
      <c r="Q19" s="739"/>
      <c r="R19" s="739"/>
      <c r="S19" s="739"/>
      <c r="T19" s="739"/>
      <c r="U19" s="739"/>
      <c r="V19" s="739">
        <v>190</v>
      </c>
      <c r="W19" s="739">
        <v>184</v>
      </c>
      <c r="X19" s="739">
        <v>202</v>
      </c>
      <c r="Y19" s="739">
        <v>160</v>
      </c>
      <c r="Z19" s="739">
        <v>98</v>
      </c>
      <c r="AA19" s="739">
        <v>90</v>
      </c>
      <c r="AB19" s="739">
        <v>92</v>
      </c>
      <c r="AC19" s="739">
        <v>118</v>
      </c>
      <c r="AD19" s="638">
        <f t="shared" ref="AD19:AI19" si="4">+AC19</f>
        <v>118</v>
      </c>
      <c r="AE19" s="638">
        <f t="shared" si="4"/>
        <v>118</v>
      </c>
      <c r="AF19" s="638">
        <f t="shared" si="4"/>
        <v>118</v>
      </c>
      <c r="AG19" s="638">
        <f t="shared" si="4"/>
        <v>118</v>
      </c>
      <c r="AH19" s="638">
        <f t="shared" si="4"/>
        <v>118</v>
      </c>
      <c r="AI19" s="638">
        <f t="shared" si="4"/>
        <v>118</v>
      </c>
      <c r="AJ19" s="638">
        <f t="shared" ref="AJ19" si="5">+AI19</f>
        <v>118</v>
      </c>
      <c r="AK19" s="638">
        <f t="shared" ref="AK19:AL19" si="6">+AJ19</f>
        <v>118</v>
      </c>
      <c r="AL19" s="638">
        <f t="shared" si="6"/>
        <v>118</v>
      </c>
      <c r="AM19" s="2"/>
      <c r="AN19" s="2"/>
    </row>
    <row r="20" spans="1:40">
      <c r="A20" s="2"/>
      <c r="B20" s="339"/>
      <c r="C20" s="18"/>
      <c r="D20" s="601"/>
      <c r="E20" s="601"/>
      <c r="F20" s="601"/>
      <c r="G20" s="601"/>
      <c r="H20" s="601"/>
      <c r="I20" s="601"/>
      <c r="J20" s="601"/>
      <c r="K20" s="601"/>
      <c r="L20" s="602"/>
      <c r="M20" s="602"/>
      <c r="N20" s="602"/>
      <c r="O20" s="602"/>
      <c r="P20" s="739"/>
      <c r="Q20" s="739"/>
      <c r="R20" s="739"/>
      <c r="S20" s="739"/>
      <c r="T20" s="739"/>
      <c r="U20" s="739"/>
      <c r="V20" s="739"/>
      <c r="W20" s="739"/>
      <c r="X20" s="739"/>
      <c r="Y20" s="739"/>
      <c r="Z20" s="739"/>
      <c r="AA20" s="739"/>
      <c r="AB20" s="739"/>
      <c r="AC20" s="739"/>
      <c r="AD20" s="2"/>
      <c r="AE20" s="2"/>
      <c r="AF20" s="2"/>
      <c r="AG20" s="2"/>
      <c r="AH20" s="2"/>
      <c r="AI20" s="2"/>
      <c r="AJ20" s="2"/>
      <c r="AK20" s="2"/>
      <c r="AL20" s="2"/>
      <c r="AM20" s="2"/>
      <c r="AN20" s="2"/>
    </row>
    <row r="21" spans="1:40">
      <c r="A21" s="2"/>
      <c r="B21" s="339" t="s">
        <v>1125</v>
      </c>
      <c r="C21" s="18" t="s">
        <v>732</v>
      </c>
      <c r="D21" s="603">
        <v>4035</v>
      </c>
      <c r="E21" s="603">
        <v>6711</v>
      </c>
      <c r="F21" s="603">
        <v>4065</v>
      </c>
      <c r="G21" s="603">
        <v>4602</v>
      </c>
      <c r="H21" s="603">
        <v>4255</v>
      </c>
      <c r="I21" s="603">
        <v>3815</v>
      </c>
      <c r="J21" s="603">
        <v>4427</v>
      </c>
      <c r="K21" s="603">
        <v>4924</v>
      </c>
      <c r="L21" s="602">
        <v>4192</v>
      </c>
      <c r="M21" s="602">
        <v>4195</v>
      </c>
      <c r="N21" s="602">
        <v>4184</v>
      </c>
      <c r="O21" s="602">
        <v>4017</v>
      </c>
      <c r="P21" s="739">
        <v>4122</v>
      </c>
      <c r="Q21" s="739">
        <v>4158</v>
      </c>
      <c r="R21" s="739">
        <v>3988</v>
      </c>
      <c r="S21" s="739">
        <v>3971</v>
      </c>
      <c r="T21" s="739">
        <v>4314</v>
      </c>
      <c r="U21" s="739">
        <v>4506</v>
      </c>
      <c r="V21" s="739">
        <f>4887</f>
        <v>4887</v>
      </c>
      <c r="W21" s="739">
        <v>4784</v>
      </c>
      <c r="X21" s="739">
        <v>3584</v>
      </c>
      <c r="Y21" s="739">
        <v>2980</v>
      </c>
      <c r="Z21" s="739">
        <v>2812</v>
      </c>
      <c r="AA21" s="739">
        <v>2788</v>
      </c>
      <c r="AB21" s="739">
        <v>3114</v>
      </c>
      <c r="AC21" s="739">
        <v>2666</v>
      </c>
      <c r="AD21" s="254">
        <f t="shared" ref="AD21" si="7">AC21*(1+AD22)</f>
        <v>2688.3316888403519</v>
      </c>
      <c r="AE21" s="254">
        <f t="shared" ref="AE21" si="8">AD21*(1+AE22)</f>
        <v>2712.8026524191469</v>
      </c>
      <c r="AF21" s="254">
        <f t="shared" ref="AF21" si="9">AE21*(1+AF22)</f>
        <v>2737.8256529278774</v>
      </c>
      <c r="AG21" s="254">
        <f t="shared" ref="AG21" si="10">AF21*(1+AG22)</f>
        <v>2766.9683851122954</v>
      </c>
      <c r="AH21" s="254">
        <f t="shared" ref="AH21" si="11">AG21*(1+AH22)</f>
        <v>2800.4273002208906</v>
      </c>
      <c r="AI21" s="254">
        <f t="shared" ref="AI21" si="12">AH21*(1+AI22)</f>
        <v>2838.4705096778762</v>
      </c>
      <c r="AJ21" s="254">
        <f t="shared" ref="AJ21" si="13">AI21*(1+AJ22)</f>
        <v>2881.4455984321198</v>
      </c>
      <c r="AK21" s="254">
        <f t="shared" ref="AK21:AL21" si="14">AJ21*(1+AK22)</f>
        <v>2929.7895418816101</v>
      </c>
      <c r="AL21" s="254">
        <f t="shared" si="14"/>
        <v>2978.9445840620706</v>
      </c>
      <c r="AM21" s="2"/>
      <c r="AN21" s="2"/>
    </row>
    <row r="22" spans="1:40">
      <c r="A22" s="2"/>
      <c r="AD22" s="1203">
        <v>8.3764774344905479E-3</v>
      </c>
      <c r="AE22" s="1203">
        <v>9.1026578604036512E-3</v>
      </c>
      <c r="AF22" s="1203">
        <v>9.224040121907251E-3</v>
      </c>
      <c r="AG22" s="1203">
        <v>1.0644480649544708E-2</v>
      </c>
      <c r="AH22" s="1203">
        <v>1.2092265053920137E-2</v>
      </c>
      <c r="AI22" s="1203">
        <v>1.3584787383691399E-2</v>
      </c>
      <c r="AJ22" s="1203">
        <v>1.5140227318803712E-2</v>
      </c>
      <c r="AK22" s="1203">
        <v>1.6777670026390856E-2</v>
      </c>
      <c r="AL22" s="1203">
        <v>1.6777670026390856E-2</v>
      </c>
      <c r="AM22" s="2"/>
      <c r="AN22" s="2"/>
    </row>
    <row r="23" spans="1:40">
      <c r="A23" s="2"/>
      <c r="AB23" s="2"/>
      <c r="AC23" s="2"/>
      <c r="AD23" s="2"/>
      <c r="AE23" s="2"/>
      <c r="AF23" s="2"/>
      <c r="AG23" s="2"/>
      <c r="AH23" s="2"/>
      <c r="AI23" s="2"/>
      <c r="AJ23" s="2"/>
      <c r="AK23" s="2"/>
      <c r="AL23" s="2"/>
      <c r="AM23" s="2"/>
      <c r="AN23" s="2"/>
    </row>
    <row r="24" spans="1:40">
      <c r="A24" s="6"/>
      <c r="B24" s="6" t="s">
        <v>214</v>
      </c>
      <c r="C24" s="21" t="s">
        <v>732</v>
      </c>
      <c r="D24" s="855">
        <f t="shared" ref="D24:P24" si="15">SUM(D14:D21)</f>
        <v>11164</v>
      </c>
      <c r="E24" s="855">
        <f t="shared" si="15"/>
        <v>13539</v>
      </c>
      <c r="F24" s="855">
        <f t="shared" si="15"/>
        <v>11238</v>
      </c>
      <c r="G24" s="855">
        <f t="shared" si="15"/>
        <v>11421</v>
      </c>
      <c r="H24" s="855">
        <f t="shared" si="15"/>
        <v>11027</v>
      </c>
      <c r="I24" s="855">
        <f t="shared" si="15"/>
        <v>11884</v>
      </c>
      <c r="J24" s="855">
        <f t="shared" si="15"/>
        <v>13492</v>
      </c>
      <c r="K24" s="855">
        <f t="shared" si="15"/>
        <v>14092</v>
      </c>
      <c r="L24" s="259">
        <f t="shared" si="15"/>
        <v>14586</v>
      </c>
      <c r="M24" s="259">
        <f t="shared" si="15"/>
        <v>14668</v>
      </c>
      <c r="N24" s="259">
        <f t="shared" si="15"/>
        <v>14184</v>
      </c>
      <c r="O24" s="259">
        <f t="shared" si="15"/>
        <v>15154</v>
      </c>
      <c r="P24" s="259">
        <f t="shared" si="15"/>
        <v>15269</v>
      </c>
      <c r="Q24" s="259">
        <f>SUM(Q14:Q21)-Q455</f>
        <v>15350</v>
      </c>
      <c r="R24" s="259">
        <f>SUM(R14:R21)-R455</f>
        <v>15185</v>
      </c>
      <c r="S24" s="259">
        <f>SUM(S14:S21)-S455</f>
        <v>15598</v>
      </c>
      <c r="T24" s="259">
        <f>SUM(T14:T21)-T455</f>
        <v>16600</v>
      </c>
      <c r="U24" s="259">
        <f>SUM(U14:U21)-U455</f>
        <v>17558</v>
      </c>
      <c r="V24" s="259">
        <f>SUM(V14:V21)</f>
        <v>18622</v>
      </c>
      <c r="W24" s="259">
        <f t="shared" ref="W24:AH24" si="16">SUM(W14:W21)</f>
        <v>19385</v>
      </c>
      <c r="X24" s="259">
        <f t="shared" si="16"/>
        <v>16951</v>
      </c>
      <c r="Y24" s="259">
        <f>SUM(Y14:Y21)</f>
        <v>15470</v>
      </c>
      <c r="Z24" s="259">
        <f t="shared" si="16"/>
        <v>14758</v>
      </c>
      <c r="AA24" s="259">
        <f t="shared" ref="AA24:AB24" si="17">SUM(AA14:AA21)</f>
        <v>15356</v>
      </c>
      <c r="AB24" s="259">
        <f t="shared" si="17"/>
        <v>15938</v>
      </c>
      <c r="AC24" s="259">
        <f t="shared" ref="AC24" si="18">SUM(AC14:AC21)</f>
        <v>14986</v>
      </c>
      <c r="AD24" s="259">
        <f t="shared" si="16"/>
        <v>15611.450108041132</v>
      </c>
      <c r="AE24" s="259">
        <f t="shared" si="16"/>
        <v>15908.732422000228</v>
      </c>
      <c r="AF24" s="259">
        <f t="shared" si="16"/>
        <v>16264.998725277013</v>
      </c>
      <c r="AG24" s="259">
        <f t="shared" si="16"/>
        <v>16669.5638986431</v>
      </c>
      <c r="AH24" s="259">
        <f t="shared" si="16"/>
        <v>17124.824150736196</v>
      </c>
      <c r="AI24" s="259">
        <f>SUM(AI14:AI21)</f>
        <v>17634.476452910953</v>
      </c>
      <c r="AJ24" s="259">
        <f t="shared" ref="AJ24:AK24" si="19">SUM(AJ14:AJ21)</f>
        <v>18203.619020918282</v>
      </c>
      <c r="AK24" s="259">
        <f t="shared" si="19"/>
        <v>18838.912682996801</v>
      </c>
      <c r="AL24" s="259">
        <f t="shared" ref="AL24" si="20">SUM(AL14:AL21)</f>
        <v>19468.487656956768</v>
      </c>
      <c r="AM24" s="6"/>
      <c r="AN24" s="6"/>
    </row>
    <row r="25" spans="1:40">
      <c r="A25" s="2"/>
      <c r="B25" s="244" t="s">
        <v>1099</v>
      </c>
      <c r="C25" s="18" t="s">
        <v>733</v>
      </c>
      <c r="D25" s="6"/>
      <c r="E25" s="6"/>
      <c r="F25" s="6"/>
      <c r="G25" s="6"/>
      <c r="H25" s="6"/>
      <c r="I25" s="6"/>
      <c r="J25" s="6"/>
      <c r="K25" s="6"/>
      <c r="L25" s="263">
        <f t="shared" ref="L25:AC25" si="21">L24/K24-1</f>
        <v>3.5055350553505615E-2</v>
      </c>
      <c r="M25" s="263">
        <f t="shared" si="21"/>
        <v>5.6218291512408758E-3</v>
      </c>
      <c r="N25" s="263">
        <f t="shared" si="21"/>
        <v>-3.299700027270247E-2</v>
      </c>
      <c r="O25" s="263">
        <f t="shared" si="21"/>
        <v>6.8386914833615364E-2</v>
      </c>
      <c r="P25" s="263">
        <f t="shared" si="21"/>
        <v>7.588755444107198E-3</v>
      </c>
      <c r="Q25" s="263">
        <f t="shared" si="21"/>
        <v>5.3048660685048876E-3</v>
      </c>
      <c r="R25" s="263">
        <f t="shared" si="21"/>
        <v>-1.0749185667752403E-2</v>
      </c>
      <c r="S25" s="263">
        <f t="shared" si="21"/>
        <v>2.7197892657227607E-2</v>
      </c>
      <c r="T25" s="263">
        <f t="shared" si="21"/>
        <v>6.4239005000641169E-2</v>
      </c>
      <c r="U25" s="263">
        <f t="shared" si="21"/>
        <v>5.7710843373494081E-2</v>
      </c>
      <c r="V25" s="263">
        <f t="shared" si="21"/>
        <v>6.0599157079394006E-2</v>
      </c>
      <c r="W25" s="263">
        <f t="shared" si="21"/>
        <v>4.0973042637740376E-2</v>
      </c>
      <c r="X25" s="263">
        <f t="shared" si="21"/>
        <v>-0.12556100077379417</v>
      </c>
      <c r="Y25" s="263">
        <f t="shared" si="21"/>
        <v>-8.7369476727036766E-2</v>
      </c>
      <c r="Z25" s="263">
        <f t="shared" si="21"/>
        <v>-4.6024563671622443E-2</v>
      </c>
      <c r="AA25" s="263">
        <f t="shared" si="21"/>
        <v>4.0520395717576818E-2</v>
      </c>
      <c r="AB25" s="263">
        <f t="shared" si="21"/>
        <v>3.7900494920552141E-2</v>
      </c>
      <c r="AC25" s="263">
        <f t="shared" si="21"/>
        <v>-5.9731459405195086E-2</v>
      </c>
      <c r="AD25" s="263">
        <f t="shared" ref="AD25:AI25" si="22">AD24/AC24-1</f>
        <v>4.1735627121388674E-2</v>
      </c>
      <c r="AE25" s="263">
        <f t="shared" si="22"/>
        <v>1.9042581688549998E-2</v>
      </c>
      <c r="AF25" s="263">
        <f t="shared" si="22"/>
        <v>2.2394386543588052E-2</v>
      </c>
      <c r="AG25" s="263">
        <f t="shared" si="22"/>
        <v>2.4873360287287483E-2</v>
      </c>
      <c r="AH25" s="263">
        <f t="shared" si="22"/>
        <v>2.7310867570456088E-2</v>
      </c>
      <c r="AI25" s="263">
        <f t="shared" si="22"/>
        <v>2.9761023978330581E-2</v>
      </c>
      <c r="AJ25" s="263">
        <f t="shared" ref="AJ25" si="23">AJ24/AI24-1</f>
        <v>3.2274423883640768E-2</v>
      </c>
      <c r="AK25" s="263">
        <f t="shared" ref="AK25:AL25" si="24">AK24/AJ24-1</f>
        <v>3.4899305536359781E-2</v>
      </c>
      <c r="AL25" s="263">
        <f t="shared" si="24"/>
        <v>3.3418859387155386E-2</v>
      </c>
      <c r="AM25" s="2"/>
      <c r="AN25" s="2"/>
    </row>
    <row r="27" spans="1:40" ht="15.6">
      <c r="B27" s="737" t="s">
        <v>734</v>
      </c>
      <c r="C27" s="288"/>
      <c r="D27" s="289"/>
      <c r="E27" s="289"/>
      <c r="F27" s="289"/>
      <c r="G27" s="290"/>
      <c r="H27" s="290"/>
      <c r="I27" s="290"/>
      <c r="J27" s="290"/>
      <c r="K27" s="290"/>
      <c r="L27" s="290"/>
      <c r="M27" s="290"/>
      <c r="N27" s="289"/>
      <c r="O27" s="291"/>
      <c r="P27" s="291"/>
      <c r="Q27" s="291"/>
      <c r="R27" s="291"/>
      <c r="S27" s="291"/>
      <c r="T27" s="291"/>
      <c r="U27" s="291"/>
      <c r="V27" s="290"/>
      <c r="W27" s="285"/>
      <c r="X27" s="285"/>
      <c r="Y27" s="285"/>
      <c r="Z27" s="285"/>
      <c r="AA27" s="286"/>
      <c r="AB27" s="286"/>
      <c r="AC27" s="286"/>
      <c r="AD27" s="286"/>
      <c r="AE27" s="286"/>
      <c r="AF27" s="286"/>
      <c r="AG27" s="286"/>
      <c r="AH27" s="286"/>
      <c r="AI27" s="286"/>
      <c r="AJ27" s="286"/>
      <c r="AK27" s="286"/>
      <c r="AL27" s="286"/>
    </row>
    <row r="29" spans="1:40">
      <c r="A29" s="2"/>
      <c r="B29" s="164" t="s">
        <v>266</v>
      </c>
      <c r="C29" s="14" t="s">
        <v>732</v>
      </c>
      <c r="D29" s="2"/>
      <c r="E29" s="2"/>
      <c r="F29" s="2"/>
      <c r="G29" s="2"/>
      <c r="H29" s="2"/>
      <c r="I29" s="2"/>
      <c r="J29" s="2"/>
      <c r="K29" s="2"/>
      <c r="L29" s="2"/>
      <c r="M29" s="2"/>
      <c r="N29" s="2"/>
      <c r="O29" s="2"/>
      <c r="P29" s="2"/>
      <c r="Q29" s="2"/>
      <c r="R29" s="2"/>
      <c r="S29" s="2"/>
      <c r="T29" s="168"/>
      <c r="U29" s="2"/>
      <c r="V29" s="2"/>
      <c r="W29" s="736">
        <v>3757</v>
      </c>
      <c r="X29" s="736">
        <v>3477</v>
      </c>
      <c r="Y29" s="736">
        <v>3647</v>
      </c>
      <c r="Z29" s="736">
        <f>3061+697+223</f>
        <v>3981</v>
      </c>
      <c r="AA29" s="736">
        <v>4602</v>
      </c>
      <c r="AB29" s="736">
        <v>5026</v>
      </c>
      <c r="AC29" s="736">
        <v>5261</v>
      </c>
      <c r="AD29" s="2">
        <f t="shared" ref="AD29:AK32" si="25">+AD280*AD48</f>
        <v>5506.7788696534453</v>
      </c>
      <c r="AE29" s="2">
        <f t="shared" si="25"/>
        <v>5757.3635908389933</v>
      </c>
      <c r="AF29" s="2">
        <f t="shared" si="25"/>
        <v>6025.3724827679889</v>
      </c>
      <c r="AG29" s="2">
        <f t="shared" si="25"/>
        <v>6312.3332342353424</v>
      </c>
      <c r="AH29" s="2">
        <f t="shared" si="25"/>
        <v>6619.836755285588</v>
      </c>
      <c r="AI29" s="2">
        <f t="shared" si="25"/>
        <v>6949.6473916449222</v>
      </c>
      <c r="AJ29" s="2">
        <f t="shared" si="25"/>
        <v>7303.723692999225</v>
      </c>
      <c r="AK29" s="2">
        <f t="shared" si="25"/>
        <v>7684.2418667325419</v>
      </c>
      <c r="AL29" s="2">
        <f t="shared" ref="AL29" si="26">+AL280*AL48</f>
        <v>8093.6222767837717</v>
      </c>
      <c r="AM29" s="2"/>
      <c r="AN29" s="8"/>
    </row>
    <row r="30" spans="1:40">
      <c r="A30" s="2"/>
      <c r="B30" s="510" t="s">
        <v>1250</v>
      </c>
      <c r="C30" s="14" t="s">
        <v>732</v>
      </c>
      <c r="D30" s="2"/>
      <c r="E30" s="2"/>
      <c r="F30" s="2"/>
      <c r="G30" s="2"/>
      <c r="H30" s="2"/>
      <c r="I30" s="2"/>
      <c r="J30" s="2"/>
      <c r="K30" s="2"/>
      <c r="L30" s="2"/>
      <c r="M30" s="2"/>
      <c r="N30" s="2"/>
      <c r="O30" s="2"/>
      <c r="P30" s="2"/>
      <c r="Q30" s="2"/>
      <c r="R30" s="2"/>
      <c r="S30" s="2"/>
      <c r="T30" s="168"/>
      <c r="U30" s="2"/>
      <c r="V30" s="2"/>
      <c r="W30" s="736">
        <v>1038</v>
      </c>
      <c r="X30" s="736">
        <v>567</v>
      </c>
      <c r="Y30" s="736">
        <v>273</v>
      </c>
      <c r="Z30" s="736">
        <v>55</v>
      </c>
      <c r="AA30" s="736">
        <v>135</v>
      </c>
      <c r="AB30" s="736">
        <v>254</v>
      </c>
      <c r="AC30" s="736">
        <v>363</v>
      </c>
      <c r="AD30" s="2">
        <f t="shared" si="25"/>
        <v>371.98082615146257</v>
      </c>
      <c r="AE30" s="2">
        <f t="shared" si="25"/>
        <v>377.28422474504259</v>
      </c>
      <c r="AF30" s="2">
        <f t="shared" si="25"/>
        <v>385.69202129852937</v>
      </c>
      <c r="AG30" s="2">
        <f t="shared" si="25"/>
        <v>397.40919545029527</v>
      </c>
      <c r="AH30" s="2">
        <f t="shared" si="25"/>
        <v>412.78990839895567</v>
      </c>
      <c r="AI30" s="2">
        <f t="shared" si="25"/>
        <v>432.35658125415296</v>
      </c>
      <c r="AJ30" s="2">
        <f t="shared" si="25"/>
        <v>456.82702978626446</v>
      </c>
      <c r="AK30" s="2">
        <f t="shared" si="25"/>
        <v>487.15104997284396</v>
      </c>
      <c r="AL30" s="2">
        <f t="shared" ref="AL30" si="27">+AL281*AL49</f>
        <v>510.88430859216948</v>
      </c>
      <c r="AM30" s="2"/>
      <c r="AN30" s="8"/>
    </row>
    <row r="31" spans="1:40">
      <c r="A31" s="2"/>
      <c r="B31" s="872" t="s">
        <v>1322</v>
      </c>
      <c r="C31" s="14" t="s">
        <v>732</v>
      </c>
      <c r="D31" s="2"/>
      <c r="E31" s="2"/>
      <c r="F31" s="2"/>
      <c r="G31" s="2"/>
      <c r="H31" s="2"/>
      <c r="I31" s="2"/>
      <c r="J31" s="2"/>
      <c r="K31" s="2"/>
      <c r="L31" s="2"/>
      <c r="M31" s="2"/>
      <c r="N31" s="2"/>
      <c r="O31" s="2"/>
      <c r="P31" s="2"/>
      <c r="Q31" s="2"/>
      <c r="R31" s="2"/>
      <c r="S31" s="2"/>
      <c r="T31" s="168"/>
      <c r="U31" s="2"/>
      <c r="V31" s="2"/>
      <c r="W31" s="736">
        <v>859</v>
      </c>
      <c r="X31" s="736">
        <v>797</v>
      </c>
      <c r="Y31" s="736">
        <v>663</v>
      </c>
      <c r="Z31" s="736">
        <f>Z33-Z32</f>
        <v>350</v>
      </c>
      <c r="AA31" s="736">
        <f>AA33-AA32</f>
        <v>101</v>
      </c>
      <c r="AB31" s="736">
        <v>95</v>
      </c>
      <c r="AC31" s="736">
        <v>86</v>
      </c>
      <c r="AD31" s="2">
        <f t="shared" si="25"/>
        <v>40.379068388571419</v>
      </c>
      <c r="AE31" s="2">
        <f t="shared" si="25"/>
        <v>36.498482595384033</v>
      </c>
      <c r="AF31" s="2">
        <f t="shared" si="25"/>
        <v>32.990836216087388</v>
      </c>
      <c r="AG31" s="2">
        <f t="shared" si="25"/>
        <v>29.820288319995868</v>
      </c>
      <c r="AH31" s="2">
        <f t="shared" si="25"/>
        <v>26.954442429502762</v>
      </c>
      <c r="AI31" s="2">
        <f t="shared" si="25"/>
        <v>24.364015494719382</v>
      </c>
      <c r="AJ31" s="2">
        <f t="shared" si="25"/>
        <v>22.022538680941146</v>
      </c>
      <c r="AK31" s="2">
        <f t="shared" si="25"/>
        <v>19.906086911603946</v>
      </c>
      <c r="AL31" s="2">
        <f t="shared" ref="AL31" si="28">+AL282*AL50</f>
        <v>17.993034403216036</v>
      </c>
      <c r="AM31" s="2"/>
      <c r="AN31" s="8"/>
    </row>
    <row r="32" spans="1:40">
      <c r="A32" s="2"/>
      <c r="B32" s="872" t="s">
        <v>1323</v>
      </c>
      <c r="C32" s="14" t="s">
        <v>732</v>
      </c>
      <c r="D32" s="2"/>
      <c r="E32" s="2"/>
      <c r="F32" s="2"/>
      <c r="G32" s="2"/>
      <c r="H32" s="2"/>
      <c r="I32" s="2"/>
      <c r="J32" s="2"/>
      <c r="K32" s="2"/>
      <c r="L32" s="2"/>
      <c r="M32" s="2"/>
      <c r="N32" s="2"/>
      <c r="O32" s="2"/>
      <c r="P32" s="2"/>
      <c r="Q32" s="2"/>
      <c r="R32" s="2"/>
      <c r="S32" s="2"/>
      <c r="T32" s="168"/>
      <c r="U32" s="2"/>
      <c r="V32" s="2"/>
      <c r="W32" s="736">
        <v>365</v>
      </c>
      <c r="X32" s="736">
        <v>352</v>
      </c>
      <c r="Y32" s="736">
        <v>224</v>
      </c>
      <c r="Z32" s="736">
        <v>310</v>
      </c>
      <c r="AA32" s="736">
        <v>310</v>
      </c>
      <c r="AB32" s="736">
        <v>41</v>
      </c>
      <c r="AC32" s="736">
        <v>153</v>
      </c>
      <c r="AD32" s="2">
        <f t="shared" si="25"/>
        <v>126.65283150661753</v>
      </c>
      <c r="AE32" s="2">
        <f t="shared" si="25"/>
        <v>129.19490280029251</v>
      </c>
      <c r="AF32" s="2">
        <f t="shared" si="25"/>
        <v>132.7377453505502</v>
      </c>
      <c r="AG32" s="2">
        <f t="shared" si="25"/>
        <v>137.15118392882309</v>
      </c>
      <c r="AH32" s="2">
        <f t="shared" si="25"/>
        <v>142.3452949667589</v>
      </c>
      <c r="AI32" s="2">
        <f t="shared" si="25"/>
        <v>148.26072293884863</v>
      </c>
      <c r="AJ32" s="2">
        <f t="shared" si="25"/>
        <v>154.86150207198583</v>
      </c>
      <c r="AK32" s="2">
        <f t="shared" si="25"/>
        <v>162.12974815884729</v>
      </c>
      <c r="AL32" s="2">
        <f t="shared" ref="AL32" si="29">+AL283*AL51</f>
        <v>170.0617473325141</v>
      </c>
      <c r="AM32" s="2"/>
      <c r="AN32" s="8"/>
    </row>
    <row r="33" spans="1:40">
      <c r="A33" s="8"/>
      <c r="B33" s="8" t="s">
        <v>1324</v>
      </c>
      <c r="C33" s="14" t="s">
        <v>732</v>
      </c>
      <c r="D33" s="8"/>
      <c r="E33" s="8"/>
      <c r="F33" s="8"/>
      <c r="G33" s="8"/>
      <c r="H33" s="8"/>
      <c r="I33" s="8"/>
      <c r="J33" s="8"/>
      <c r="K33" s="8"/>
      <c r="L33" s="8"/>
      <c r="M33" s="8"/>
      <c r="N33" s="8"/>
      <c r="O33" s="8"/>
      <c r="P33" s="8"/>
      <c r="Q33" s="8"/>
      <c r="R33" s="8"/>
      <c r="S33" s="8"/>
      <c r="T33" s="873"/>
      <c r="U33" s="8"/>
      <c r="V33" s="8"/>
      <c r="W33" s="874">
        <f>SUM(W31:W32)</f>
        <v>1224</v>
      </c>
      <c r="X33" s="874">
        <f>SUM(X31:X32)</f>
        <v>1149</v>
      </c>
      <c r="Y33" s="874">
        <f>SUM(Y31:Y32)</f>
        <v>887</v>
      </c>
      <c r="Z33" s="736">
        <v>660</v>
      </c>
      <c r="AA33" s="736">
        <v>411</v>
      </c>
      <c r="AB33" s="736">
        <v>136</v>
      </c>
      <c r="AC33" s="736">
        <v>239</v>
      </c>
      <c r="AD33" s="874">
        <f t="shared" ref="AD33:AK33" si="30">SUM(AD31:AD32)</f>
        <v>167.03189989518896</v>
      </c>
      <c r="AE33" s="874">
        <f t="shared" si="30"/>
        <v>165.69338539567656</v>
      </c>
      <c r="AF33" s="874">
        <f t="shared" si="30"/>
        <v>165.72858156663759</v>
      </c>
      <c r="AG33" s="874">
        <f t="shared" si="30"/>
        <v>166.97147224881894</v>
      </c>
      <c r="AH33" s="874">
        <f t="shared" si="30"/>
        <v>169.29973739626166</v>
      </c>
      <c r="AI33" s="874">
        <f t="shared" si="30"/>
        <v>172.62473843356801</v>
      </c>
      <c r="AJ33" s="874">
        <f t="shared" si="30"/>
        <v>176.88404075292698</v>
      </c>
      <c r="AK33" s="874">
        <f t="shared" si="30"/>
        <v>182.03583507045124</v>
      </c>
      <c r="AL33" s="874">
        <f t="shared" ref="AL33" si="31">SUM(AL31:AL32)</f>
        <v>188.05478173573013</v>
      </c>
      <c r="AM33" s="8"/>
      <c r="AN33" s="8"/>
    </row>
    <row r="34" spans="1:40">
      <c r="A34" s="2"/>
      <c r="B34" s="510" t="s">
        <v>1321</v>
      </c>
      <c r="C34" s="14" t="s">
        <v>732</v>
      </c>
      <c r="D34" s="2"/>
      <c r="E34" s="2"/>
      <c r="F34" s="2"/>
      <c r="G34" s="2"/>
      <c r="H34" s="2"/>
      <c r="I34" s="2"/>
      <c r="J34" s="2"/>
      <c r="K34" s="2"/>
      <c r="L34" s="2"/>
      <c r="M34" s="2"/>
      <c r="N34" s="2"/>
      <c r="O34" s="2"/>
      <c r="P34" s="2"/>
      <c r="Q34" s="2"/>
      <c r="R34" s="2"/>
      <c r="S34" s="2"/>
      <c r="T34" s="168"/>
      <c r="U34" s="2"/>
      <c r="V34" s="2"/>
      <c r="W34" s="736">
        <v>1187</v>
      </c>
      <c r="X34" s="736">
        <v>897</v>
      </c>
      <c r="Y34" s="736">
        <v>621</v>
      </c>
      <c r="Z34" s="736">
        <v>159</v>
      </c>
      <c r="AA34" s="736">
        <v>117</v>
      </c>
      <c r="AB34" s="736">
        <v>94</v>
      </c>
      <c r="AC34" s="736">
        <v>82</v>
      </c>
      <c r="AD34" s="2">
        <f t="shared" ref="AD34:AK36" si="32">+AD285*AD53</f>
        <v>68.29356231917869</v>
      </c>
      <c r="AE34" s="2">
        <f t="shared" si="32"/>
        <v>67.825910966733844</v>
      </c>
      <c r="AF34" s="2">
        <f t="shared" si="32"/>
        <v>68.458827333090355</v>
      </c>
      <c r="AG34" s="2">
        <f t="shared" si="32"/>
        <v>70.276597916275861</v>
      </c>
      <c r="AH34" s="2">
        <f t="shared" si="32"/>
        <v>73.388928474647784</v>
      </c>
      <c r="AI34" s="2">
        <f t="shared" si="32"/>
        <v>77.934477593826955</v>
      </c>
      <c r="AJ34" s="2">
        <f t="shared" si="32"/>
        <v>84.08511012980982</v>
      </c>
      <c r="AK34" s="2">
        <f t="shared" si="32"/>
        <v>92.050989733383048</v>
      </c>
      <c r="AL34" s="2">
        <f t="shared" ref="AL34" si="33">+AL285*AL53</f>
        <v>102.08665164899743</v>
      </c>
      <c r="AM34" s="2"/>
      <c r="AN34" s="2"/>
    </row>
    <row r="35" spans="1:40">
      <c r="A35" s="2"/>
      <c r="B35" s="510" t="s">
        <v>237</v>
      </c>
      <c r="C35" s="14" t="s">
        <v>732</v>
      </c>
      <c r="D35" s="2"/>
      <c r="E35" s="2"/>
      <c r="F35" s="2"/>
      <c r="G35" s="2"/>
      <c r="H35" s="2"/>
      <c r="I35" s="2"/>
      <c r="J35" s="2"/>
      <c r="K35" s="2"/>
      <c r="L35" s="2"/>
      <c r="M35" s="2"/>
      <c r="N35" s="2"/>
      <c r="O35" s="2"/>
      <c r="P35" s="2"/>
      <c r="Q35" s="2"/>
      <c r="R35" s="2"/>
      <c r="S35" s="2"/>
      <c r="T35" s="168"/>
      <c r="U35" s="2"/>
      <c r="V35" s="2"/>
      <c r="W35" s="736">
        <v>271</v>
      </c>
      <c r="X35" s="736">
        <v>377</v>
      </c>
      <c r="Y35" s="736">
        <v>336</v>
      </c>
      <c r="Z35" s="736">
        <v>387</v>
      </c>
      <c r="AA35" s="736">
        <v>713</v>
      </c>
      <c r="AB35" s="736">
        <v>774</v>
      </c>
      <c r="AC35" s="736">
        <v>678</v>
      </c>
      <c r="AD35" s="2">
        <f t="shared" si="32"/>
        <v>691.96998040346409</v>
      </c>
      <c r="AE35" s="2">
        <f t="shared" si="32"/>
        <v>706.38192062259589</v>
      </c>
      <c r="AF35" s="2">
        <f t="shared" si="32"/>
        <v>719.05334825527893</v>
      </c>
      <c r="AG35" s="2">
        <f t="shared" si="32"/>
        <v>732.04413886081738</v>
      </c>
      <c r="AH35" s="2">
        <f t="shared" si="32"/>
        <v>745.36265773127491</v>
      </c>
      <c r="AI35" s="2">
        <f t="shared" si="32"/>
        <v>759.01749680553371</v>
      </c>
      <c r="AJ35" s="2">
        <f t="shared" si="32"/>
        <v>773.01748098246196</v>
      </c>
      <c r="AK35" s="2">
        <f t="shared" si="32"/>
        <v>787.37167461374827</v>
      </c>
      <c r="AL35" s="2">
        <f t="shared" ref="AL35" si="34">+AL286*AL54</f>
        <v>801.99241186128313</v>
      </c>
      <c r="AM35" s="2"/>
      <c r="AN35" s="2"/>
    </row>
    <row r="36" spans="1:40">
      <c r="A36" s="2"/>
      <c r="B36" s="510" t="s">
        <v>1462</v>
      </c>
      <c r="C36" s="14" t="s">
        <v>732</v>
      </c>
      <c r="D36" s="2"/>
      <c r="E36" s="2"/>
      <c r="F36" s="2"/>
      <c r="G36" s="2"/>
      <c r="H36" s="2"/>
      <c r="I36" s="2"/>
      <c r="J36" s="2"/>
      <c r="K36" s="2"/>
      <c r="L36" s="2"/>
      <c r="M36" s="2"/>
      <c r="N36" s="2"/>
      <c r="O36" s="2"/>
      <c r="P36" s="2"/>
      <c r="Q36" s="2"/>
      <c r="R36" s="2"/>
      <c r="S36" s="2"/>
      <c r="T36" s="168"/>
      <c r="U36" s="2"/>
      <c r="V36" s="2"/>
      <c r="W36" s="736">
        <v>731</v>
      </c>
      <c r="X36" s="736">
        <v>820</v>
      </c>
      <c r="Y36" s="736">
        <v>860</v>
      </c>
      <c r="Z36" s="736">
        <f>1655</f>
        <v>1655</v>
      </c>
      <c r="AA36" s="736">
        <v>1663</v>
      </c>
      <c r="AB36" s="736">
        <v>1759</v>
      </c>
      <c r="AC36" s="736">
        <v>1813</v>
      </c>
      <c r="AD36" s="2">
        <f t="shared" si="32"/>
        <v>1835.1373321033213</v>
      </c>
      <c r="AE36" s="2">
        <f t="shared" si="32"/>
        <v>1857.91811195572</v>
      </c>
      <c r="AF36" s="2">
        <f t="shared" si="32"/>
        <v>1881.3823152036905</v>
      </c>
      <c r="AG36" s="2">
        <f t="shared" si="32"/>
        <v>1905.5504445491001</v>
      </c>
      <c r="AH36" s="2">
        <f t="shared" si="32"/>
        <v>1930.4436177748717</v>
      </c>
      <c r="AI36" s="2">
        <f t="shared" si="32"/>
        <v>1956.0835861974167</v>
      </c>
      <c r="AJ36" s="2">
        <f t="shared" si="32"/>
        <v>1982.4927536726386</v>
      </c>
      <c r="AK36" s="2">
        <f t="shared" si="32"/>
        <v>2009.6941961721166</v>
      </c>
      <c r="AL36" s="2">
        <f t="shared" ref="AL36" si="35">+AL287*AL55</f>
        <v>2037.7116819465791</v>
      </c>
      <c r="AM36" s="2"/>
      <c r="AN36" s="2"/>
    </row>
    <row r="37" spans="1:40">
      <c r="A37" s="2"/>
      <c r="B37" s="510" t="s">
        <v>1459</v>
      </c>
      <c r="C37" s="14" t="s">
        <v>732</v>
      </c>
      <c r="D37" s="2"/>
      <c r="E37" s="2"/>
      <c r="F37" s="2"/>
      <c r="G37" s="2"/>
      <c r="H37" s="2"/>
      <c r="I37" s="2"/>
      <c r="J37" s="2"/>
      <c r="K37" s="2"/>
      <c r="L37" s="2"/>
      <c r="M37" s="2"/>
      <c r="N37" s="2"/>
      <c r="O37" s="2"/>
      <c r="P37" s="2"/>
      <c r="Q37" s="2"/>
      <c r="R37" s="2"/>
      <c r="S37" s="2"/>
      <c r="T37" s="168"/>
      <c r="U37" s="2"/>
      <c r="V37" s="2"/>
      <c r="W37" s="736"/>
      <c r="X37" s="736"/>
      <c r="Y37" s="736"/>
      <c r="Z37" s="736">
        <v>294</v>
      </c>
      <c r="AA37" s="736">
        <v>318</v>
      </c>
      <c r="AB37" s="736">
        <v>369</v>
      </c>
      <c r="AC37" s="736">
        <v>382</v>
      </c>
      <c r="AD37" s="2">
        <f t="shared" ref="AD37:AK37" si="36">+AD290*AD57</f>
        <v>382</v>
      </c>
      <c r="AE37" s="2">
        <f t="shared" si="36"/>
        <v>382</v>
      </c>
      <c r="AF37" s="2">
        <f t="shared" si="36"/>
        <v>382</v>
      </c>
      <c r="AG37" s="2">
        <f t="shared" si="36"/>
        <v>382</v>
      </c>
      <c r="AH37" s="2">
        <f t="shared" si="36"/>
        <v>382</v>
      </c>
      <c r="AI37" s="2">
        <f t="shared" si="36"/>
        <v>382</v>
      </c>
      <c r="AJ37" s="2">
        <f t="shared" si="36"/>
        <v>382</v>
      </c>
      <c r="AK37" s="2">
        <f t="shared" si="36"/>
        <v>382</v>
      </c>
      <c r="AL37" s="2">
        <f t="shared" ref="AL37" si="37">+AL290*AL57</f>
        <v>382</v>
      </c>
      <c r="AM37" s="2"/>
      <c r="AN37" s="2"/>
    </row>
    <row r="38" spans="1:40">
      <c r="A38" s="2"/>
      <c r="B38" s="510" t="s">
        <v>1269</v>
      </c>
      <c r="C38" s="14" t="s">
        <v>732</v>
      </c>
      <c r="D38" s="2"/>
      <c r="E38" s="2"/>
      <c r="F38" s="2"/>
      <c r="G38" s="2"/>
      <c r="H38" s="2"/>
      <c r="I38" s="2"/>
      <c r="J38" s="2"/>
      <c r="K38" s="2"/>
      <c r="L38" s="2"/>
      <c r="M38" s="2"/>
      <c r="N38" s="2"/>
      <c r="O38" s="2"/>
      <c r="P38" s="2"/>
      <c r="Q38" s="2"/>
      <c r="R38" s="2"/>
      <c r="S38" s="2"/>
      <c r="T38" s="168"/>
      <c r="U38" s="2"/>
      <c r="V38" s="2"/>
      <c r="W38" s="736">
        <v>-5</v>
      </c>
      <c r="X38" s="736">
        <v>122</v>
      </c>
      <c r="Y38" s="736">
        <v>65</v>
      </c>
      <c r="Z38" s="736">
        <v>60</v>
      </c>
      <c r="AA38" s="736">
        <v>-9</v>
      </c>
      <c r="AB38" s="736">
        <v>-169</v>
      </c>
      <c r="AC38" s="736">
        <v>-197</v>
      </c>
      <c r="AD38" s="2">
        <f t="shared" ref="AD38:AK38" si="38">+AD288*AD58</f>
        <v>-200.94000000000003</v>
      </c>
      <c r="AE38" s="2">
        <f t="shared" si="38"/>
        <v>-204.95880000000005</v>
      </c>
      <c r="AF38" s="2">
        <f t="shared" si="38"/>
        <v>-209.05797600000002</v>
      </c>
      <c r="AG38" s="2">
        <f t="shared" si="38"/>
        <v>-213.23913552000002</v>
      </c>
      <c r="AH38" s="2">
        <f t="shared" si="38"/>
        <v>-217.50391823040005</v>
      </c>
      <c r="AI38" s="2">
        <f t="shared" si="38"/>
        <v>-221.85399659500806</v>
      </c>
      <c r="AJ38" s="2">
        <f t="shared" si="38"/>
        <v>-226.29107652690826</v>
      </c>
      <c r="AK38" s="2">
        <f t="shared" si="38"/>
        <v>-230.81689805744642</v>
      </c>
      <c r="AL38" s="2">
        <f t="shared" ref="AL38" si="39">+AL288*AL58</f>
        <v>-235.43323601859535</v>
      </c>
      <c r="AM38" s="2"/>
      <c r="AN38" s="2"/>
    </row>
    <row r="39" spans="1:40">
      <c r="A39" s="2"/>
      <c r="B39" s="510" t="s">
        <v>1440</v>
      </c>
      <c r="C39" s="14" t="s">
        <v>732</v>
      </c>
      <c r="D39" s="2"/>
      <c r="E39" s="2"/>
      <c r="F39" s="2"/>
      <c r="G39" s="2"/>
      <c r="H39" s="2"/>
      <c r="I39" s="2"/>
      <c r="J39" s="2"/>
      <c r="K39" s="2"/>
      <c r="L39" s="2"/>
      <c r="M39" s="2"/>
      <c r="N39" s="2"/>
      <c r="O39" s="2"/>
      <c r="P39" s="2"/>
      <c r="Q39" s="2"/>
      <c r="R39" s="2"/>
      <c r="S39" s="2"/>
      <c r="T39" s="168"/>
      <c r="U39" s="2"/>
      <c r="V39" s="2"/>
      <c r="W39" s="736"/>
      <c r="X39" s="736"/>
      <c r="Y39" s="736"/>
      <c r="Z39" s="2"/>
      <c r="AA39" s="2"/>
      <c r="AB39" s="2"/>
      <c r="AC39" s="2"/>
      <c r="AD39" s="2">
        <f>'Revenue Assumptions'!AK62*AD56</f>
        <v>140.1</v>
      </c>
      <c r="AE39" s="2">
        <f t="shared" ref="AE39:AK39" si="40">AE289*AE56</f>
        <v>140.1</v>
      </c>
      <c r="AF39" s="2">
        <f t="shared" si="40"/>
        <v>140.1</v>
      </c>
      <c r="AG39" s="2">
        <f t="shared" si="40"/>
        <v>140.1</v>
      </c>
      <c r="AH39" s="2">
        <f t="shared" si="40"/>
        <v>140.1</v>
      </c>
      <c r="AI39" s="2">
        <f t="shared" si="40"/>
        <v>140.1</v>
      </c>
      <c r="AJ39" s="2">
        <f t="shared" si="40"/>
        <v>140.1</v>
      </c>
      <c r="AK39" s="2">
        <f t="shared" si="40"/>
        <v>140.1</v>
      </c>
      <c r="AL39" s="2">
        <f t="shared" ref="AL39" si="41">AL289*AL56</f>
        <v>140.1</v>
      </c>
      <c r="AM39" s="2"/>
      <c r="AN39" s="2"/>
    </row>
    <row r="40" spans="1:40">
      <c r="A40" s="9"/>
      <c r="B40" s="9" t="s">
        <v>1319</v>
      </c>
      <c r="C40" s="48" t="s">
        <v>732</v>
      </c>
      <c r="D40" s="9"/>
      <c r="E40" s="9"/>
      <c r="F40" s="9"/>
      <c r="G40" s="9"/>
      <c r="H40" s="9"/>
      <c r="I40" s="9"/>
      <c r="J40" s="9"/>
      <c r="K40" s="9"/>
      <c r="L40" s="9"/>
      <c r="M40" s="9"/>
      <c r="N40" s="9"/>
      <c r="O40" s="9"/>
      <c r="P40" s="9"/>
      <c r="Q40" s="9"/>
      <c r="R40" s="9"/>
      <c r="S40" s="9"/>
      <c r="T40" s="875"/>
      <c r="U40" s="9"/>
      <c r="V40" s="9"/>
      <c r="W40" s="876">
        <f t="shared" ref="W40:AB40" si="42">SUM(W34:W38, W33, W29:W30)</f>
        <v>8203</v>
      </c>
      <c r="X40" s="876">
        <f t="shared" si="42"/>
        <v>7409</v>
      </c>
      <c r="Y40" s="876">
        <f t="shared" si="42"/>
        <v>6689</v>
      </c>
      <c r="Z40" s="876">
        <f t="shared" si="42"/>
        <v>7251</v>
      </c>
      <c r="AA40" s="876">
        <f t="shared" si="42"/>
        <v>7950</v>
      </c>
      <c r="AB40" s="876">
        <f t="shared" si="42"/>
        <v>8243</v>
      </c>
      <c r="AC40" s="876">
        <f t="shared" ref="AC40" si="43">SUM(AC34:AC38, AC33, AC29:AC30)</f>
        <v>8621</v>
      </c>
      <c r="AD40" s="876">
        <f t="shared" ref="AD40:AK40" si="44">SUM(AD34:AD39, AD33, AD29:AD30)</f>
        <v>8962.3524705260606</v>
      </c>
      <c r="AE40" s="876">
        <f t="shared" si="44"/>
        <v>9249.6083445247623</v>
      </c>
      <c r="AF40" s="876">
        <f t="shared" si="44"/>
        <v>9558.7296004252148</v>
      </c>
      <c r="AG40" s="876">
        <f t="shared" si="44"/>
        <v>9893.445947740649</v>
      </c>
      <c r="AH40" s="876">
        <f t="shared" si="44"/>
        <v>10255.7176868312</v>
      </c>
      <c r="AI40" s="876">
        <f t="shared" si="44"/>
        <v>10647.910275334412</v>
      </c>
      <c r="AJ40" s="876">
        <f t="shared" si="44"/>
        <v>11072.839031796417</v>
      </c>
      <c r="AK40" s="876">
        <f t="shared" si="44"/>
        <v>11533.828714237639</v>
      </c>
      <c r="AL40" s="876">
        <f t="shared" ref="AL40" si="45">SUM(AL34:AL39, AL33, AL29:AL30)</f>
        <v>12021.018876549935</v>
      </c>
      <c r="AM40" s="9"/>
      <c r="AN40" s="9"/>
    </row>
    <row r="41" spans="1:40">
      <c r="A41" s="2"/>
      <c r="B41" s="510" t="s">
        <v>1326</v>
      </c>
      <c r="C41" s="14" t="s">
        <v>732</v>
      </c>
      <c r="D41" s="2"/>
      <c r="E41" s="2"/>
      <c r="F41" s="2"/>
      <c r="G41" s="2"/>
      <c r="H41" s="2"/>
      <c r="I41" s="2"/>
      <c r="J41" s="2"/>
      <c r="K41" s="2"/>
      <c r="L41" s="2"/>
      <c r="M41" s="2"/>
      <c r="N41" s="2"/>
      <c r="O41" s="2"/>
      <c r="P41" s="2"/>
      <c r="Q41" s="2"/>
      <c r="R41" s="2"/>
      <c r="S41" s="2"/>
      <c r="T41" s="168"/>
      <c r="U41" s="2"/>
      <c r="V41" s="2"/>
      <c r="W41" s="736">
        <v>1613</v>
      </c>
      <c r="X41" s="736">
        <v>1536</v>
      </c>
      <c r="Y41" s="736">
        <v>802</v>
      </c>
      <c r="Z41" s="736">
        <v>233</v>
      </c>
      <c r="AA41" s="736">
        <v>37</v>
      </c>
      <c r="AB41" s="736">
        <v>0</v>
      </c>
      <c r="AC41" s="736">
        <v>1</v>
      </c>
      <c r="AD41">
        <f>'Revenue Assumptions'!AK474</f>
        <v>9.9475983006414026E-14</v>
      </c>
      <c r="AE41">
        <f>'Revenue Assumptions'!AL474</f>
        <v>9.9475983006414026E-14</v>
      </c>
      <c r="AF41">
        <f>'Revenue Assumptions'!AM474</f>
        <v>9.9475983006414026E-14</v>
      </c>
      <c r="AG41">
        <f>'Revenue Assumptions'!AN474</f>
        <v>9.9475983006414026E-14</v>
      </c>
      <c r="AH41">
        <f>'Revenue Assumptions'!AO474</f>
        <v>9.9475983006414026E-14</v>
      </c>
      <c r="AI41">
        <f>'Revenue Assumptions'!AP474</f>
        <v>9.9475983006414026E-14</v>
      </c>
      <c r="AJ41">
        <f>'Revenue Assumptions'!AQ474</f>
        <v>9.9475983006414026E-14</v>
      </c>
      <c r="AK41">
        <f>'Revenue Assumptions'!AR474</f>
        <v>9.9475983006414026E-14</v>
      </c>
      <c r="AL41">
        <f>'Revenue Assumptions'!AS474</f>
        <v>9.9475983006414026E-14</v>
      </c>
      <c r="AM41" s="2"/>
      <c r="AN41" s="2"/>
    </row>
    <row r="42" spans="1:40">
      <c r="A42" s="2"/>
      <c r="B42" s="510" t="s">
        <v>1069</v>
      </c>
      <c r="C42" s="14" t="s">
        <v>732</v>
      </c>
      <c r="D42" s="2"/>
      <c r="E42" s="2"/>
      <c r="F42" s="2"/>
      <c r="G42" s="2"/>
      <c r="H42" s="2"/>
      <c r="I42" s="2"/>
      <c r="J42" s="2"/>
      <c r="K42" s="2"/>
      <c r="L42" s="2"/>
      <c r="M42" s="2"/>
      <c r="N42" s="2"/>
      <c r="O42" s="2"/>
      <c r="P42" s="2"/>
      <c r="Q42" s="2"/>
      <c r="R42" s="2"/>
      <c r="S42" s="2"/>
      <c r="T42" s="168"/>
      <c r="U42" s="2"/>
      <c r="V42" s="2"/>
      <c r="W42" s="736">
        <v>-801</v>
      </c>
      <c r="X42" s="736">
        <v>-246</v>
      </c>
      <c r="Y42" s="736">
        <v>-211</v>
      </c>
      <c r="Z42" s="736">
        <v>-71</v>
      </c>
      <c r="AA42" s="736">
        <v>-125</v>
      </c>
      <c r="AB42" s="736"/>
      <c r="AC42" s="736"/>
      <c r="AD42" s="638"/>
      <c r="AE42" s="638"/>
      <c r="AF42" s="638"/>
      <c r="AG42" s="638"/>
      <c r="AH42" s="638"/>
      <c r="AI42" s="638"/>
      <c r="AJ42" s="638"/>
      <c r="AK42" s="638"/>
      <c r="AL42" s="638"/>
      <c r="AM42" s="2"/>
      <c r="AN42" s="2"/>
    </row>
    <row r="43" spans="1:40">
      <c r="A43" s="2"/>
      <c r="B43" s="510" t="s">
        <v>1165</v>
      </c>
      <c r="C43" s="14" t="s">
        <v>732</v>
      </c>
      <c r="D43" s="2"/>
      <c r="E43" s="2"/>
      <c r="F43" s="2"/>
      <c r="G43" s="2"/>
      <c r="H43" s="2"/>
      <c r="I43" s="2"/>
      <c r="J43" s="2"/>
      <c r="K43" s="2"/>
      <c r="L43" s="2"/>
      <c r="M43" s="2"/>
      <c r="N43" s="2"/>
      <c r="O43" s="2"/>
      <c r="P43" s="2"/>
      <c r="Q43" s="2"/>
      <c r="R43" s="2"/>
      <c r="S43" s="2"/>
      <c r="T43" s="168"/>
      <c r="U43" s="2"/>
      <c r="V43" s="2"/>
      <c r="W43" s="736">
        <v>-581</v>
      </c>
      <c r="X43" s="736">
        <v>-288</v>
      </c>
      <c r="Y43" s="736">
        <v>164</v>
      </c>
      <c r="Z43" s="736">
        <v>-157</v>
      </c>
      <c r="AA43" s="736"/>
      <c r="AB43" s="736">
        <v>-715</v>
      </c>
      <c r="AC43" s="736">
        <v>-14</v>
      </c>
      <c r="AD43" s="638"/>
      <c r="AE43" s="638"/>
      <c r="AF43" s="638"/>
      <c r="AG43" s="638"/>
      <c r="AH43" s="638"/>
      <c r="AI43" s="638"/>
      <c r="AJ43" s="638"/>
      <c r="AK43" s="638"/>
      <c r="AL43" s="638"/>
      <c r="AM43" s="2"/>
      <c r="AN43" s="2"/>
    </row>
    <row r="44" spans="1:40">
      <c r="A44" s="9"/>
      <c r="B44" s="9" t="s">
        <v>1327</v>
      </c>
      <c r="C44" s="48" t="s">
        <v>732</v>
      </c>
      <c r="D44" s="9"/>
      <c r="E44" s="9"/>
      <c r="F44" s="9"/>
      <c r="G44" s="9"/>
      <c r="H44" s="9"/>
      <c r="I44" s="9"/>
      <c r="J44" s="9"/>
      <c r="K44" s="9"/>
      <c r="L44" s="9"/>
      <c r="M44" s="9"/>
      <c r="N44" s="9"/>
      <c r="O44" s="9"/>
      <c r="P44" s="9"/>
      <c r="Q44" s="9"/>
      <c r="R44" s="9"/>
      <c r="S44" s="9"/>
      <c r="T44" s="875"/>
      <c r="U44" s="9"/>
      <c r="V44" s="9"/>
      <c r="W44" s="305">
        <f t="shared" ref="W44:AK44" si="46">SUM(W40:W43)</f>
        <v>8434</v>
      </c>
      <c r="X44" s="305">
        <f t="shared" si="46"/>
        <v>8411</v>
      </c>
      <c r="Y44" s="305">
        <f t="shared" si="46"/>
        <v>7444</v>
      </c>
      <c r="Z44" s="305">
        <f t="shared" si="46"/>
        <v>7256</v>
      </c>
      <c r="AA44" s="305">
        <f t="shared" si="46"/>
        <v>7862</v>
      </c>
      <c r="AB44" s="305">
        <f t="shared" si="46"/>
        <v>7528</v>
      </c>
      <c r="AC44" s="305">
        <f t="shared" ref="AC44" si="47">SUM(AC40:AC43)</f>
        <v>8608</v>
      </c>
      <c r="AD44" s="305">
        <f t="shared" si="46"/>
        <v>8962.3524705260606</v>
      </c>
      <c r="AE44" s="305">
        <f t="shared" si="46"/>
        <v>9249.6083445247623</v>
      </c>
      <c r="AF44" s="305">
        <f t="shared" si="46"/>
        <v>9558.7296004252148</v>
      </c>
      <c r="AG44" s="305">
        <f t="shared" si="46"/>
        <v>9893.445947740649</v>
      </c>
      <c r="AH44" s="305">
        <f t="shared" si="46"/>
        <v>10255.7176868312</v>
      </c>
      <c r="AI44" s="305">
        <f t="shared" si="46"/>
        <v>10647.910275334412</v>
      </c>
      <c r="AJ44" s="305">
        <f t="shared" si="46"/>
        <v>11072.839031796417</v>
      </c>
      <c r="AK44" s="305">
        <f t="shared" si="46"/>
        <v>11533.828714237639</v>
      </c>
      <c r="AL44" s="305">
        <f t="shared" ref="AL44" si="48">SUM(AL40:AL43)</f>
        <v>12021.018876549935</v>
      </c>
      <c r="AM44" s="9"/>
      <c r="AN44" s="9"/>
    </row>
    <row r="45" spans="1:40">
      <c r="A45" s="2"/>
      <c r="B45" s="2"/>
      <c r="C45" s="18"/>
      <c r="D45" s="2"/>
      <c r="E45" s="2"/>
      <c r="F45" s="2"/>
      <c r="G45" s="2"/>
      <c r="H45" s="2"/>
      <c r="I45" s="2"/>
      <c r="J45" s="2"/>
      <c r="K45" s="2"/>
      <c r="L45" s="2"/>
      <c r="M45" s="2"/>
      <c r="N45" s="2"/>
      <c r="O45" s="2"/>
      <c r="P45" s="2"/>
      <c r="Q45" s="2"/>
      <c r="R45" s="2"/>
      <c r="S45" s="2"/>
      <c r="T45" s="168"/>
      <c r="U45" s="2"/>
      <c r="V45" s="2"/>
      <c r="W45" s="2"/>
      <c r="X45" s="2"/>
      <c r="Y45" s="2"/>
      <c r="Z45" s="938"/>
      <c r="AA45" s="938"/>
      <c r="AB45" s="938"/>
      <c r="AC45" s="938"/>
      <c r="AD45" s="2"/>
      <c r="AE45" s="2"/>
      <c r="AF45" s="2"/>
      <c r="AG45" s="2"/>
      <c r="AH45" s="2"/>
      <c r="AI45" s="2"/>
      <c r="AJ45" s="2"/>
      <c r="AK45" s="2"/>
      <c r="AL45" s="2"/>
      <c r="AM45" s="2"/>
      <c r="AN45" s="2"/>
    </row>
    <row r="46" spans="1:40" ht="15.6">
      <c r="A46" s="2"/>
      <c r="B46" s="237" t="s">
        <v>1174</v>
      </c>
      <c r="C46" s="238"/>
      <c r="D46" s="239"/>
      <c r="E46" s="239"/>
      <c r="F46" s="239"/>
      <c r="G46" s="239"/>
      <c r="H46" s="239"/>
      <c r="I46" s="239"/>
      <c r="J46" s="239"/>
      <c r="K46" s="239"/>
      <c r="L46" s="239"/>
      <c r="M46" s="239"/>
      <c r="N46" s="239"/>
      <c r="O46" s="239"/>
      <c r="P46" s="239"/>
      <c r="Q46" s="239"/>
      <c r="R46" s="239"/>
      <c r="S46" s="239"/>
      <c r="T46" s="239"/>
      <c r="U46" s="239"/>
      <c r="V46" s="239"/>
      <c r="W46" s="239"/>
      <c r="X46" s="239"/>
      <c r="Y46" s="239"/>
      <c r="Z46" s="239"/>
      <c r="AA46" s="239"/>
      <c r="AB46" s="239"/>
      <c r="AC46" s="239"/>
      <c r="AD46" s="239"/>
      <c r="AE46" s="239"/>
      <c r="AF46" s="239"/>
      <c r="AG46" s="239"/>
      <c r="AH46" s="270"/>
      <c r="AI46" s="240"/>
      <c r="AJ46" s="240"/>
      <c r="AK46" s="240"/>
      <c r="AL46" s="240"/>
      <c r="AM46" s="2"/>
      <c r="AN46" s="705"/>
    </row>
    <row r="47" spans="1:40">
      <c r="A47" s="2"/>
      <c r="B47" s="2"/>
      <c r="C47" s="18"/>
      <c r="D47" s="2"/>
      <c r="E47" s="2"/>
      <c r="F47" s="2"/>
      <c r="G47" s="2"/>
      <c r="H47" s="2"/>
      <c r="I47" s="2"/>
      <c r="J47" s="2"/>
      <c r="K47" s="2"/>
      <c r="L47" s="2"/>
      <c r="M47" s="2"/>
      <c r="N47" s="2"/>
      <c r="O47" s="2"/>
      <c r="P47" s="2"/>
      <c r="Q47" s="2"/>
      <c r="R47" s="2"/>
      <c r="S47" s="2"/>
      <c r="T47" s="168"/>
      <c r="U47" s="2"/>
      <c r="V47" s="2"/>
      <c r="W47" s="2"/>
      <c r="X47" s="2"/>
      <c r="Y47" s="2"/>
      <c r="Z47" s="2"/>
      <c r="AA47" s="2"/>
      <c r="AB47" s="2"/>
      <c r="AC47" s="2"/>
      <c r="AD47" s="2"/>
      <c r="AE47" s="2"/>
      <c r="AF47" s="2"/>
      <c r="AG47" s="2"/>
      <c r="AH47" s="2"/>
      <c r="AI47" s="2"/>
      <c r="AJ47" s="2"/>
      <c r="AK47" s="2"/>
      <c r="AL47" s="2"/>
      <c r="AM47" s="2"/>
      <c r="AN47" s="2"/>
    </row>
    <row r="48" spans="1:40">
      <c r="A48" s="2"/>
      <c r="B48" s="164" t="s">
        <v>266</v>
      </c>
      <c r="C48" s="14" t="s">
        <v>733</v>
      </c>
      <c r="D48" s="2"/>
      <c r="E48" s="2"/>
      <c r="F48" s="2"/>
      <c r="G48" s="2"/>
      <c r="H48" s="2"/>
      <c r="I48" s="2"/>
      <c r="J48" s="2"/>
      <c r="K48" s="2"/>
      <c r="L48" s="2"/>
      <c r="M48" s="2"/>
      <c r="N48" s="2"/>
      <c r="O48" s="2"/>
      <c r="P48" s="2"/>
      <c r="Q48" s="2"/>
      <c r="R48" s="2"/>
      <c r="S48" s="2"/>
      <c r="T48" s="168"/>
      <c r="U48" s="2"/>
      <c r="V48" s="2"/>
      <c r="W48" s="366">
        <f t="shared" ref="W48:AB55" si="49">+W29/W280</f>
        <v>0.35280308010141798</v>
      </c>
      <c r="X48" s="366">
        <f t="shared" si="49"/>
        <v>0.34323790720631786</v>
      </c>
      <c r="Y48" s="366">
        <f t="shared" si="49"/>
        <v>0.39172932330827065</v>
      </c>
      <c r="Z48" s="366">
        <f t="shared" si="49"/>
        <v>0.42038014783526928</v>
      </c>
      <c r="AA48" s="366">
        <f t="shared" si="49"/>
        <v>0.44862546305322676</v>
      </c>
      <c r="AB48" s="366">
        <f t="shared" si="49"/>
        <v>0.46875582913635516</v>
      </c>
      <c r="AC48" s="366">
        <f t="shared" ref="AC48" si="50">+AC29/AC280</f>
        <v>0.47762142532909668</v>
      </c>
      <c r="AD48" s="641">
        <v>0.47799999999999998</v>
      </c>
      <c r="AE48" s="641">
        <f t="shared" ref="AE48:AL48" si="51">+AD48</f>
        <v>0.47799999999999998</v>
      </c>
      <c r="AF48" s="641">
        <f t="shared" si="51"/>
        <v>0.47799999999999998</v>
      </c>
      <c r="AG48" s="641">
        <f t="shared" si="51"/>
        <v>0.47799999999999998</v>
      </c>
      <c r="AH48" s="641">
        <f t="shared" si="51"/>
        <v>0.47799999999999998</v>
      </c>
      <c r="AI48" s="641">
        <f t="shared" si="51"/>
        <v>0.47799999999999998</v>
      </c>
      <c r="AJ48" s="641">
        <f t="shared" si="51"/>
        <v>0.47799999999999998</v>
      </c>
      <c r="AK48" s="641">
        <f t="shared" si="51"/>
        <v>0.47799999999999998</v>
      </c>
      <c r="AL48" s="641">
        <f t="shared" si="51"/>
        <v>0.47799999999999998</v>
      </c>
      <c r="AM48" s="2"/>
      <c r="AN48" s="8"/>
    </row>
    <row r="49" spans="1:40">
      <c r="A49" s="2"/>
      <c r="B49" s="510" t="s">
        <v>1250</v>
      </c>
      <c r="C49" s="18" t="s">
        <v>733</v>
      </c>
      <c r="D49" s="2"/>
      <c r="E49" s="2"/>
      <c r="F49" s="2"/>
      <c r="G49" s="2"/>
      <c r="H49" s="2"/>
      <c r="I49" s="2"/>
      <c r="J49" s="2"/>
      <c r="K49" s="2"/>
      <c r="L49" s="2"/>
      <c r="M49" s="2"/>
      <c r="N49" s="2"/>
      <c r="O49" s="2"/>
      <c r="P49" s="2"/>
      <c r="Q49" s="2"/>
      <c r="R49" s="2"/>
      <c r="S49" s="2"/>
      <c r="T49" s="168"/>
      <c r="U49" s="2"/>
      <c r="V49" s="2"/>
      <c r="W49" s="366">
        <f t="shared" si="49"/>
        <v>0.18924339106654511</v>
      </c>
      <c r="X49" s="366">
        <f t="shared" si="49"/>
        <v>0.11154829824906551</v>
      </c>
      <c r="Y49" s="366">
        <f t="shared" si="49"/>
        <v>5.7643581081081079E-2</v>
      </c>
      <c r="Z49" s="366">
        <f t="shared" si="49"/>
        <v>1.2260365581810076E-2</v>
      </c>
      <c r="AA49" s="366">
        <f t="shared" si="49"/>
        <v>3.0289432353601077E-2</v>
      </c>
      <c r="AB49" s="366">
        <f t="shared" si="49"/>
        <v>5.8323765786452354E-2</v>
      </c>
      <c r="AC49" s="366">
        <f t="shared" ref="AC49" si="52">+AC30/AC281</f>
        <v>8.4438241451500348E-2</v>
      </c>
      <c r="AD49" s="641">
        <v>8.5999999999999993E-2</v>
      </c>
      <c r="AE49" s="641">
        <v>8.5999999999999993E-2</v>
      </c>
      <c r="AF49" s="641">
        <v>8.5999999999999993E-2</v>
      </c>
      <c r="AG49" s="641">
        <f t="shared" ref="AG49:AL49" si="53">+AF49</f>
        <v>8.5999999999999993E-2</v>
      </c>
      <c r="AH49" s="641">
        <f t="shared" si="53"/>
        <v>8.5999999999999993E-2</v>
      </c>
      <c r="AI49" s="641">
        <f t="shared" si="53"/>
        <v>8.5999999999999993E-2</v>
      </c>
      <c r="AJ49" s="641">
        <f t="shared" si="53"/>
        <v>8.5999999999999993E-2</v>
      </c>
      <c r="AK49" s="641">
        <f t="shared" si="53"/>
        <v>8.5999999999999993E-2</v>
      </c>
      <c r="AL49" s="641">
        <f t="shared" si="53"/>
        <v>8.5999999999999993E-2</v>
      </c>
      <c r="AM49" s="2"/>
      <c r="AN49" s="8"/>
    </row>
    <row r="50" spans="1:40">
      <c r="A50" s="2"/>
      <c r="B50" s="872" t="s">
        <v>1322</v>
      </c>
      <c r="C50" s="18" t="s">
        <v>733</v>
      </c>
      <c r="D50" s="2"/>
      <c r="E50" s="2"/>
      <c r="F50" s="2"/>
      <c r="G50" s="2"/>
      <c r="H50" s="2"/>
      <c r="I50" s="2"/>
      <c r="J50" s="2"/>
      <c r="K50" s="2"/>
      <c r="L50" s="2"/>
      <c r="M50" s="2"/>
      <c r="N50" s="2"/>
      <c r="O50" s="2"/>
      <c r="P50" s="2"/>
      <c r="Q50" s="2"/>
      <c r="R50" s="2"/>
      <c r="S50" s="2"/>
      <c r="T50" s="168"/>
      <c r="U50" s="2"/>
      <c r="V50" s="2"/>
      <c r="W50" s="366">
        <f t="shared" si="49"/>
        <v>0.67056986729117873</v>
      </c>
      <c r="X50" s="366">
        <f t="shared" si="49"/>
        <v>0.66806370494551548</v>
      </c>
      <c r="Y50" s="366">
        <f t="shared" si="49"/>
        <v>0.6010879419764279</v>
      </c>
      <c r="Z50" s="366">
        <f t="shared" si="49"/>
        <v>0.36610878661087864</v>
      </c>
      <c r="AA50" s="366">
        <f t="shared" si="49"/>
        <v>0.12609088276276958</v>
      </c>
      <c r="AB50" s="366">
        <f t="shared" si="49"/>
        <v>0.1270053475935829</v>
      </c>
      <c r="AC50" s="366">
        <f t="shared" ref="AC50" si="54">+AC31/AC282</f>
        <v>0.12665684830633284</v>
      </c>
      <c r="AD50" s="641">
        <v>4.4999999999999998E-2</v>
      </c>
      <c r="AE50" s="641">
        <v>4.4999999999999998E-2</v>
      </c>
      <c r="AF50" s="641">
        <v>4.4999999999999998E-2</v>
      </c>
      <c r="AG50" s="641">
        <v>4.4999999999999998E-2</v>
      </c>
      <c r="AH50" s="641">
        <v>4.4999999999999998E-2</v>
      </c>
      <c r="AI50" s="641">
        <v>4.4999999999999998E-2</v>
      </c>
      <c r="AJ50" s="641">
        <v>4.4999999999999998E-2</v>
      </c>
      <c r="AK50" s="641">
        <v>4.4999999999999998E-2</v>
      </c>
      <c r="AL50" s="641">
        <v>4.4999999999999998E-2</v>
      </c>
      <c r="AM50" s="2"/>
      <c r="AN50" s="8"/>
    </row>
    <row r="51" spans="1:40">
      <c r="A51" s="2"/>
      <c r="B51" s="872" t="s">
        <v>1323</v>
      </c>
      <c r="C51" s="18" t="s">
        <v>733</v>
      </c>
      <c r="D51" s="2"/>
      <c r="E51" s="2"/>
      <c r="F51" s="2"/>
      <c r="G51" s="2"/>
      <c r="H51" s="2"/>
      <c r="I51" s="2"/>
      <c r="J51" s="2"/>
      <c r="K51" s="2"/>
      <c r="L51" s="2"/>
      <c r="M51" s="2"/>
      <c r="N51" s="2"/>
      <c r="O51" s="2"/>
      <c r="P51" s="2"/>
      <c r="Q51" s="2"/>
      <c r="R51" s="2"/>
      <c r="S51" s="2"/>
      <c r="T51" s="168"/>
      <c r="U51" s="2"/>
      <c r="V51" s="2"/>
      <c r="W51" s="366">
        <f t="shared" si="49"/>
        <v>0.11683738796414853</v>
      </c>
      <c r="X51" s="366">
        <f t="shared" si="49"/>
        <v>0.12083762444215586</v>
      </c>
      <c r="Y51" s="366">
        <f t="shared" si="49"/>
        <v>8.5463563525372002E-2</v>
      </c>
      <c r="Z51" s="366">
        <f t="shared" si="49"/>
        <v>0.11179228272628922</v>
      </c>
      <c r="AA51" s="366">
        <f t="shared" si="49"/>
        <v>0.10934744268077601</v>
      </c>
      <c r="AB51" s="366">
        <f t="shared" si="49"/>
        <v>1.4700609537468627E-2</v>
      </c>
      <c r="AC51" s="366">
        <f t="shared" ref="AC51" si="55">+AC32/AC283</f>
        <v>5.5314533622559656E-2</v>
      </c>
      <c r="AD51" s="641">
        <v>4.4999999999999998E-2</v>
      </c>
      <c r="AE51" s="641">
        <v>4.4999999999999998E-2</v>
      </c>
      <c r="AF51" s="641">
        <v>4.4999999999999998E-2</v>
      </c>
      <c r="AG51" s="641">
        <v>4.4999999999999998E-2</v>
      </c>
      <c r="AH51" s="641">
        <v>4.4999999999999998E-2</v>
      </c>
      <c r="AI51" s="641">
        <v>4.4999999999999998E-2</v>
      </c>
      <c r="AJ51" s="641">
        <v>4.4999999999999998E-2</v>
      </c>
      <c r="AK51" s="641">
        <v>4.4999999999999998E-2</v>
      </c>
      <c r="AL51" s="641">
        <v>4.4999999999999998E-2</v>
      </c>
      <c r="AM51" s="2"/>
      <c r="AN51" s="8"/>
    </row>
    <row r="52" spans="1:40">
      <c r="A52" s="2"/>
      <c r="B52" s="8" t="s">
        <v>1324</v>
      </c>
      <c r="C52" s="18" t="s">
        <v>733</v>
      </c>
      <c r="D52" s="2"/>
      <c r="E52" s="2"/>
      <c r="F52" s="2"/>
      <c r="G52" s="2"/>
      <c r="H52" s="2"/>
      <c r="I52" s="2"/>
      <c r="J52" s="2"/>
      <c r="K52" s="2"/>
      <c r="L52" s="2"/>
      <c r="M52" s="2"/>
      <c r="N52" s="2"/>
      <c r="O52" s="2"/>
      <c r="P52" s="2"/>
      <c r="Q52" s="2"/>
      <c r="R52" s="2"/>
      <c r="S52" s="2"/>
      <c r="T52" s="168"/>
      <c r="U52" s="2"/>
      <c r="V52" s="2"/>
      <c r="W52" s="366">
        <f t="shared" si="49"/>
        <v>0.27786606129398411</v>
      </c>
      <c r="X52" s="366">
        <f t="shared" si="49"/>
        <v>0.2798343886994642</v>
      </c>
      <c r="Y52" s="366">
        <f t="shared" si="49"/>
        <v>0.23818474758324382</v>
      </c>
      <c r="Z52" s="366">
        <f t="shared" si="49"/>
        <v>0.17699115044247787</v>
      </c>
      <c r="AA52" s="366">
        <f t="shared" si="49"/>
        <v>0.11303600705074057</v>
      </c>
      <c r="AB52" s="366">
        <f t="shared" si="49"/>
        <v>3.8450664404862875E-2</v>
      </c>
      <c r="AC52" s="366">
        <f t="shared" ref="AC52" si="56">+AC33/AC284</f>
        <v>6.9375907111756174E-2</v>
      </c>
      <c r="AD52" s="366">
        <f t="shared" ref="AD52:AK52" si="57">+AD33/AD284</f>
        <v>4.4999999999999998E-2</v>
      </c>
      <c r="AE52" s="366">
        <f t="shared" si="57"/>
        <v>4.5000000000000005E-2</v>
      </c>
      <c r="AF52" s="366">
        <f t="shared" si="57"/>
        <v>4.4999999999999998E-2</v>
      </c>
      <c r="AG52" s="366">
        <f t="shared" si="57"/>
        <v>4.4999999999999998E-2</v>
      </c>
      <c r="AH52" s="366">
        <f t="shared" si="57"/>
        <v>4.4999999999999998E-2</v>
      </c>
      <c r="AI52" s="366">
        <f t="shared" si="57"/>
        <v>4.4999999999999998E-2</v>
      </c>
      <c r="AJ52" s="366">
        <f t="shared" si="57"/>
        <v>4.4999999999999998E-2</v>
      </c>
      <c r="AK52" s="366">
        <f t="shared" si="57"/>
        <v>4.4999999999999998E-2</v>
      </c>
      <c r="AL52" s="366">
        <f t="shared" ref="AL52" si="58">+AL33/AL284</f>
        <v>4.4999999999999991E-2</v>
      </c>
      <c r="AM52" s="2"/>
      <c r="AN52" s="2"/>
    </row>
    <row r="53" spans="1:40">
      <c r="A53" s="2"/>
      <c r="B53" s="510" t="s">
        <v>1321</v>
      </c>
      <c r="C53" s="18" t="s">
        <v>733</v>
      </c>
      <c r="D53" s="2"/>
      <c r="E53" s="2"/>
      <c r="F53" s="2"/>
      <c r="G53" s="2"/>
      <c r="H53" s="2"/>
      <c r="I53" s="2"/>
      <c r="J53" s="2"/>
      <c r="K53" s="2"/>
      <c r="L53" s="2"/>
      <c r="M53" s="2"/>
      <c r="N53" s="2"/>
      <c r="O53" s="2"/>
      <c r="P53" s="2"/>
      <c r="Q53" s="2"/>
      <c r="R53" s="2"/>
      <c r="S53" s="2"/>
      <c r="T53" s="168"/>
      <c r="U53" s="2"/>
      <c r="V53" s="2"/>
      <c r="W53" s="366">
        <f t="shared" si="49"/>
        <v>0.51185855972401895</v>
      </c>
      <c r="X53" s="366">
        <f t="shared" si="49"/>
        <v>0.47916666666666669</v>
      </c>
      <c r="Y53" s="366">
        <f t="shared" si="49"/>
        <v>0.45796460176991149</v>
      </c>
      <c r="Z53" s="366">
        <f t="shared" si="49"/>
        <v>0.33333333333333331</v>
      </c>
      <c r="AA53" s="366">
        <f t="shared" si="49"/>
        <v>0.29032258064516131</v>
      </c>
      <c r="AB53" s="366">
        <f t="shared" si="49"/>
        <v>0.25683060109289618</v>
      </c>
      <c r="AC53" s="366">
        <f t="shared" ref="AC53" si="59">+AC34/AC285</f>
        <v>0.23495702005730659</v>
      </c>
      <c r="AD53" s="641">
        <v>0.2</v>
      </c>
      <c r="AE53" s="641">
        <f t="shared" ref="AE53:AL53" si="60">+AD53</f>
        <v>0.2</v>
      </c>
      <c r="AF53" s="641">
        <f t="shared" si="60"/>
        <v>0.2</v>
      </c>
      <c r="AG53" s="641">
        <f t="shared" si="60"/>
        <v>0.2</v>
      </c>
      <c r="AH53" s="641">
        <f t="shared" si="60"/>
        <v>0.2</v>
      </c>
      <c r="AI53" s="641">
        <f t="shared" si="60"/>
        <v>0.2</v>
      </c>
      <c r="AJ53" s="641">
        <f t="shared" si="60"/>
        <v>0.2</v>
      </c>
      <c r="AK53" s="641">
        <f t="shared" si="60"/>
        <v>0.2</v>
      </c>
      <c r="AL53" s="641">
        <f t="shared" si="60"/>
        <v>0.2</v>
      </c>
      <c r="AM53" s="2"/>
      <c r="AN53" s="2"/>
    </row>
    <row r="54" spans="1:40">
      <c r="A54" s="2"/>
      <c r="B54" s="510" t="s">
        <v>42</v>
      </c>
      <c r="C54" s="18" t="s">
        <v>733</v>
      </c>
      <c r="D54" s="2"/>
      <c r="E54" s="2"/>
      <c r="F54" s="2"/>
      <c r="G54" s="2"/>
      <c r="H54" s="2"/>
      <c r="I54" s="2"/>
      <c r="J54" s="2"/>
      <c r="K54" s="2"/>
      <c r="L54" s="2"/>
      <c r="M54" s="2"/>
      <c r="N54" s="2"/>
      <c r="O54" s="2"/>
      <c r="P54" s="2"/>
      <c r="Q54" s="2"/>
      <c r="R54" s="2"/>
      <c r="S54" s="2"/>
      <c r="T54" s="168"/>
      <c r="U54" s="2"/>
      <c r="V54" s="2"/>
      <c r="W54" s="366">
        <f t="shared" si="49"/>
        <v>0.15894428152492668</v>
      </c>
      <c r="X54" s="366">
        <f t="shared" si="49"/>
        <v>0.25116588940706197</v>
      </c>
      <c r="Y54" s="366">
        <f t="shared" si="49"/>
        <v>0.22459893048128343</v>
      </c>
      <c r="Z54" s="366">
        <f t="shared" si="49"/>
        <v>0.25782811459027316</v>
      </c>
      <c r="AA54" s="366">
        <f t="shared" si="49"/>
        <v>0.2935364347468094</v>
      </c>
      <c r="AB54" s="366">
        <f t="shared" si="49"/>
        <v>0.30023273855702093</v>
      </c>
      <c r="AC54" s="366">
        <f t="shared" ref="AC54" si="61">+AC35/AC286</f>
        <v>0.26207962891379977</v>
      </c>
      <c r="AD54" s="641">
        <f t="shared" ref="AD54:AL54" si="62">AC54</f>
        <v>0.26207962891379977</v>
      </c>
      <c r="AE54" s="641">
        <f t="shared" si="62"/>
        <v>0.26207962891379977</v>
      </c>
      <c r="AF54" s="641">
        <f t="shared" si="62"/>
        <v>0.26207962891379977</v>
      </c>
      <c r="AG54" s="641">
        <f t="shared" si="62"/>
        <v>0.26207962891379977</v>
      </c>
      <c r="AH54" s="641">
        <f t="shared" si="62"/>
        <v>0.26207962891379977</v>
      </c>
      <c r="AI54" s="641">
        <f t="shared" si="62"/>
        <v>0.26207962891379977</v>
      </c>
      <c r="AJ54" s="641">
        <f t="shared" si="62"/>
        <v>0.26207962891379977</v>
      </c>
      <c r="AK54" s="641">
        <f t="shared" si="62"/>
        <v>0.26207962891379977</v>
      </c>
      <c r="AL54" s="641">
        <f t="shared" si="62"/>
        <v>0.26207962891379977</v>
      </c>
      <c r="AM54" s="2"/>
      <c r="AN54" s="2"/>
    </row>
    <row r="55" spans="1:40">
      <c r="A55" s="2"/>
      <c r="B55" s="510" t="s">
        <v>1461</v>
      </c>
      <c r="C55" s="18" t="s">
        <v>733</v>
      </c>
      <c r="D55" s="2"/>
      <c r="E55" s="2"/>
      <c r="F55" s="2"/>
      <c r="G55" s="2"/>
      <c r="H55" s="2"/>
      <c r="I55" s="2"/>
      <c r="J55" s="2"/>
      <c r="K55" s="2"/>
      <c r="L55" s="2"/>
      <c r="M55" s="2"/>
      <c r="N55" s="2"/>
      <c r="O55" s="2"/>
      <c r="P55" s="2"/>
      <c r="Q55" s="2"/>
      <c r="R55" s="2"/>
      <c r="S55" s="2"/>
      <c r="T55" s="168"/>
      <c r="U55" s="2"/>
      <c r="V55" s="2"/>
      <c r="W55" s="366">
        <f t="shared" si="49"/>
        <v>0.93239795918367352</v>
      </c>
      <c r="X55" s="366">
        <f t="shared" si="49"/>
        <v>0.93821510297482835</v>
      </c>
      <c r="Y55" s="366">
        <f t="shared" si="49"/>
        <v>0.94713656387665202</v>
      </c>
      <c r="Z55" s="366">
        <f t="shared" si="49"/>
        <v>0.67385993485342022</v>
      </c>
      <c r="AA55" s="366">
        <f t="shared" si="49"/>
        <v>0.65062597809076683</v>
      </c>
      <c r="AB55" s="366">
        <f t="shared" si="49"/>
        <v>0.64056809905316825</v>
      </c>
      <c r="AC55" s="366">
        <f t="shared" ref="AC55" si="63">+AC36/AC287</f>
        <v>0.66900369003690041</v>
      </c>
      <c r="AD55" s="641">
        <f t="shared" ref="AD55:AL55" si="64">+AC55</f>
        <v>0.66900369003690041</v>
      </c>
      <c r="AE55" s="641">
        <f t="shared" si="64"/>
        <v>0.66900369003690041</v>
      </c>
      <c r="AF55" s="641">
        <f t="shared" si="64"/>
        <v>0.66900369003690041</v>
      </c>
      <c r="AG55" s="641">
        <f t="shared" si="64"/>
        <v>0.66900369003690041</v>
      </c>
      <c r="AH55" s="641">
        <f t="shared" si="64"/>
        <v>0.66900369003690041</v>
      </c>
      <c r="AI55" s="641">
        <f t="shared" si="64"/>
        <v>0.66900369003690041</v>
      </c>
      <c r="AJ55" s="641">
        <f t="shared" si="64"/>
        <v>0.66900369003690041</v>
      </c>
      <c r="AK55" s="641">
        <f t="shared" si="64"/>
        <v>0.66900369003690041</v>
      </c>
      <c r="AL55" s="641">
        <f t="shared" si="64"/>
        <v>0.66900369003690041</v>
      </c>
      <c r="AM55" s="2"/>
      <c r="AN55" s="2"/>
    </row>
    <row r="56" spans="1:40">
      <c r="A56" s="2"/>
      <c r="B56" s="510" t="s">
        <v>1440</v>
      </c>
      <c r="C56" s="18" t="s">
        <v>733</v>
      </c>
      <c r="D56" s="2"/>
      <c r="E56" s="2"/>
      <c r="F56" s="2"/>
      <c r="G56" s="2"/>
      <c r="H56" s="2"/>
      <c r="I56" s="2"/>
      <c r="J56" s="2"/>
      <c r="K56" s="2"/>
      <c r="L56" s="2"/>
      <c r="M56" s="2"/>
      <c r="N56" s="2"/>
      <c r="O56" s="2"/>
      <c r="P56" s="2"/>
      <c r="Q56" s="2"/>
      <c r="R56" s="2"/>
      <c r="S56" s="2"/>
      <c r="T56" s="168"/>
      <c r="U56" s="2"/>
      <c r="V56" s="2"/>
      <c r="W56" s="366"/>
      <c r="X56" s="366"/>
      <c r="Y56" s="366"/>
      <c r="Z56" s="366"/>
      <c r="AA56" s="366"/>
      <c r="AB56" s="366"/>
      <c r="AC56" s="366"/>
      <c r="AD56" s="641">
        <v>0.46700000000000003</v>
      </c>
      <c r="AE56" s="641">
        <v>0.46700000000000003</v>
      </c>
      <c r="AF56" s="641">
        <v>0.46700000000000003</v>
      </c>
      <c r="AG56" s="641">
        <v>0.46700000000000003</v>
      </c>
      <c r="AH56" s="641">
        <v>0.46700000000000003</v>
      </c>
      <c r="AI56" s="641">
        <v>0.46700000000000003</v>
      </c>
      <c r="AJ56" s="641">
        <v>0.46700000000000003</v>
      </c>
      <c r="AK56" s="641">
        <v>0.46700000000000003</v>
      </c>
      <c r="AL56" s="641">
        <v>0.46700000000000003</v>
      </c>
      <c r="AM56" s="2"/>
      <c r="AN56" s="2"/>
    </row>
    <row r="57" spans="1:40">
      <c r="A57" s="2"/>
      <c r="B57" s="510" t="s">
        <v>1459</v>
      </c>
      <c r="C57" s="18" t="s">
        <v>733</v>
      </c>
      <c r="D57" s="2"/>
      <c r="E57" s="2"/>
      <c r="F57" s="2"/>
      <c r="G57" s="2"/>
      <c r="H57" s="2"/>
      <c r="I57" s="2"/>
      <c r="J57" s="2"/>
      <c r="K57" s="2"/>
      <c r="L57" s="2"/>
      <c r="M57" s="2"/>
      <c r="N57" s="2"/>
      <c r="O57" s="2"/>
      <c r="P57" s="2"/>
      <c r="Q57" s="2"/>
      <c r="R57" s="2"/>
      <c r="S57" s="2"/>
      <c r="T57" s="168"/>
      <c r="U57" s="2"/>
      <c r="V57" s="2"/>
      <c r="W57" s="366"/>
      <c r="X57" s="366"/>
      <c r="Y57" s="366"/>
      <c r="Z57" s="366">
        <f>Z37/Z290</f>
        <v>0.79891304347826086</v>
      </c>
      <c r="AA57" s="366">
        <f>AA37/AA290</f>
        <v>0.79301745635910226</v>
      </c>
      <c r="AB57" s="366">
        <f>AB37/AB290</f>
        <v>0.81456953642384111</v>
      </c>
      <c r="AC57" s="366">
        <f>AC37/AC290</f>
        <v>0.81276595744680846</v>
      </c>
      <c r="AD57" s="641">
        <f t="shared" ref="AD57:AL57" si="65">AC57</f>
        <v>0.81276595744680846</v>
      </c>
      <c r="AE57" s="641">
        <f t="shared" si="65"/>
        <v>0.81276595744680846</v>
      </c>
      <c r="AF57" s="641">
        <f t="shared" si="65"/>
        <v>0.81276595744680846</v>
      </c>
      <c r="AG57" s="641">
        <f t="shared" si="65"/>
        <v>0.81276595744680846</v>
      </c>
      <c r="AH57" s="641">
        <f t="shared" si="65"/>
        <v>0.81276595744680846</v>
      </c>
      <c r="AI57" s="641">
        <f t="shared" si="65"/>
        <v>0.81276595744680846</v>
      </c>
      <c r="AJ57" s="641">
        <f t="shared" si="65"/>
        <v>0.81276595744680846</v>
      </c>
      <c r="AK57" s="641">
        <f t="shared" si="65"/>
        <v>0.81276595744680846</v>
      </c>
      <c r="AL57" s="641">
        <f t="shared" si="65"/>
        <v>0.81276595744680846</v>
      </c>
      <c r="AM57" s="2"/>
      <c r="AN57" s="2"/>
    </row>
    <row r="58" spans="1:40">
      <c r="A58" s="2"/>
      <c r="B58" s="510" t="s">
        <v>1269</v>
      </c>
      <c r="C58" s="18" t="s">
        <v>733</v>
      </c>
      <c r="D58" s="2"/>
      <c r="E58" s="2"/>
      <c r="F58" s="2"/>
      <c r="G58" s="2"/>
      <c r="H58" s="2"/>
      <c r="I58" s="2"/>
      <c r="J58" s="2"/>
      <c r="K58" s="2"/>
      <c r="L58" s="2"/>
      <c r="M58" s="2"/>
      <c r="N58" s="2"/>
      <c r="O58" s="2"/>
      <c r="P58" s="2"/>
      <c r="Q58" s="2"/>
      <c r="R58" s="2"/>
      <c r="S58" s="2"/>
      <c r="T58" s="168"/>
      <c r="U58" s="2"/>
      <c r="V58" s="2"/>
      <c r="W58" s="366">
        <f t="shared" ref="W58:AB58" si="66">+W38/W288</f>
        <v>-1.466275659824047E-2</v>
      </c>
      <c r="X58" s="366">
        <f t="shared" si="66"/>
        <v>0.3652694610778443</v>
      </c>
      <c r="Y58" s="366">
        <f t="shared" si="66"/>
        <v>0.11775362318840579</v>
      </c>
      <c r="Z58" s="366">
        <f t="shared" si="66"/>
        <v>7.9470198675496692E-2</v>
      </c>
      <c r="AA58" s="366">
        <f t="shared" si="66"/>
        <v>-8.3643122676579917E-3</v>
      </c>
      <c r="AB58" s="366">
        <f t="shared" si="66"/>
        <v>-0.13391442155309033</v>
      </c>
      <c r="AC58" s="366">
        <f t="shared" ref="AC58" si="67">+AC38/AC288</f>
        <v>-0.16997411561691114</v>
      </c>
      <c r="AD58" s="641">
        <f t="shared" ref="AD58:AL58" si="68">+AC58</f>
        <v>-0.16997411561691114</v>
      </c>
      <c r="AE58" s="641">
        <f t="shared" si="68"/>
        <v>-0.16997411561691114</v>
      </c>
      <c r="AF58" s="641">
        <f t="shared" si="68"/>
        <v>-0.16997411561691114</v>
      </c>
      <c r="AG58" s="641">
        <f t="shared" si="68"/>
        <v>-0.16997411561691114</v>
      </c>
      <c r="AH58" s="641">
        <f t="shared" si="68"/>
        <v>-0.16997411561691114</v>
      </c>
      <c r="AI58" s="641">
        <f t="shared" si="68"/>
        <v>-0.16997411561691114</v>
      </c>
      <c r="AJ58" s="641">
        <f t="shared" si="68"/>
        <v>-0.16997411561691114</v>
      </c>
      <c r="AK58" s="641">
        <f t="shared" si="68"/>
        <v>-0.16997411561691114</v>
      </c>
      <c r="AL58" s="641">
        <f t="shared" si="68"/>
        <v>-0.16997411561691114</v>
      </c>
      <c r="AM58" s="2"/>
      <c r="AN58" s="2"/>
    </row>
    <row r="59" spans="1:40">
      <c r="A59" s="9"/>
      <c r="B59" s="9" t="s">
        <v>1319</v>
      </c>
      <c r="C59" s="48" t="s">
        <v>733</v>
      </c>
      <c r="D59" s="9"/>
      <c r="E59" s="9"/>
      <c r="F59" s="9"/>
      <c r="G59" s="9"/>
      <c r="H59" s="9"/>
      <c r="I59" s="9"/>
      <c r="J59" s="9"/>
      <c r="K59" s="9"/>
      <c r="L59" s="9"/>
      <c r="M59" s="9"/>
      <c r="N59" s="9"/>
      <c r="O59" s="9"/>
      <c r="P59" s="9"/>
      <c r="Q59" s="9"/>
      <c r="R59" s="9"/>
      <c r="S59" s="9"/>
      <c r="T59" s="875"/>
      <c r="U59" s="9"/>
      <c r="V59" s="9"/>
      <c r="W59" s="877">
        <f t="shared" ref="W59:AK59" si="69">+W40/W292</f>
        <v>0.31933198380566802</v>
      </c>
      <c r="X59" s="877">
        <f t="shared" si="69"/>
        <v>0.31</v>
      </c>
      <c r="Y59" s="877">
        <f t="shared" si="69"/>
        <v>0.30291640249977358</v>
      </c>
      <c r="Z59" s="877">
        <f t="shared" si="69"/>
        <v>0.33465638990169383</v>
      </c>
      <c r="AA59" s="877">
        <f t="shared" si="69"/>
        <v>0.34307153700848131</v>
      </c>
      <c r="AB59" s="877">
        <f t="shared" si="69"/>
        <v>0.35103483519291373</v>
      </c>
      <c r="AC59" s="877">
        <f t="shared" ref="AC59" si="70">+AC40/AC292</f>
        <v>0.365141889030072</v>
      </c>
      <c r="AD59" s="877">
        <f t="shared" si="69"/>
        <v>0.36122964068700686</v>
      </c>
      <c r="AE59" s="877">
        <f t="shared" si="69"/>
        <v>0.36305456908971045</v>
      </c>
      <c r="AF59" s="877">
        <f t="shared" si="69"/>
        <v>0.36418198049271389</v>
      </c>
      <c r="AG59" s="877">
        <f t="shared" si="69"/>
        <v>0.3646586033461246</v>
      </c>
      <c r="AH59" s="877">
        <f t="shared" si="69"/>
        <v>0.36454034805887275</v>
      </c>
      <c r="AI59" s="877">
        <f t="shared" si="69"/>
        <v>0.36386415251384968</v>
      </c>
      <c r="AJ59" s="877">
        <f t="shared" si="69"/>
        <v>0.36265021271624565</v>
      </c>
      <c r="AK59" s="877">
        <f t="shared" si="69"/>
        <v>0.36090415602298187</v>
      </c>
      <c r="AL59" s="877">
        <f t="shared" ref="AL59" si="71">+AL40/AL292</f>
        <v>0.35991807434873557</v>
      </c>
      <c r="AM59" s="9"/>
      <c r="AN59" s="9"/>
    </row>
    <row r="60" spans="1:40">
      <c r="A60" s="2"/>
      <c r="B60" s="510" t="s">
        <v>1326</v>
      </c>
      <c r="C60" s="18" t="s">
        <v>733</v>
      </c>
      <c r="D60" s="2"/>
      <c r="E60" s="2"/>
      <c r="F60" s="2"/>
      <c r="G60" s="2"/>
      <c r="H60" s="2"/>
      <c r="I60" s="2"/>
      <c r="J60" s="2"/>
      <c r="K60" s="2"/>
      <c r="L60" s="2"/>
      <c r="M60" s="2"/>
      <c r="N60" s="2"/>
      <c r="O60" s="2"/>
      <c r="P60" s="2"/>
      <c r="Q60" s="2"/>
      <c r="R60" s="2"/>
      <c r="S60" s="2"/>
      <c r="T60" s="168"/>
      <c r="U60" s="2"/>
      <c r="V60" s="2"/>
      <c r="W60" s="366">
        <f>+W41/W293</f>
        <v>0.76228733459357279</v>
      </c>
      <c r="X60" s="366">
        <f>+X41/X293</f>
        <v>0.76646706586826352</v>
      </c>
      <c r="Y60" s="366">
        <f>+Y41/Y293</f>
        <v>0.76380952380952383</v>
      </c>
      <c r="Z60" s="366">
        <f>+Z41/Z293</f>
        <v>0.6164021164021164</v>
      </c>
      <c r="AA60" s="366">
        <f>+AA41/AA293</f>
        <v>0.51388888888888884</v>
      </c>
      <c r="AB60" s="366" t="str">
        <f>IFERROR(+AB41/AB293,"")</f>
        <v/>
      </c>
      <c r="AC60" s="366" t="str">
        <f>IFERROR(+AC41/AC293,"")</f>
        <v/>
      </c>
      <c r="AD60" s="366">
        <f t="shared" ref="AD60:AK60" si="72">IFERROR(AD41/AD293, "")</f>
        <v>1</v>
      </c>
      <c r="AE60" s="366">
        <f t="shared" si="72"/>
        <v>1</v>
      </c>
      <c r="AF60" s="366">
        <f t="shared" si="72"/>
        <v>1</v>
      </c>
      <c r="AG60" s="366">
        <f t="shared" si="72"/>
        <v>1</v>
      </c>
      <c r="AH60" s="366">
        <f t="shared" si="72"/>
        <v>1</v>
      </c>
      <c r="AI60" s="366">
        <f t="shared" si="72"/>
        <v>1</v>
      </c>
      <c r="AJ60" s="366">
        <f t="shared" si="72"/>
        <v>1</v>
      </c>
      <c r="AK60" s="366">
        <f t="shared" si="72"/>
        <v>1</v>
      </c>
      <c r="AL60" s="366">
        <f t="shared" ref="AL60" si="73">IFERROR(AL41/AL293, "")</f>
        <v>1</v>
      </c>
      <c r="AM60" s="2"/>
      <c r="AN60" s="2"/>
    </row>
    <row r="61" spans="1:40">
      <c r="A61" s="2"/>
      <c r="B61" s="510" t="s">
        <v>1069</v>
      </c>
      <c r="C61" s="18" t="s">
        <v>733</v>
      </c>
      <c r="D61" s="2"/>
      <c r="E61" s="2"/>
      <c r="F61" s="2"/>
      <c r="G61" s="2"/>
      <c r="H61" s="2"/>
      <c r="I61" s="2"/>
      <c r="J61" s="2"/>
      <c r="K61" s="2"/>
      <c r="L61" s="2"/>
      <c r="M61" s="2"/>
      <c r="N61" s="2"/>
      <c r="O61" s="2"/>
      <c r="P61" s="2"/>
      <c r="Q61" s="2"/>
      <c r="R61" s="2"/>
      <c r="S61" s="2"/>
      <c r="T61" s="168"/>
      <c r="U61" s="2"/>
      <c r="V61" s="2"/>
      <c r="W61" s="878" t="s">
        <v>1328</v>
      </c>
      <c r="X61" s="878" t="s">
        <v>1328</v>
      </c>
      <c r="Y61" s="878" t="s">
        <v>1328</v>
      </c>
      <c r="Z61" s="878" t="s">
        <v>1328</v>
      </c>
      <c r="AA61" s="878" t="s">
        <v>1328</v>
      </c>
      <c r="AB61" s="878" t="s">
        <v>1328</v>
      </c>
      <c r="AC61" s="878" t="s">
        <v>1328</v>
      </c>
      <c r="AD61" s="621" t="str">
        <f t="shared" ref="AD61:AL61" si="74">+AC61</f>
        <v>NM</v>
      </c>
      <c r="AE61" s="621" t="str">
        <f t="shared" si="74"/>
        <v>NM</v>
      </c>
      <c r="AF61" s="621" t="str">
        <f t="shared" si="74"/>
        <v>NM</v>
      </c>
      <c r="AG61" s="621" t="str">
        <f t="shared" si="74"/>
        <v>NM</v>
      </c>
      <c r="AH61" s="621" t="str">
        <f t="shared" si="74"/>
        <v>NM</v>
      </c>
      <c r="AI61" s="621" t="str">
        <f t="shared" si="74"/>
        <v>NM</v>
      </c>
      <c r="AJ61" s="621" t="str">
        <f t="shared" si="74"/>
        <v>NM</v>
      </c>
      <c r="AK61" s="621" t="str">
        <f t="shared" si="74"/>
        <v>NM</v>
      </c>
      <c r="AL61" s="621" t="str">
        <f t="shared" si="74"/>
        <v>NM</v>
      </c>
      <c r="AM61" s="2"/>
      <c r="AN61" s="2"/>
    </row>
    <row r="62" spans="1:40">
      <c r="A62" s="2"/>
      <c r="B62" s="510" t="s">
        <v>1165</v>
      </c>
      <c r="C62" s="18" t="s">
        <v>733</v>
      </c>
      <c r="D62" s="2"/>
      <c r="E62" s="2"/>
      <c r="F62" s="2"/>
      <c r="G62" s="2"/>
      <c r="H62" s="2"/>
      <c r="I62" s="2"/>
      <c r="J62" s="2"/>
      <c r="K62" s="2"/>
      <c r="L62" s="2"/>
      <c r="M62" s="2"/>
      <c r="N62" s="2"/>
      <c r="O62" s="2"/>
      <c r="P62" s="2"/>
      <c r="Q62" s="2"/>
      <c r="R62" s="2"/>
      <c r="S62" s="2"/>
      <c r="T62" s="168"/>
      <c r="U62" s="2"/>
      <c r="V62" s="2"/>
      <c r="W62" s="878" t="s">
        <v>1328</v>
      </c>
      <c r="X62" s="878" t="s">
        <v>1328</v>
      </c>
      <c r="Y62" s="878" t="s">
        <v>1328</v>
      </c>
      <c r="Z62" s="878" t="s">
        <v>1328</v>
      </c>
      <c r="AA62" s="878" t="s">
        <v>1328</v>
      </c>
      <c r="AB62" s="878" t="s">
        <v>1328</v>
      </c>
      <c r="AC62" s="878" t="s">
        <v>1328</v>
      </c>
      <c r="AD62" s="621" t="str">
        <f t="shared" ref="AD62:AL62" si="75">+AC62</f>
        <v>NM</v>
      </c>
      <c r="AE62" s="621" t="str">
        <f t="shared" si="75"/>
        <v>NM</v>
      </c>
      <c r="AF62" s="621" t="str">
        <f t="shared" si="75"/>
        <v>NM</v>
      </c>
      <c r="AG62" s="621" t="str">
        <f t="shared" si="75"/>
        <v>NM</v>
      </c>
      <c r="AH62" s="621" t="str">
        <f t="shared" si="75"/>
        <v>NM</v>
      </c>
      <c r="AI62" s="621" t="str">
        <f t="shared" si="75"/>
        <v>NM</v>
      </c>
      <c r="AJ62" s="621" t="str">
        <f t="shared" si="75"/>
        <v>NM</v>
      </c>
      <c r="AK62" s="621" t="str">
        <f t="shared" si="75"/>
        <v>NM</v>
      </c>
      <c r="AL62" s="621" t="str">
        <f t="shared" si="75"/>
        <v>NM</v>
      </c>
      <c r="AM62" s="2"/>
      <c r="AN62" s="2"/>
    </row>
    <row r="63" spans="1:40">
      <c r="A63" s="9"/>
      <c r="B63" s="9" t="s">
        <v>1327</v>
      </c>
      <c r="C63" s="48" t="s">
        <v>733</v>
      </c>
      <c r="D63" s="9"/>
      <c r="E63" s="9"/>
      <c r="F63" s="9"/>
      <c r="G63" s="9"/>
      <c r="H63" s="9"/>
      <c r="I63" s="9"/>
      <c r="J63" s="9"/>
      <c r="K63" s="9"/>
      <c r="L63" s="9"/>
      <c r="M63" s="9"/>
      <c r="N63" s="9"/>
      <c r="O63" s="9"/>
      <c r="P63" s="9"/>
      <c r="Q63" s="9"/>
      <c r="R63" s="9"/>
      <c r="S63" s="9"/>
      <c r="T63" s="875"/>
      <c r="U63" s="9"/>
      <c r="V63" s="9"/>
      <c r="W63" s="877">
        <f t="shared" ref="W63:AK63" si="76">+W44/W295</f>
        <v>0.30330492322077174</v>
      </c>
      <c r="X63" s="877">
        <f t="shared" si="76"/>
        <v>0.3242857693642287</v>
      </c>
      <c r="Y63" s="877">
        <f t="shared" si="76"/>
        <v>0.32180529137126057</v>
      </c>
      <c r="Z63" s="877">
        <f t="shared" si="76"/>
        <v>0.32914493082331592</v>
      </c>
      <c r="AA63" s="877">
        <f t="shared" si="76"/>
        <v>0.33822313501188611</v>
      </c>
      <c r="AB63" s="877">
        <f t="shared" si="76"/>
        <v>0.32058598075121369</v>
      </c>
      <c r="AC63" s="877">
        <f t="shared" ref="AC63" si="77">+AC44/AC295</f>
        <v>0.36459127488352394</v>
      </c>
      <c r="AD63" s="877">
        <f t="shared" si="76"/>
        <v>0.36122964068700686</v>
      </c>
      <c r="AE63" s="877">
        <f t="shared" si="76"/>
        <v>0.36305456908971045</v>
      </c>
      <c r="AF63" s="877">
        <f t="shared" si="76"/>
        <v>0.36418198049271389</v>
      </c>
      <c r="AG63" s="877">
        <f t="shared" si="76"/>
        <v>0.3646586033461246</v>
      </c>
      <c r="AH63" s="877">
        <f t="shared" si="76"/>
        <v>0.36454034805887275</v>
      </c>
      <c r="AI63" s="877">
        <f t="shared" si="76"/>
        <v>0.36386415251384968</v>
      </c>
      <c r="AJ63" s="877">
        <f t="shared" si="76"/>
        <v>0.36265021271624565</v>
      </c>
      <c r="AK63" s="877">
        <f t="shared" si="76"/>
        <v>0.36090415602298187</v>
      </c>
      <c r="AL63" s="877">
        <f t="shared" ref="AL63" si="78">+AL44/AL295</f>
        <v>0.35991807434873557</v>
      </c>
      <c r="AM63" s="9"/>
      <c r="AN63" s="9"/>
    </row>
    <row r="64" spans="1:40">
      <c r="A64" s="9"/>
      <c r="B64" s="9"/>
      <c r="C64" s="48"/>
      <c r="D64" s="9"/>
      <c r="E64" s="9"/>
      <c r="F64" s="9"/>
      <c r="G64" s="9"/>
      <c r="H64" s="9"/>
      <c r="I64" s="9"/>
      <c r="J64" s="9"/>
      <c r="K64" s="9"/>
      <c r="L64" s="9"/>
      <c r="M64" s="9"/>
      <c r="N64" s="9"/>
      <c r="O64" s="9"/>
      <c r="P64" s="9"/>
      <c r="Q64" s="9"/>
      <c r="R64" s="9"/>
      <c r="S64" s="9"/>
      <c r="T64" s="875"/>
      <c r="U64" s="9"/>
      <c r="V64" s="9"/>
      <c r="W64" s="877"/>
      <c r="X64" s="877"/>
      <c r="Y64" s="877"/>
      <c r="Z64" s="877"/>
      <c r="AA64" s="877"/>
      <c r="AB64" s="877"/>
      <c r="AC64" s="877"/>
      <c r="AD64" s="877"/>
      <c r="AE64" s="877"/>
      <c r="AF64" s="877"/>
      <c r="AG64" s="877"/>
      <c r="AH64" s="877"/>
      <c r="AI64" s="877"/>
      <c r="AJ64" s="877"/>
      <c r="AK64" s="877"/>
      <c r="AL64" s="877"/>
      <c r="AM64" s="9"/>
      <c r="AN64" s="9"/>
    </row>
    <row r="65" spans="1:48">
      <c r="A65" s="299" t="s">
        <v>1163</v>
      </c>
      <c r="B65" s="1081" t="s">
        <v>541</v>
      </c>
      <c r="C65" s="1075"/>
      <c r="D65" s="1081"/>
      <c r="E65" s="1081"/>
      <c r="F65" s="1081"/>
      <c r="G65" s="1081"/>
      <c r="H65" s="1081"/>
      <c r="I65" s="1081"/>
      <c r="J65" s="1081"/>
      <c r="K65" s="1081"/>
      <c r="L65" s="1081"/>
      <c r="M65" s="1081"/>
      <c r="N65" s="1081"/>
      <c r="O65" s="1081"/>
      <c r="P65" s="1081"/>
      <c r="Q65" s="1081"/>
      <c r="R65" s="1081"/>
      <c r="S65" s="1081"/>
      <c r="T65" s="1081"/>
      <c r="U65" s="1081"/>
      <c r="V65" s="1081"/>
      <c r="W65" s="1081"/>
      <c r="X65" s="1081"/>
      <c r="Y65" s="1081"/>
      <c r="Z65" s="1081"/>
      <c r="AA65" s="1081"/>
      <c r="AB65" s="1081"/>
      <c r="AC65" s="1081"/>
      <c r="AD65" s="1081"/>
      <c r="AE65" s="1081"/>
      <c r="AF65" s="1081"/>
      <c r="AG65" s="1081"/>
      <c r="AH65" s="1081"/>
      <c r="AI65" s="1081"/>
      <c r="AJ65" s="1081"/>
      <c r="AK65" s="1081"/>
      <c r="AL65" s="1081"/>
      <c r="AM65" s="426"/>
      <c r="AN65" s="426"/>
      <c r="AO65" s="731"/>
      <c r="AP65" s="731"/>
      <c r="AQ65" s="731"/>
      <c r="AR65" s="731"/>
      <c r="AS65" s="731"/>
      <c r="AT65" s="731"/>
      <c r="AU65" s="731"/>
      <c r="AV65" s="731"/>
    </row>
    <row r="66" spans="1:48" ht="15.6">
      <c r="A66" s="426"/>
      <c r="B66" s="1082"/>
      <c r="C66" s="301"/>
      <c r="D66" s="409"/>
      <c r="E66" s="409"/>
      <c r="F66" s="409"/>
      <c r="G66" s="409"/>
      <c r="H66" s="409"/>
      <c r="I66" s="409"/>
      <c r="J66" s="409"/>
      <c r="K66" s="409"/>
      <c r="L66" s="409"/>
      <c r="M66" s="409"/>
      <c r="N66" s="409"/>
      <c r="O66" s="409"/>
      <c r="P66" s="409"/>
      <c r="Q66" s="409"/>
      <c r="R66" s="60"/>
      <c r="S66" s="409"/>
      <c r="T66" s="409"/>
      <c r="U66" s="409"/>
      <c r="V66" s="409"/>
      <c r="W66" s="409"/>
      <c r="X66" s="409"/>
      <c r="Y66" s="409"/>
      <c r="Z66" s="409"/>
      <c r="AA66" s="409"/>
      <c r="AB66" s="409"/>
      <c r="AC66" s="409"/>
      <c r="AD66" s="409"/>
      <c r="AE66" s="409"/>
      <c r="AF66" s="409"/>
      <c r="AG66" s="409"/>
      <c r="AH66" s="409"/>
      <c r="AI66" s="409"/>
      <c r="AJ66" s="409"/>
      <c r="AK66" s="409"/>
      <c r="AL66" s="409"/>
      <c r="AM66" s="426"/>
      <c r="AN66" s="426"/>
      <c r="AO66" s="731"/>
      <c r="AP66" s="731"/>
      <c r="AQ66" s="731"/>
      <c r="AR66" s="731"/>
      <c r="AS66" s="731"/>
      <c r="AT66" s="731"/>
      <c r="AU66" s="731"/>
      <c r="AV66" s="731"/>
    </row>
    <row r="67" spans="1:48" ht="15.6">
      <c r="A67" s="426"/>
      <c r="B67" s="1083" t="s">
        <v>735</v>
      </c>
      <c r="C67" s="443"/>
      <c r="D67" s="270"/>
      <c r="E67" s="270"/>
      <c r="F67" s="270"/>
      <c r="G67" s="270"/>
      <c r="H67" s="270"/>
      <c r="I67" s="270"/>
      <c r="J67" s="270"/>
      <c r="K67" s="270"/>
      <c r="L67" s="270"/>
      <c r="M67" s="270"/>
      <c r="N67" s="270"/>
      <c r="O67" s="270"/>
      <c r="P67" s="270"/>
      <c r="Q67" s="270"/>
      <c r="R67" s="270"/>
      <c r="S67" s="270"/>
      <c r="T67" s="270"/>
      <c r="U67" s="270"/>
      <c r="V67" s="270"/>
      <c r="W67" s="270"/>
      <c r="X67" s="270"/>
      <c r="Y67" s="270"/>
      <c r="Z67" s="270"/>
      <c r="AA67" s="270"/>
      <c r="AB67" s="270"/>
      <c r="AC67" s="270"/>
      <c r="AD67" s="270"/>
      <c r="AE67" s="270"/>
      <c r="AF67" s="270"/>
      <c r="AG67" s="270"/>
      <c r="AH67" s="270"/>
      <c r="AI67" s="271"/>
      <c r="AJ67" s="271"/>
      <c r="AK67" s="271"/>
      <c r="AL67" s="271"/>
      <c r="AM67" s="426"/>
      <c r="AN67" s="426"/>
      <c r="AO67" s="731"/>
      <c r="AP67" s="731"/>
      <c r="AQ67" s="731"/>
      <c r="AR67" s="731"/>
      <c r="AS67" s="731"/>
      <c r="AT67" s="731"/>
      <c r="AU67" s="731"/>
      <c r="AV67" s="731"/>
    </row>
    <row r="68" spans="1:48" ht="15.6">
      <c r="A68" s="426"/>
      <c r="B68" s="1082"/>
      <c r="C68" s="301"/>
      <c r="D68" s="159"/>
      <c r="E68" s="159"/>
      <c r="F68" s="159"/>
      <c r="G68" s="159"/>
      <c r="H68" s="409"/>
      <c r="I68" s="409"/>
      <c r="J68" s="409"/>
      <c r="K68" s="409"/>
      <c r="L68" s="409"/>
      <c r="M68" s="409"/>
      <c r="N68" s="409"/>
      <c r="O68" s="409"/>
      <c r="P68" s="409"/>
      <c r="Q68" s="409"/>
      <c r="R68" s="409"/>
      <c r="S68" s="60"/>
      <c r="T68" s="409"/>
      <c r="U68" s="409"/>
      <c r="V68" s="409"/>
      <c r="W68" s="409"/>
      <c r="X68" s="409"/>
      <c r="Y68" s="409"/>
      <c r="Z68" s="409"/>
      <c r="AA68" s="409"/>
      <c r="AB68" s="409"/>
      <c r="AC68" s="409"/>
      <c r="AD68" s="409"/>
      <c r="AE68" s="409"/>
      <c r="AF68" s="409"/>
      <c r="AG68" s="409"/>
      <c r="AH68" s="409"/>
      <c r="AI68" s="409"/>
      <c r="AJ68" s="409"/>
      <c r="AK68" s="409"/>
      <c r="AL68" s="409"/>
      <c r="AM68" s="426"/>
      <c r="AN68" s="426"/>
      <c r="AO68" s="731"/>
      <c r="AP68" s="731"/>
      <c r="AQ68" s="731"/>
      <c r="AR68" s="731"/>
      <c r="AS68" s="731"/>
      <c r="AT68" s="731"/>
      <c r="AU68" s="731"/>
      <c r="AV68" s="731"/>
    </row>
    <row r="69" spans="1:48" ht="15.6">
      <c r="A69" s="426"/>
      <c r="B69" s="1084" t="s">
        <v>1175</v>
      </c>
      <c r="C69" s="922"/>
      <c r="D69" s="1084"/>
      <c r="E69" s="1084"/>
      <c r="F69" s="1084"/>
      <c r="G69" s="1084"/>
      <c r="H69" s="1084"/>
      <c r="I69" s="1084"/>
      <c r="J69" s="1084"/>
      <c r="K69" s="1084"/>
      <c r="L69" s="1084"/>
      <c r="M69" s="1084"/>
      <c r="N69" s="1084"/>
      <c r="O69" s="1084"/>
      <c r="P69" s="1084"/>
      <c r="Q69" s="1084"/>
      <c r="R69" s="1084"/>
      <c r="S69" s="1084"/>
      <c r="T69" s="1084"/>
      <c r="U69" s="1084"/>
      <c r="V69" s="1084"/>
      <c r="W69" s="1084"/>
      <c r="X69" s="1084"/>
      <c r="Y69" s="1084"/>
      <c r="Z69" s="1084"/>
      <c r="AA69" s="1084"/>
      <c r="AB69" s="1084"/>
      <c r="AC69" s="1084"/>
      <c r="AD69" s="1084"/>
      <c r="AE69" s="1084"/>
      <c r="AF69" s="1084"/>
      <c r="AG69" s="1084"/>
      <c r="AH69" s="1084"/>
      <c r="AI69" s="1084"/>
      <c r="AJ69" s="1084"/>
      <c r="AK69" s="1084"/>
      <c r="AL69" s="1084"/>
      <c r="AM69" s="426"/>
      <c r="AN69" s="426"/>
      <c r="AO69" s="731"/>
      <c r="AP69" s="731"/>
      <c r="AQ69" s="731"/>
      <c r="AR69" s="731"/>
      <c r="AS69" s="731"/>
      <c r="AT69" s="731"/>
      <c r="AU69" s="731"/>
      <c r="AV69" s="731"/>
    </row>
    <row r="70" spans="1:48">
      <c r="A70" s="426"/>
      <c r="B70" s="304" t="s">
        <v>1335</v>
      </c>
      <c r="C70" s="444" t="s">
        <v>732</v>
      </c>
      <c r="D70" s="608">
        <v>37071</v>
      </c>
      <c r="E70" s="608">
        <v>38436</v>
      </c>
      <c r="F70" s="608">
        <v>40793</v>
      </c>
      <c r="G70" s="608">
        <v>43788</v>
      </c>
      <c r="H70" s="608">
        <v>44310</v>
      </c>
      <c r="I70" s="608">
        <v>46000</v>
      </c>
      <c r="J70" s="608">
        <v>48641</v>
      </c>
      <c r="K70" s="608">
        <v>52252</v>
      </c>
      <c r="L70" s="602">
        <v>53907</v>
      </c>
      <c r="M70" s="602">
        <v>56129</v>
      </c>
      <c r="N70" s="602">
        <v>57076</v>
      </c>
      <c r="O70" s="602">
        <v>59060</v>
      </c>
      <c r="P70" s="602">
        <v>59339</v>
      </c>
      <c r="Q70" s="602">
        <v>62234</v>
      </c>
      <c r="R70" s="247">
        <f t="shared" ref="R70:AL70" si="79">+Q74</f>
        <v>20326</v>
      </c>
      <c r="S70" s="247">
        <f t="shared" si="79"/>
        <v>19842</v>
      </c>
      <c r="T70" s="247">
        <f t="shared" si="79"/>
        <v>20450</v>
      </c>
      <c r="U70" s="247">
        <f t="shared" si="79"/>
        <v>20581</v>
      </c>
      <c r="V70" s="247">
        <f t="shared" si="79"/>
        <v>21350</v>
      </c>
      <c r="W70" s="247">
        <f t="shared" si="79"/>
        <v>21573</v>
      </c>
      <c r="X70" s="247">
        <f t="shared" si="79"/>
        <v>21836</v>
      </c>
      <c r="Y70" s="247">
        <f t="shared" si="79"/>
        <v>21499</v>
      </c>
      <c r="Z70" s="247">
        <f t="shared" si="79"/>
        <v>20863</v>
      </c>
      <c r="AA70" s="247">
        <f t="shared" si="79"/>
        <v>20485</v>
      </c>
      <c r="AB70" s="247">
        <f t="shared" si="79"/>
        <v>20969</v>
      </c>
      <c r="AC70" s="247">
        <f t="shared" si="79"/>
        <v>20867</v>
      </c>
      <c r="AD70" s="247">
        <f t="shared" si="79"/>
        <v>20651</v>
      </c>
      <c r="AE70" s="247">
        <f t="shared" si="79"/>
        <v>20179.871858306611</v>
      </c>
      <c r="AF70" s="247">
        <f t="shared" si="79"/>
        <v>19700.745640860576</v>
      </c>
      <c r="AG70" s="247">
        <f t="shared" si="79"/>
        <v>19212.380152864946</v>
      </c>
      <c r="AH70" s="247">
        <f t="shared" si="79"/>
        <v>18713.411661449976</v>
      </c>
      <c r="AI70" s="247">
        <f t="shared" si="79"/>
        <v>18202.412235495354</v>
      </c>
      <c r="AJ70" s="247">
        <f t="shared" si="79"/>
        <v>17677.851170517541</v>
      </c>
      <c r="AK70" s="247">
        <f t="shared" si="79"/>
        <v>16835.722738663218</v>
      </c>
      <c r="AL70" s="247">
        <f t="shared" si="79"/>
        <v>15645.661977638063</v>
      </c>
      <c r="AM70" s="426"/>
      <c r="AN70" s="426"/>
      <c r="AO70" s="731"/>
      <c r="AP70" s="731"/>
      <c r="AQ70" s="731"/>
      <c r="AR70" s="731"/>
      <c r="AS70" s="731"/>
      <c r="AT70" s="731"/>
      <c r="AU70" s="731"/>
      <c r="AV70" s="731"/>
    </row>
    <row r="71" spans="1:48">
      <c r="A71" s="426"/>
      <c r="B71" s="304" t="s">
        <v>1338</v>
      </c>
      <c r="C71" s="444" t="s">
        <v>732</v>
      </c>
      <c r="D71" s="608"/>
      <c r="E71" s="608"/>
      <c r="F71" s="608"/>
      <c r="G71" s="608"/>
      <c r="H71" s="608"/>
      <c r="I71" s="608"/>
      <c r="J71" s="608"/>
      <c r="K71" s="608"/>
      <c r="L71" s="602"/>
      <c r="M71" s="602"/>
      <c r="N71" s="602"/>
      <c r="O71" s="602"/>
      <c r="P71" s="602"/>
      <c r="Q71" s="602"/>
      <c r="R71" s="247"/>
      <c r="S71" s="247">
        <f t="shared" ref="S71:AB71" si="80">+S79</f>
        <v>2845</v>
      </c>
      <c r="T71" s="247">
        <f t="shared" si="80"/>
        <v>3051</v>
      </c>
      <c r="U71" s="247">
        <f t="shared" si="80"/>
        <v>3725</v>
      </c>
      <c r="V71" s="247">
        <f t="shared" si="80"/>
        <v>3571</v>
      </c>
      <c r="W71" s="247">
        <f t="shared" si="80"/>
        <v>3207</v>
      </c>
      <c r="X71" s="247">
        <f t="shared" si="80"/>
        <v>2341</v>
      </c>
      <c r="Y71" s="247">
        <f t="shared" si="80"/>
        <v>2079</v>
      </c>
      <c r="Z71" s="247">
        <f t="shared" si="80"/>
        <v>2176</v>
      </c>
      <c r="AA71" s="247">
        <f t="shared" si="80"/>
        <v>2474</v>
      </c>
      <c r="AB71" s="247">
        <f t="shared" si="80"/>
        <v>2288</v>
      </c>
      <c r="AC71" s="247">
        <f t="shared" ref="AC71" si="81">+AC79</f>
        <v>2375</v>
      </c>
      <c r="AD71" s="247">
        <f>+AD79-'Cash Flow Statement'!AD26</f>
        <v>2205.9610627004081</v>
      </c>
      <c r="AE71" s="247">
        <f>+AE79-'Cash Flow Statement'!AE26</f>
        <v>2265.9466308452579</v>
      </c>
      <c r="AF71" s="247">
        <f>+AF79-'Cash Flow Statement'!AF26</f>
        <v>2335.2411599672237</v>
      </c>
      <c r="AG71" s="247">
        <f>+AG79-'Cash Flow Statement'!AG26</f>
        <v>2414.7636856122763</v>
      </c>
      <c r="AH71" s="247">
        <f>+AH79-'Cash Flow Statement'!AH26</f>
        <v>2504.9956946596822</v>
      </c>
      <c r="AI71" s="247">
        <f>+AI79-'Cash Flow Statement'!AI26</f>
        <v>2606.7079873335992</v>
      </c>
      <c r="AJ71" s="247">
        <f>+AJ79-'Cash Flow Statement'!AJ26</f>
        <v>2418.6488431066373</v>
      </c>
      <c r="AK71" s="247">
        <f>+AK79-'Cash Flow Statement'!AK26</f>
        <v>2216.0704147425304</v>
      </c>
      <c r="AL71" s="247">
        <f>+AL79-'Cash Flow Statement'!AL26</f>
        <v>2316.9523878624905</v>
      </c>
      <c r="AM71" s="426"/>
      <c r="AN71" s="426"/>
      <c r="AO71" s="731"/>
      <c r="AP71" s="731"/>
      <c r="AQ71" s="731"/>
      <c r="AR71" s="731"/>
      <c r="AS71" s="731"/>
      <c r="AT71" s="731"/>
      <c r="AU71" s="731"/>
      <c r="AV71" s="731"/>
    </row>
    <row r="72" spans="1:48">
      <c r="A72" s="426"/>
      <c r="B72" s="304" t="s">
        <v>1339</v>
      </c>
      <c r="C72" s="444" t="s">
        <v>732</v>
      </c>
      <c r="D72" s="608"/>
      <c r="E72" s="608"/>
      <c r="F72" s="608"/>
      <c r="G72" s="608"/>
      <c r="H72" s="608"/>
      <c r="I72" s="608"/>
      <c r="J72" s="608"/>
      <c r="K72" s="608"/>
      <c r="L72" s="602"/>
      <c r="M72" s="602"/>
      <c r="N72" s="602"/>
      <c r="O72" s="602"/>
      <c r="P72" s="602"/>
      <c r="Q72" s="602"/>
      <c r="R72" s="247"/>
      <c r="S72" s="247">
        <f t="shared" ref="S72:AK72" si="82">-S83</f>
        <v>-2915</v>
      </c>
      <c r="T72" s="247">
        <f t="shared" si="82"/>
        <v>-2957</v>
      </c>
      <c r="U72" s="247">
        <f t="shared" si="82"/>
        <v>-3058</v>
      </c>
      <c r="V72" s="247">
        <f t="shared" si="82"/>
        <v>-3005</v>
      </c>
      <c r="W72" s="247">
        <f t="shared" si="82"/>
        <v>-2742</v>
      </c>
      <c r="X72" s="247">
        <f t="shared" si="82"/>
        <v>-2757</v>
      </c>
      <c r="Y72" s="247">
        <f t="shared" si="82"/>
        <v>-2606</v>
      </c>
      <c r="Z72" s="247">
        <f t="shared" si="82"/>
        <v>-2572</v>
      </c>
      <c r="AA72" s="247">
        <f t="shared" si="82"/>
        <v>-2424</v>
      </c>
      <c r="AB72" s="247">
        <f t="shared" si="82"/>
        <v>-2429</v>
      </c>
      <c r="AC72" s="247">
        <f t="shared" ref="AC72" si="83">-AC83</f>
        <v>-2414</v>
      </c>
      <c r="AD72" s="247">
        <f t="shared" si="82"/>
        <v>-2500.0892043937961</v>
      </c>
      <c r="AE72" s="247">
        <f t="shared" si="82"/>
        <v>-2568.0728482912923</v>
      </c>
      <c r="AF72" s="247">
        <f t="shared" si="82"/>
        <v>-2646.6066479628535</v>
      </c>
      <c r="AG72" s="247">
        <f t="shared" si="82"/>
        <v>-2736.7321770272465</v>
      </c>
      <c r="AH72" s="247">
        <f t="shared" si="82"/>
        <v>-2838.9951206143064</v>
      </c>
      <c r="AI72" s="247">
        <f t="shared" si="82"/>
        <v>-2954.2690523114125</v>
      </c>
      <c r="AJ72" s="247">
        <f t="shared" si="82"/>
        <v>-3083.7772749609626</v>
      </c>
      <c r="AK72" s="247">
        <f t="shared" si="82"/>
        <v>-3229.1311757676863</v>
      </c>
      <c r="AL72" s="247">
        <f t="shared" ref="AL72" si="84">-AL83</f>
        <v>-3376.130622313914</v>
      </c>
      <c r="AM72" s="426"/>
      <c r="AN72" s="426"/>
      <c r="AO72" s="731"/>
      <c r="AP72" s="731"/>
      <c r="AQ72" s="731"/>
      <c r="AR72" s="731"/>
      <c r="AS72" s="731"/>
      <c r="AT72" s="731"/>
      <c r="AU72" s="731"/>
      <c r="AV72" s="731"/>
    </row>
    <row r="73" spans="1:48">
      <c r="A73" s="426"/>
      <c r="B73" s="304" t="s">
        <v>28</v>
      </c>
      <c r="C73" s="444" t="s">
        <v>732</v>
      </c>
      <c r="D73" s="608"/>
      <c r="E73" s="608"/>
      <c r="F73" s="608"/>
      <c r="G73" s="608"/>
      <c r="H73" s="608"/>
      <c r="I73" s="608"/>
      <c r="J73" s="608"/>
      <c r="K73" s="608"/>
      <c r="L73" s="602"/>
      <c r="M73" s="602"/>
      <c r="N73" s="602"/>
      <c r="O73" s="602"/>
      <c r="P73" s="602"/>
      <c r="Q73" s="602"/>
      <c r="R73" s="247"/>
      <c r="S73" s="247">
        <f t="shared" ref="S73:AB73" si="85">+S74-SUM(S70:S72)</f>
        <v>678</v>
      </c>
      <c r="T73" s="247">
        <f t="shared" si="85"/>
        <v>37</v>
      </c>
      <c r="U73" s="247">
        <f t="shared" si="85"/>
        <v>102</v>
      </c>
      <c r="V73" s="247">
        <f t="shared" si="85"/>
        <v>-343</v>
      </c>
      <c r="W73" s="247">
        <f t="shared" si="85"/>
        <v>-202</v>
      </c>
      <c r="X73" s="247">
        <f t="shared" si="85"/>
        <v>79</v>
      </c>
      <c r="Y73" s="247">
        <f t="shared" si="85"/>
        <v>-109</v>
      </c>
      <c r="Z73" s="247">
        <f t="shared" si="85"/>
        <v>18</v>
      </c>
      <c r="AA73" s="247">
        <f t="shared" si="85"/>
        <v>434</v>
      </c>
      <c r="AB73" s="247">
        <f t="shared" si="85"/>
        <v>39</v>
      </c>
      <c r="AC73" s="247">
        <f t="shared" ref="AC73" si="86">+AC74-SUM(AC70:AC72)</f>
        <v>-177</v>
      </c>
      <c r="AD73" s="642">
        <f t="shared" ref="AD73:AL73" si="87">+AC73</f>
        <v>-177</v>
      </c>
      <c r="AE73" s="642">
        <f t="shared" si="87"/>
        <v>-177</v>
      </c>
      <c r="AF73" s="642">
        <f t="shared" si="87"/>
        <v>-177</v>
      </c>
      <c r="AG73" s="642">
        <f t="shared" si="87"/>
        <v>-177</v>
      </c>
      <c r="AH73" s="642">
        <f t="shared" si="87"/>
        <v>-177</v>
      </c>
      <c r="AI73" s="642">
        <f t="shared" si="87"/>
        <v>-177</v>
      </c>
      <c r="AJ73" s="642">
        <f t="shared" si="87"/>
        <v>-177</v>
      </c>
      <c r="AK73" s="642">
        <f t="shared" si="87"/>
        <v>-177</v>
      </c>
      <c r="AL73" s="642">
        <f t="shared" si="87"/>
        <v>-177</v>
      </c>
      <c r="AM73" s="426"/>
      <c r="AN73" s="426"/>
      <c r="AO73" s="731"/>
      <c r="AP73" s="731"/>
      <c r="AQ73" s="731"/>
      <c r="AR73" s="731"/>
      <c r="AS73" s="731"/>
      <c r="AT73" s="731"/>
      <c r="AU73" s="731"/>
      <c r="AV73" s="731"/>
    </row>
    <row r="74" spans="1:48">
      <c r="A74" s="305"/>
      <c r="B74" s="305" t="s">
        <v>1334</v>
      </c>
      <c r="C74" s="445" t="s">
        <v>732</v>
      </c>
      <c r="D74" s="332">
        <v>22316</v>
      </c>
      <c r="E74" s="332">
        <v>22803</v>
      </c>
      <c r="F74" s="332">
        <v>23421</v>
      </c>
      <c r="G74" s="332">
        <v>23012</v>
      </c>
      <c r="H74" s="332">
        <v>22863</v>
      </c>
      <c r="I74" s="332">
        <v>22891</v>
      </c>
      <c r="J74" s="332">
        <v>23592</v>
      </c>
      <c r="K74" s="332">
        <v>24607</v>
      </c>
      <c r="L74" s="424">
        <v>24311</v>
      </c>
      <c r="M74" s="424">
        <v>23895</v>
      </c>
      <c r="N74" s="424">
        <v>22894</v>
      </c>
      <c r="O74" s="424">
        <v>21790</v>
      </c>
      <c r="P74" s="424">
        <v>20504</v>
      </c>
      <c r="Q74" s="424">
        <v>20326</v>
      </c>
      <c r="R74" s="609">
        <v>19842</v>
      </c>
      <c r="S74" s="609">
        <v>20450</v>
      </c>
      <c r="T74" s="609">
        <v>20581</v>
      </c>
      <c r="U74" s="609">
        <v>21350</v>
      </c>
      <c r="V74" s="609">
        <v>21573</v>
      </c>
      <c r="W74" s="609">
        <v>21836</v>
      </c>
      <c r="X74" s="609">
        <v>21499</v>
      </c>
      <c r="Y74" s="609">
        <v>20863</v>
      </c>
      <c r="Z74" s="609">
        <v>20485</v>
      </c>
      <c r="AA74" s="609">
        <v>20969</v>
      </c>
      <c r="AB74" s="609">
        <v>20867</v>
      </c>
      <c r="AC74" s="609">
        <v>20651</v>
      </c>
      <c r="AD74" s="424">
        <f t="shared" ref="AD74:AK74" si="88">SUM(AD70:AD73)</f>
        <v>20179.871858306611</v>
      </c>
      <c r="AE74" s="424">
        <f t="shared" si="88"/>
        <v>19700.745640860576</v>
      </c>
      <c r="AF74" s="424">
        <f t="shared" si="88"/>
        <v>19212.380152864946</v>
      </c>
      <c r="AG74" s="424">
        <f t="shared" si="88"/>
        <v>18713.411661449976</v>
      </c>
      <c r="AH74" s="424">
        <f t="shared" si="88"/>
        <v>18202.412235495354</v>
      </c>
      <c r="AI74" s="424">
        <f t="shared" si="88"/>
        <v>17677.851170517541</v>
      </c>
      <c r="AJ74" s="424">
        <f t="shared" si="88"/>
        <v>16835.722738663218</v>
      </c>
      <c r="AK74" s="424">
        <f t="shared" si="88"/>
        <v>15645.661977638063</v>
      </c>
      <c r="AL74" s="424">
        <f t="shared" ref="AL74" si="89">SUM(AL70:AL73)</f>
        <v>14409.48374318664</v>
      </c>
      <c r="AM74" s="305"/>
      <c r="AN74" s="305"/>
      <c r="AO74" s="731"/>
      <c r="AP74" s="731"/>
      <c r="AQ74" s="731"/>
      <c r="AR74" s="731"/>
      <c r="AS74" s="731"/>
      <c r="AT74" s="731"/>
      <c r="AU74" s="731"/>
      <c r="AV74" s="731"/>
    </row>
    <row r="75" spans="1:48">
      <c r="A75" s="426"/>
      <c r="B75" s="426"/>
      <c r="C75" s="444"/>
      <c r="D75" s="56"/>
      <c r="E75" s="56"/>
      <c r="F75" s="56"/>
      <c r="G75" s="56"/>
      <c r="H75" s="56"/>
      <c r="I75" s="56"/>
      <c r="J75" s="56"/>
      <c r="K75" s="56"/>
      <c r="L75" s="56"/>
      <c r="M75" s="56"/>
      <c r="N75" s="56"/>
      <c r="O75" s="56"/>
      <c r="P75" s="56"/>
      <c r="Q75" s="56"/>
      <c r="R75" s="56"/>
      <c r="S75" s="56"/>
      <c r="T75" s="56"/>
      <c r="U75" s="56"/>
      <c r="V75" s="56"/>
      <c r="W75" s="56"/>
      <c r="X75" s="56"/>
      <c r="Y75" s="56"/>
      <c r="Z75" s="56"/>
      <c r="AA75" s="56"/>
      <c r="AB75" s="56"/>
      <c r="AC75" s="56"/>
      <c r="AD75" s="56"/>
      <c r="AE75" s="56"/>
      <c r="AF75" s="56"/>
      <c r="AG75" s="56"/>
      <c r="AH75" s="56"/>
      <c r="AI75" s="56"/>
      <c r="AJ75" s="56"/>
      <c r="AK75" s="56"/>
      <c r="AL75" s="56"/>
      <c r="AM75" s="426"/>
      <c r="AN75" s="426"/>
      <c r="AO75" s="731"/>
      <c r="AP75" s="731"/>
      <c r="AQ75" s="731"/>
      <c r="AR75" s="731"/>
      <c r="AS75" s="731"/>
      <c r="AT75" s="731"/>
      <c r="AU75" s="731"/>
      <c r="AV75" s="731"/>
    </row>
    <row r="76" spans="1:48">
      <c r="A76" s="426"/>
      <c r="B76" s="426" t="s">
        <v>736</v>
      </c>
      <c r="C76" s="444" t="s">
        <v>732</v>
      </c>
      <c r="D76" s="334"/>
      <c r="E76" s="334">
        <f t="shared" ref="E76:O76" si="90">E70-D70</f>
        <v>1365</v>
      </c>
      <c r="F76" s="334">
        <f t="shared" si="90"/>
        <v>2357</v>
      </c>
      <c r="G76" s="334">
        <f t="shared" si="90"/>
        <v>2995</v>
      </c>
      <c r="H76" s="334">
        <f t="shared" si="90"/>
        <v>522</v>
      </c>
      <c r="I76" s="334">
        <f t="shared" si="90"/>
        <v>1690</v>
      </c>
      <c r="J76" s="334">
        <f t="shared" si="90"/>
        <v>2641</v>
      </c>
      <c r="K76" s="334">
        <f t="shared" si="90"/>
        <v>3611</v>
      </c>
      <c r="L76" s="247">
        <f t="shared" si="90"/>
        <v>1655</v>
      </c>
      <c r="M76" s="247">
        <f t="shared" si="90"/>
        <v>2222</v>
      </c>
      <c r="N76" s="247">
        <f t="shared" si="90"/>
        <v>947</v>
      </c>
      <c r="O76" s="247">
        <f t="shared" si="90"/>
        <v>1984</v>
      </c>
      <c r="P76" s="247">
        <f t="shared" ref="P76:AK76" si="91">P79</f>
        <v>3006</v>
      </c>
      <c r="Q76" s="247">
        <f t="shared" si="91"/>
        <v>2818</v>
      </c>
      <c r="R76" s="247">
        <f t="shared" si="91"/>
        <v>2868</v>
      </c>
      <c r="S76" s="247">
        <f t="shared" si="91"/>
        <v>2845</v>
      </c>
      <c r="T76" s="247">
        <f t="shared" si="91"/>
        <v>3051</v>
      </c>
      <c r="U76" s="247">
        <f t="shared" si="91"/>
        <v>3725</v>
      </c>
      <c r="V76" s="247">
        <f t="shared" si="91"/>
        <v>3571</v>
      </c>
      <c r="W76" s="247">
        <f t="shared" si="91"/>
        <v>3207</v>
      </c>
      <c r="X76" s="247">
        <f t="shared" si="91"/>
        <v>2341</v>
      </c>
      <c r="Y76" s="247">
        <f t="shared" si="91"/>
        <v>2079</v>
      </c>
      <c r="Z76" s="247">
        <f t="shared" si="91"/>
        <v>2176</v>
      </c>
      <c r="AA76" s="247">
        <f t="shared" si="91"/>
        <v>2474</v>
      </c>
      <c r="AB76" s="247">
        <f t="shared" si="91"/>
        <v>2288</v>
      </c>
      <c r="AC76" s="247">
        <f t="shared" ref="AC76" si="92">AC79</f>
        <v>2375</v>
      </c>
      <c r="AD76" s="247">
        <f t="shared" si="91"/>
        <v>2205.9610627004081</v>
      </c>
      <c r="AE76" s="247">
        <f t="shared" si="91"/>
        <v>2265.9466308452579</v>
      </c>
      <c r="AF76" s="247">
        <f t="shared" si="91"/>
        <v>2335.2411599672237</v>
      </c>
      <c r="AG76" s="247">
        <f t="shared" si="91"/>
        <v>2414.7636856122763</v>
      </c>
      <c r="AH76" s="247">
        <f t="shared" si="91"/>
        <v>2504.9956946596822</v>
      </c>
      <c r="AI76" s="247">
        <f t="shared" si="91"/>
        <v>2606.7079873335992</v>
      </c>
      <c r="AJ76" s="247">
        <f t="shared" si="91"/>
        <v>2418.6488431066373</v>
      </c>
      <c r="AK76" s="247">
        <f t="shared" si="91"/>
        <v>2216.0704147425304</v>
      </c>
      <c r="AL76" s="247">
        <f t="shared" ref="AL76" si="93">AL79</f>
        <v>2316.9523878624905</v>
      </c>
      <c r="AM76" s="426"/>
      <c r="AN76" s="426"/>
      <c r="AO76" s="731"/>
      <c r="AP76" s="731"/>
      <c r="AQ76" s="731"/>
      <c r="AR76" s="731"/>
      <c r="AS76" s="731"/>
      <c r="AT76" s="731"/>
      <c r="AU76" s="731"/>
      <c r="AV76" s="731"/>
    </row>
    <row r="77" spans="1:48">
      <c r="A77" s="426"/>
      <c r="B77" s="1085" t="s">
        <v>1206</v>
      </c>
      <c r="C77" s="446" t="s">
        <v>733</v>
      </c>
      <c r="D77" s="29"/>
      <c r="E77" s="29">
        <f>E76/'Revenue Assumptions'!L1288</f>
        <v>7.0158305921052627E-2</v>
      </c>
      <c r="F77" s="29">
        <f>F76/'Revenue Assumptions'!M1288</f>
        <v>0.11670050007426845</v>
      </c>
      <c r="G77" s="29">
        <f>G76/'Revenue Assumptions'!N1288</f>
        <v>0.14695780176643769</v>
      </c>
      <c r="H77" s="29">
        <f>H76/'Revenue Assumptions'!O1288</f>
        <v>2.562214695921072E-2</v>
      </c>
      <c r="I77" s="29">
        <f>I76/'Revenue Assumptions'!P1288</f>
        <v>7.6260096566039437E-2</v>
      </c>
      <c r="J77" s="29">
        <f>J76/'Revenue Assumptions'!Q1288</f>
        <v>0.11628214159915463</v>
      </c>
      <c r="K77" s="29">
        <f>K76/'Revenue Assumptions'!R1288</f>
        <v>0.15253664512313606</v>
      </c>
      <c r="L77" s="111">
        <f>L76/'Revenue Assumptions'!S1288</f>
        <v>6.7137782741845453E-2</v>
      </c>
      <c r="M77" s="111">
        <f>M76/'Revenue Assumptions'!T1288</f>
        <v>8.7579436465716753E-2</v>
      </c>
      <c r="N77" s="111">
        <f>N76/'Revenue Assumptions'!U1288</f>
        <v>3.8165704202567194E-2</v>
      </c>
      <c r="O77" s="111">
        <f>O76/'Revenue Assumptions'!V1288</f>
        <v>7.9414100564059523E-2</v>
      </c>
      <c r="P77" s="111">
        <f>P76/'Revenue Assumptions'!W1288</f>
        <v>0.11913529515932003</v>
      </c>
      <c r="Q77" s="111">
        <f>Q76/'Revenue Assumptions'!X1288</f>
        <v>0.11055446671433559</v>
      </c>
      <c r="R77" s="111">
        <f>R76/'Revenue Assumptions'!Y1288</f>
        <v>0.11470297197020705</v>
      </c>
      <c r="S77" s="365">
        <f>S76/'P&amp;L'!S171</f>
        <v>0.11221334375642138</v>
      </c>
      <c r="T77" s="365">
        <f>T76/'P&amp;L'!T171</f>
        <v>0.11284504786738245</v>
      </c>
      <c r="U77" s="365">
        <f>U76/'P&amp;L'!U171</f>
        <v>0.13213438435062419</v>
      </c>
      <c r="V77" s="365">
        <f>V76/'P&amp;L'!V21</f>
        <v>0.12381678859956312</v>
      </c>
      <c r="W77" s="365">
        <f>W76/'P&amp;L'!W21</f>
        <v>0.11533067213291617</v>
      </c>
      <c r="X77" s="365">
        <f>X76/'P&amp;L'!X21</f>
        <v>9.0257161583837758E-2</v>
      </c>
      <c r="Y77" s="365">
        <f>Y76/'P&amp;L'!Y21</f>
        <v>8.9875497146809619E-2</v>
      </c>
      <c r="Z77" s="365">
        <f>Z76/'P&amp;L'!Z21</f>
        <v>9.8707189838965759E-2</v>
      </c>
      <c r="AA77" s="365">
        <f>AA76/'P&amp;L'!AA21</f>
        <v>0.1064314469625294</v>
      </c>
      <c r="AB77" s="365">
        <f>AB76/'P&amp;L'!AB21</f>
        <v>9.7436334213440084E-2</v>
      </c>
      <c r="AC77" s="365">
        <f>AC76/'P&amp;L'!AC21</f>
        <v>0.10059296908089793</v>
      </c>
      <c r="AD77" s="365">
        <f>AD76/'P&amp;L'!AD21</f>
        <v>0.09</v>
      </c>
      <c r="AE77" s="365">
        <f>AE76/'P&amp;L'!AE21</f>
        <v>8.9999999999999983E-2</v>
      </c>
      <c r="AF77" s="365">
        <f>AF76/'P&amp;L'!AF21</f>
        <v>0.09</v>
      </c>
      <c r="AG77" s="365">
        <f>AG76/'P&amp;L'!AG21</f>
        <v>8.9999999999999983E-2</v>
      </c>
      <c r="AH77" s="365">
        <f>AH76/'P&amp;L'!AH21</f>
        <v>8.9999999999999983E-2</v>
      </c>
      <c r="AI77" s="365">
        <f>AI76/'P&amp;L'!AI21</f>
        <v>0.09</v>
      </c>
      <c r="AJ77" s="365">
        <f>AJ76/'P&amp;L'!AJ21</f>
        <v>0.08</v>
      </c>
      <c r="AK77" s="365">
        <f>AK76/'P&amp;L'!AK21</f>
        <v>7.0000000000000007E-2</v>
      </c>
      <c r="AL77" s="365">
        <f>AL76/'P&amp;L'!AL21</f>
        <v>7.0000000000000007E-2</v>
      </c>
      <c r="AM77" s="426"/>
      <c r="AN77" s="426"/>
      <c r="AO77" s="731"/>
      <c r="AP77" s="731"/>
      <c r="AQ77" s="731"/>
      <c r="AR77" s="731"/>
      <c r="AS77" s="731"/>
      <c r="AT77" s="731"/>
      <c r="AU77" s="731"/>
      <c r="AV77" s="731"/>
    </row>
    <row r="78" spans="1:48" ht="15.6">
      <c r="A78" s="426"/>
      <c r="B78" s="1082"/>
      <c r="C78" s="444"/>
      <c r="D78" s="409"/>
      <c r="E78" s="409"/>
      <c r="F78" s="409"/>
      <c r="G78" s="409"/>
      <c r="H78" s="409"/>
      <c r="I78" s="409"/>
      <c r="J78" s="409"/>
      <c r="K78" s="409"/>
      <c r="L78" s="409"/>
      <c r="M78" s="409"/>
      <c r="N78" s="409"/>
      <c r="O78" s="409"/>
      <c r="P78" s="409"/>
      <c r="Q78" s="409"/>
      <c r="R78" s="409"/>
      <c r="S78" s="409"/>
      <c r="T78" s="409"/>
      <c r="U78" s="409"/>
      <c r="V78" s="409"/>
      <c r="W78" s="409"/>
      <c r="X78" s="409"/>
      <c r="Y78" s="409"/>
      <c r="Z78" s="409"/>
      <c r="AA78" s="409"/>
      <c r="AB78" s="409"/>
      <c r="AC78" s="409"/>
      <c r="AD78" s="409"/>
      <c r="AE78" s="409"/>
      <c r="AF78" s="409"/>
      <c r="AG78" s="409"/>
      <c r="AH78" s="409"/>
      <c r="AI78" s="409"/>
      <c r="AJ78" s="409"/>
      <c r="AK78" s="409"/>
      <c r="AL78" s="409"/>
      <c r="AM78" s="426"/>
      <c r="AN78" s="426"/>
      <c r="AO78" s="731"/>
      <c r="AP78" s="731"/>
      <c r="AQ78" s="731"/>
      <c r="AR78" s="731"/>
      <c r="AS78" s="731"/>
      <c r="AT78" s="731"/>
      <c r="AU78" s="731"/>
      <c r="AV78" s="731"/>
    </row>
    <row r="79" spans="1:48">
      <c r="A79" s="426"/>
      <c r="B79" s="304" t="s">
        <v>1331</v>
      </c>
      <c r="C79" s="410" t="s">
        <v>732</v>
      </c>
      <c r="D79" s="334"/>
      <c r="E79" s="334"/>
      <c r="F79" s="334"/>
      <c r="G79" s="334"/>
      <c r="H79" s="334"/>
      <c r="I79" s="334"/>
      <c r="J79" s="334"/>
      <c r="K79" s="1080">
        <v>4657</v>
      </c>
      <c r="L79" s="610">
        <v>3862</v>
      </c>
      <c r="M79" s="610">
        <v>3263</v>
      </c>
      <c r="N79" s="610">
        <v>2718</v>
      </c>
      <c r="O79" s="610">
        <v>2342</v>
      </c>
      <c r="P79" s="610">
        <v>3006</v>
      </c>
      <c r="Q79" s="610">
        <v>2818</v>
      </c>
      <c r="R79" s="610">
        <v>2868</v>
      </c>
      <c r="S79" s="611">
        <v>2845</v>
      </c>
      <c r="T79" s="611">
        <v>3051</v>
      </c>
      <c r="U79" s="611">
        <v>3725</v>
      </c>
      <c r="V79" s="611">
        <v>3571</v>
      </c>
      <c r="W79" s="611">
        <v>3207</v>
      </c>
      <c r="X79" s="611">
        <v>2341</v>
      </c>
      <c r="Y79" s="611">
        <v>2079</v>
      </c>
      <c r="Z79" s="611">
        <v>2176</v>
      </c>
      <c r="AA79" s="611">
        <v>2474</v>
      </c>
      <c r="AB79" s="611">
        <v>2288</v>
      </c>
      <c r="AC79" s="611">
        <v>2375</v>
      </c>
      <c r="AD79" s="277">
        <f>+'P&amp;L'!AD$21*AD80</f>
        <v>2205.9610627004081</v>
      </c>
      <c r="AE79" s="277">
        <f>+'P&amp;L'!AE$21*AE80</f>
        <v>2265.9466308452579</v>
      </c>
      <c r="AF79" s="277">
        <f>+'P&amp;L'!AF$21*AF80</f>
        <v>2335.2411599672237</v>
      </c>
      <c r="AG79" s="277">
        <f>+'P&amp;L'!AG$21*AG80</f>
        <v>2414.7636856122763</v>
      </c>
      <c r="AH79" s="277">
        <f>+'P&amp;L'!AH$21*AH80</f>
        <v>2504.9956946596822</v>
      </c>
      <c r="AI79" s="277">
        <f>+'P&amp;L'!AI$21*AI80</f>
        <v>2606.7079873335992</v>
      </c>
      <c r="AJ79" s="277">
        <f>+'P&amp;L'!AJ$21*AJ80</f>
        <v>2418.6488431066373</v>
      </c>
      <c r="AK79" s="277">
        <f>+'P&amp;L'!AK$21*AK80</f>
        <v>2216.0704147425304</v>
      </c>
      <c r="AL79" s="277">
        <f>+'P&amp;L'!AL$21*AL80</f>
        <v>2316.9523878624905</v>
      </c>
      <c r="AM79" s="426"/>
      <c r="AN79" s="426"/>
      <c r="AO79" s="731"/>
      <c r="AP79" s="731"/>
      <c r="AQ79" s="731"/>
      <c r="AR79" s="731"/>
      <c r="AS79" s="731"/>
      <c r="AT79" s="731"/>
      <c r="AU79" s="731"/>
      <c r="AV79" s="731"/>
    </row>
    <row r="80" spans="1:48">
      <c r="A80" s="426"/>
      <c r="B80" s="1085" t="s">
        <v>1206</v>
      </c>
      <c r="C80" s="410" t="s">
        <v>733</v>
      </c>
      <c r="D80" s="334"/>
      <c r="E80" s="334"/>
      <c r="F80" s="334"/>
      <c r="G80" s="334"/>
      <c r="H80" s="334"/>
      <c r="I80" s="334"/>
      <c r="J80" s="334"/>
      <c r="K80" s="334"/>
      <c r="L80" s="311">
        <f>+L79/'P&amp;L'!L171</f>
        <v>0.15240846906563776</v>
      </c>
      <c r="M80" s="311">
        <f>+M79/'P&amp;L'!M171</f>
        <v>0.12724098683476043</v>
      </c>
      <c r="N80" s="311">
        <f>+N79/'P&amp;L'!N171</f>
        <v>0.10859900858535385</v>
      </c>
      <c r="O80" s="311">
        <f>+O79/'P&amp;L'!O171</f>
        <v>9.2554650799335281E-2</v>
      </c>
      <c r="P80" s="311">
        <f>+P79/'P&amp;L'!P171</f>
        <v>0.11786933051613162</v>
      </c>
      <c r="Q80" s="311">
        <f>+Q79/'P&amp;L'!Q171</f>
        <v>0.10851943709712995</v>
      </c>
      <c r="R80" s="311">
        <f>+R79/'P&amp;L'!R171</f>
        <v>0.11470297197020705</v>
      </c>
      <c r="S80" s="311">
        <f>+S79/'P&amp;L'!S171</f>
        <v>0.11221334375642138</v>
      </c>
      <c r="T80" s="311">
        <f>+T79/'P&amp;L'!T171</f>
        <v>0.11284504786738245</v>
      </c>
      <c r="U80" s="311">
        <f>+U79/'P&amp;L'!U171</f>
        <v>0.13213438435062419</v>
      </c>
      <c r="V80" s="311">
        <f>+V79/'P&amp;L'!V21</f>
        <v>0.12381678859956312</v>
      </c>
      <c r="W80" s="311">
        <f>+W79/'P&amp;L'!W21</f>
        <v>0.11533067213291617</v>
      </c>
      <c r="X80" s="311">
        <f>+X79/'P&amp;L'!X21</f>
        <v>9.0257161583837758E-2</v>
      </c>
      <c r="Y80" s="311">
        <f>+Y79/'P&amp;L'!Y21</f>
        <v>8.9875497146809619E-2</v>
      </c>
      <c r="Z80" s="311">
        <f>+Z79/'P&amp;L'!Z21</f>
        <v>9.8707189838965759E-2</v>
      </c>
      <c r="AA80" s="311">
        <f>+AA79/'P&amp;L'!AA21</f>
        <v>0.1064314469625294</v>
      </c>
      <c r="AB80" s="311">
        <f>+AB79/'P&amp;L'!AB21</f>
        <v>9.7436334213440084E-2</v>
      </c>
      <c r="AC80" s="311">
        <f>+AC79/'P&amp;L'!AC21</f>
        <v>0.10059296908089793</v>
      </c>
      <c r="AD80" s="621">
        <v>0.09</v>
      </c>
      <c r="AE80" s="621">
        <f>AD80</f>
        <v>0.09</v>
      </c>
      <c r="AF80" s="621">
        <f t="shared" ref="AF80:AI80" si="94">AE80</f>
        <v>0.09</v>
      </c>
      <c r="AG80" s="621">
        <f t="shared" si="94"/>
        <v>0.09</v>
      </c>
      <c r="AH80" s="621">
        <f t="shared" si="94"/>
        <v>0.09</v>
      </c>
      <c r="AI80" s="621">
        <f t="shared" si="94"/>
        <v>0.09</v>
      </c>
      <c r="AJ80" s="621">
        <v>0.08</v>
      </c>
      <c r="AK80" s="621">
        <v>7.0000000000000007E-2</v>
      </c>
      <c r="AL80" s="621">
        <v>7.0000000000000007E-2</v>
      </c>
      <c r="AM80" s="426">
        <v>5.303755719409013</v>
      </c>
      <c r="AN80" s="426"/>
      <c r="AO80" s="731"/>
      <c r="AP80" s="731"/>
      <c r="AQ80" s="731"/>
      <c r="AR80" s="731"/>
      <c r="AS80" s="731"/>
      <c r="AT80" s="731"/>
      <c r="AU80" s="731"/>
      <c r="AV80" s="731"/>
    </row>
    <row r="81" spans="1:48">
      <c r="A81" s="426"/>
      <c r="B81" s="426"/>
      <c r="C81" s="298"/>
      <c r="D81" s="334"/>
      <c r="E81" s="334"/>
      <c r="F81" s="334"/>
      <c r="G81" s="334"/>
      <c r="H81" s="334"/>
      <c r="I81" s="334"/>
      <c r="J81" s="334"/>
      <c r="K81" s="334"/>
      <c r="L81" s="334"/>
      <c r="M81" s="334"/>
      <c r="N81" s="334"/>
      <c r="O81" s="334"/>
      <c r="P81" s="334"/>
      <c r="Q81" s="334"/>
      <c r="R81" s="334"/>
      <c r="S81" s="334"/>
      <c r="T81" s="334"/>
      <c r="U81" s="334"/>
      <c r="V81" s="334"/>
      <c r="W81" s="334"/>
      <c r="X81" s="334"/>
      <c r="Y81" s="334"/>
      <c r="Z81" s="334"/>
      <c r="AA81" s="334"/>
      <c r="AB81" s="334"/>
      <c r="AC81" s="334"/>
      <c r="AD81" s="334"/>
      <c r="AE81" s="334"/>
      <c r="AF81" s="334"/>
      <c r="AG81" s="334"/>
      <c r="AH81" s="334"/>
      <c r="AI81" s="334"/>
      <c r="AJ81" s="334"/>
      <c r="AK81" s="334"/>
      <c r="AL81" s="334"/>
      <c r="AM81" s="426"/>
      <c r="AN81" s="705"/>
      <c r="AO81" s="731"/>
      <c r="AP81" s="731"/>
      <c r="AQ81" s="731"/>
      <c r="AR81" s="731"/>
      <c r="AS81" s="731"/>
      <c r="AT81" s="731"/>
      <c r="AU81" s="731"/>
      <c r="AV81" s="731"/>
    </row>
    <row r="82" spans="1:48">
      <c r="A82" s="426"/>
      <c r="B82" s="304" t="s">
        <v>1330</v>
      </c>
      <c r="C82" s="444" t="s">
        <v>732</v>
      </c>
      <c r="D82" s="603">
        <v>2343</v>
      </c>
      <c r="E82" s="603">
        <v>2386</v>
      </c>
      <c r="F82" s="603">
        <v>2612</v>
      </c>
      <c r="G82" s="603">
        <v>2703</v>
      </c>
      <c r="H82" s="603">
        <v>2873</v>
      </c>
      <c r="I82" s="603">
        <v>2876</v>
      </c>
      <c r="J82" s="603">
        <v>3174</v>
      </c>
      <c r="K82" s="603">
        <v>3344</v>
      </c>
      <c r="L82" s="602">
        <v>3486</v>
      </c>
      <c r="M82" s="602">
        <v>3624</v>
      </c>
      <c r="N82" s="602">
        <v>3440</v>
      </c>
      <c r="O82" s="602">
        <v>3454</v>
      </c>
      <c r="P82" s="602">
        <v>3305</v>
      </c>
      <c r="Q82" s="602">
        <v>3073</v>
      </c>
      <c r="R82" s="610">
        <v>2886</v>
      </c>
      <c r="S82" s="610">
        <v>2915</v>
      </c>
      <c r="T82" s="610">
        <v>2957</v>
      </c>
      <c r="U82" s="610">
        <v>3058</v>
      </c>
      <c r="V82" s="610">
        <v>3005</v>
      </c>
      <c r="W82" s="610">
        <v>2742</v>
      </c>
      <c r="X82" s="610">
        <v>2757</v>
      </c>
      <c r="Y82" s="610">
        <v>2606</v>
      </c>
      <c r="Z82" s="610">
        <v>2572</v>
      </c>
      <c r="AA82" s="610">
        <v>2424</v>
      </c>
      <c r="AB82" s="610">
        <v>2429</v>
      </c>
      <c r="AC82" s="610">
        <v>2414</v>
      </c>
      <c r="AD82" s="249"/>
      <c r="AE82" s="249"/>
      <c r="AF82" s="249"/>
      <c r="AG82" s="249"/>
      <c r="AH82" s="249"/>
      <c r="AI82" s="249"/>
      <c r="AJ82" s="249"/>
      <c r="AK82" s="249"/>
      <c r="AL82" s="249"/>
      <c r="AM82" s="426"/>
      <c r="AN82" s="426"/>
      <c r="AO82" s="731"/>
      <c r="AP82" s="731"/>
      <c r="AQ82" s="731"/>
      <c r="AR82" s="731"/>
      <c r="AS82" s="731"/>
      <c r="AT82" s="731"/>
      <c r="AU82" s="731"/>
      <c r="AV82" s="731"/>
    </row>
    <row r="83" spans="1:48">
      <c r="A83" s="426"/>
      <c r="B83" s="304" t="s">
        <v>1336</v>
      </c>
      <c r="C83" s="444" t="s">
        <v>732</v>
      </c>
      <c r="D83" s="409"/>
      <c r="E83" s="334">
        <v>878</v>
      </c>
      <c r="F83" s="334">
        <v>1739</v>
      </c>
      <c r="G83" s="334">
        <v>3404</v>
      </c>
      <c r="H83" s="334">
        <v>671</v>
      </c>
      <c r="I83" s="334">
        <v>1662</v>
      </c>
      <c r="J83" s="334">
        <v>1940</v>
      </c>
      <c r="K83" s="334">
        <v>2596</v>
      </c>
      <c r="L83" s="247">
        <v>1951</v>
      </c>
      <c r="M83" s="247">
        <v>2638</v>
      </c>
      <c r="N83" s="247">
        <v>1948</v>
      </c>
      <c r="O83" s="247">
        <v>3088</v>
      </c>
      <c r="P83" s="247">
        <f>P84*(AVERAGE(O70,P70))</f>
        <v>9252.1089279803291</v>
      </c>
      <c r="Q83" s="247">
        <f>Q84*(AVERAGE(P70,Q70))</f>
        <v>9149.9835660053886</v>
      </c>
      <c r="R83" s="247">
        <f t="shared" ref="R83:AB83" si="95">R82</f>
        <v>2886</v>
      </c>
      <c r="S83" s="247">
        <f t="shared" si="95"/>
        <v>2915</v>
      </c>
      <c r="T83" s="247">
        <f t="shared" si="95"/>
        <v>2957</v>
      </c>
      <c r="U83" s="247">
        <f t="shared" si="95"/>
        <v>3058</v>
      </c>
      <c r="V83" s="247">
        <f t="shared" si="95"/>
        <v>3005</v>
      </c>
      <c r="W83" s="247">
        <f t="shared" si="95"/>
        <v>2742</v>
      </c>
      <c r="X83" s="247">
        <f t="shared" si="95"/>
        <v>2757</v>
      </c>
      <c r="Y83" s="247">
        <f t="shared" si="95"/>
        <v>2606</v>
      </c>
      <c r="Z83" s="247">
        <f t="shared" si="95"/>
        <v>2572</v>
      </c>
      <c r="AA83" s="247">
        <f t="shared" si="95"/>
        <v>2424</v>
      </c>
      <c r="AB83" s="247">
        <f t="shared" si="95"/>
        <v>2429</v>
      </c>
      <c r="AC83" s="247">
        <f t="shared" ref="AC83" si="96">AC82</f>
        <v>2414</v>
      </c>
      <c r="AD83" s="247">
        <f>+'P&amp;L'!AD21*'Cost + BS Assumptions'!AD85</f>
        <v>2500.0892043937961</v>
      </c>
      <c r="AE83" s="247">
        <f>+'P&amp;L'!AE21*'Cost + BS Assumptions'!AE85</f>
        <v>2568.0728482912923</v>
      </c>
      <c r="AF83" s="247">
        <f>+'P&amp;L'!AF21*'Cost + BS Assumptions'!AF85</f>
        <v>2646.6066479628535</v>
      </c>
      <c r="AG83" s="247">
        <f>+'P&amp;L'!AG21*'Cost + BS Assumptions'!AG85</f>
        <v>2736.7321770272465</v>
      </c>
      <c r="AH83" s="247">
        <f>+'P&amp;L'!AH21*'Cost + BS Assumptions'!AH85</f>
        <v>2838.9951206143064</v>
      </c>
      <c r="AI83" s="247">
        <f>+'P&amp;L'!AI21*'Cost + BS Assumptions'!AI85</f>
        <v>2954.2690523114125</v>
      </c>
      <c r="AJ83" s="247">
        <f>+'P&amp;L'!AJ21*'Cost + BS Assumptions'!AJ85</f>
        <v>3083.7772749609626</v>
      </c>
      <c r="AK83" s="247">
        <f>+'P&amp;L'!AK21*'Cost + BS Assumptions'!AK85</f>
        <v>3229.1311757676863</v>
      </c>
      <c r="AL83" s="247">
        <f>+'P&amp;L'!AL21*'Cost + BS Assumptions'!AL85</f>
        <v>3376.130622313914</v>
      </c>
      <c r="AM83" s="426"/>
      <c r="AN83" s="426"/>
      <c r="AO83" s="731"/>
      <c r="AP83" s="731"/>
      <c r="AQ83" s="731"/>
      <c r="AR83" s="731"/>
      <c r="AS83" s="731"/>
      <c r="AT83" s="731"/>
      <c r="AU83" s="731"/>
      <c r="AV83" s="731"/>
    </row>
    <row r="84" spans="1:48">
      <c r="A84" s="426"/>
      <c r="B84" s="1085" t="s">
        <v>1337</v>
      </c>
      <c r="C84" s="444" t="s">
        <v>733</v>
      </c>
      <c r="D84" s="409"/>
      <c r="E84" s="111">
        <f t="shared" ref="E84:R84" si="97">E82/AVERAGE(D74,E74)</f>
        <v>0.10576475542454399</v>
      </c>
      <c r="F84" s="111">
        <f t="shared" si="97"/>
        <v>0.11301488404292143</v>
      </c>
      <c r="G84" s="111">
        <f t="shared" si="97"/>
        <v>0.11642581784506709</v>
      </c>
      <c r="H84" s="111">
        <f t="shared" si="97"/>
        <v>0.1252534059945504</v>
      </c>
      <c r="I84" s="111">
        <f t="shared" si="97"/>
        <v>0.12571578441229181</v>
      </c>
      <c r="J84" s="111">
        <f t="shared" si="97"/>
        <v>0.13656605640771896</v>
      </c>
      <c r="K84" s="111">
        <f t="shared" si="97"/>
        <v>0.13875806552003153</v>
      </c>
      <c r="L84" s="111">
        <f t="shared" si="97"/>
        <v>0.14252422421194652</v>
      </c>
      <c r="M84" s="111">
        <f t="shared" si="97"/>
        <v>0.15035472762726632</v>
      </c>
      <c r="N84" s="111">
        <f t="shared" si="97"/>
        <v>0.14704310842291993</v>
      </c>
      <c r="O84" s="111">
        <f t="shared" si="97"/>
        <v>0.15459672365947544</v>
      </c>
      <c r="P84" s="111">
        <f t="shared" si="97"/>
        <v>0.15628694377453067</v>
      </c>
      <c r="Q84" s="111">
        <f t="shared" si="97"/>
        <v>0.15052657359784472</v>
      </c>
      <c r="R84" s="111">
        <f t="shared" si="97"/>
        <v>0.14369647480581557</v>
      </c>
      <c r="S84" s="365">
        <f t="shared" ref="S84:AL84" si="98">S83/AVERAGE(R74,S74)</f>
        <v>0.14469373572917701</v>
      </c>
      <c r="T84" s="365">
        <f t="shared" si="98"/>
        <v>0.14413492237576467</v>
      </c>
      <c r="U84" s="365">
        <f t="shared" si="98"/>
        <v>0.14585867258114521</v>
      </c>
      <c r="V84" s="365">
        <f t="shared" si="98"/>
        <v>0.14001817207557721</v>
      </c>
      <c r="W84" s="365">
        <f t="shared" si="98"/>
        <v>0.12633324886544264</v>
      </c>
      <c r="X84" s="365">
        <f t="shared" si="98"/>
        <v>0.12724125995154031</v>
      </c>
      <c r="Y84" s="365">
        <f t="shared" si="98"/>
        <v>0.12303479533544213</v>
      </c>
      <c r="Z84" s="365">
        <f t="shared" si="98"/>
        <v>0.12440746831769373</v>
      </c>
      <c r="AA84" s="365">
        <f t="shared" si="98"/>
        <v>0.11694890722246346</v>
      </c>
      <c r="AB84" s="365">
        <f t="shared" si="98"/>
        <v>0.11612008796252032</v>
      </c>
      <c r="AC84" s="365">
        <f t="shared" si="98"/>
        <v>0.11628691170094899</v>
      </c>
      <c r="AD84" s="365">
        <f t="shared" si="98"/>
        <v>0.1224607308445303</v>
      </c>
      <c r="AE84" s="365">
        <f t="shared" si="98"/>
        <v>0.12878801830713482</v>
      </c>
      <c r="AF84" s="365">
        <f t="shared" si="98"/>
        <v>0.13602642265194748</v>
      </c>
      <c r="AG84" s="365">
        <f t="shared" si="98"/>
        <v>0.1443203712358237</v>
      </c>
      <c r="AH84" s="365">
        <f t="shared" si="98"/>
        <v>0.15380911603325881</v>
      </c>
      <c r="AI84" s="365">
        <f t="shared" si="98"/>
        <v>0.16467376612493484</v>
      </c>
      <c r="AJ84" s="365">
        <f t="shared" si="98"/>
        <v>0.17869938842471855</v>
      </c>
      <c r="AK84" s="365">
        <f t="shared" si="98"/>
        <v>0.19882964990387844</v>
      </c>
      <c r="AL84" s="365">
        <f t="shared" si="98"/>
        <v>0.22466240248335581</v>
      </c>
      <c r="AM84" s="426"/>
      <c r="AN84" s="426"/>
      <c r="AO84" s="731"/>
      <c r="AP84" s="731"/>
      <c r="AQ84" s="731"/>
      <c r="AR84" s="731"/>
      <c r="AS84" s="731"/>
      <c r="AT84" s="731"/>
      <c r="AU84" s="731"/>
      <c r="AV84" s="731"/>
    </row>
    <row r="85" spans="1:48">
      <c r="A85" s="426"/>
      <c r="B85" s="1085" t="s">
        <v>1206</v>
      </c>
      <c r="C85" s="444" t="s">
        <v>733</v>
      </c>
      <c r="D85" s="409"/>
      <c r="E85" s="334"/>
      <c r="F85" s="334"/>
      <c r="G85" s="334"/>
      <c r="H85" s="334"/>
      <c r="I85" s="334"/>
      <c r="J85" s="334"/>
      <c r="K85" s="334"/>
      <c r="L85" s="111"/>
      <c r="M85" s="111"/>
      <c r="N85" s="111"/>
      <c r="O85" s="111"/>
      <c r="P85" s="111"/>
      <c r="Q85" s="111"/>
      <c r="R85" s="111"/>
      <c r="S85" s="365">
        <f>S83/'P&amp;L'!S171</f>
        <v>0.11497430476273052</v>
      </c>
      <c r="T85" s="365">
        <f>T83/'P&amp;L'!T171</f>
        <v>0.10936834039457552</v>
      </c>
      <c r="U85" s="365">
        <f>U83/'P&amp;L'!U171</f>
        <v>0.10847434828032451</v>
      </c>
      <c r="V85" s="365">
        <f>V83/'P&amp;L'!V21</f>
        <v>0.10419194896154779</v>
      </c>
      <c r="W85" s="365">
        <f>W83/'P&amp;L'!W21</f>
        <v>9.8608264106160318E-2</v>
      </c>
      <c r="X85" s="365">
        <f>X83/'P&amp;L'!X21</f>
        <v>0.10629602498361414</v>
      </c>
      <c r="Y85" s="365">
        <f>Y83/'P&amp;L'!Y21</f>
        <v>0.11265779007435588</v>
      </c>
      <c r="Z85" s="365">
        <f>Z83/'P&amp;L'!Z21</f>
        <v>0.11667044681333635</v>
      </c>
      <c r="AA85" s="365">
        <f>AA83/'P&amp;L'!AA21</f>
        <v>0.10428044763022283</v>
      </c>
      <c r="AB85" s="365">
        <f>AB83/'P&amp;L'!AB21</f>
        <v>0.10344093348096414</v>
      </c>
      <c r="AC85" s="365">
        <f>AC83/'P&amp;L'!AC21</f>
        <v>0.10224481152054214</v>
      </c>
      <c r="AD85" s="641">
        <v>0.10199999999999999</v>
      </c>
      <c r="AE85" s="641">
        <v>0.10199999999999999</v>
      </c>
      <c r="AF85" s="641">
        <v>0.10199999999999999</v>
      </c>
      <c r="AG85" s="641">
        <v>0.10199999999999999</v>
      </c>
      <c r="AH85" s="641">
        <v>0.10199999999999999</v>
      </c>
      <c r="AI85" s="641">
        <v>0.10199999999999999</v>
      </c>
      <c r="AJ85" s="641">
        <v>0.10199999999999999</v>
      </c>
      <c r="AK85" s="641">
        <v>0.10199999999999999</v>
      </c>
      <c r="AL85" s="641">
        <v>0.10199999999999999</v>
      </c>
      <c r="AM85" s="426"/>
      <c r="AN85" s="426"/>
      <c r="AO85" s="731"/>
      <c r="AP85" s="731"/>
      <c r="AQ85" s="731"/>
      <c r="AR85" s="731"/>
      <c r="AS85" s="731"/>
      <c r="AT85" s="731"/>
      <c r="AU85" s="731"/>
      <c r="AV85" s="731"/>
    </row>
    <row r="86" spans="1:48" ht="15.6">
      <c r="A86" s="426"/>
      <c r="B86" s="1082"/>
      <c r="C86" s="301"/>
      <c r="D86" s="409"/>
      <c r="E86" s="409"/>
      <c r="F86" s="409"/>
      <c r="G86" s="409"/>
      <c r="H86" s="409"/>
      <c r="I86" s="409"/>
      <c r="J86" s="409"/>
      <c r="K86" s="409"/>
      <c r="L86" s="334"/>
      <c r="M86" s="334"/>
      <c r="N86" s="334"/>
      <c r="O86" s="334"/>
      <c r="P86" s="334"/>
      <c r="Q86" s="334"/>
      <c r="R86" s="334"/>
      <c r="S86" s="334"/>
      <c r="T86" s="334"/>
      <c r="U86" s="334"/>
      <c r="V86" s="334"/>
      <c r="W86" s="334"/>
      <c r="X86" s="334"/>
      <c r="Y86" s="334"/>
      <c r="Z86" s="334"/>
      <c r="AA86" s="334"/>
      <c r="AB86" s="334"/>
      <c r="AC86" s="334"/>
      <c r="AD86" s="334"/>
      <c r="AE86" s="334"/>
      <c r="AF86" s="334"/>
      <c r="AG86" s="334"/>
      <c r="AH86" s="334"/>
      <c r="AI86" s="334"/>
      <c r="AJ86" s="334"/>
      <c r="AK86" s="334"/>
      <c r="AL86" s="334"/>
      <c r="AM86" s="426"/>
      <c r="AN86" s="426"/>
      <c r="AO86" s="731"/>
      <c r="AP86" s="731"/>
      <c r="AQ86" s="731"/>
      <c r="AR86" s="731"/>
      <c r="AS86" s="731"/>
      <c r="AT86" s="731"/>
      <c r="AU86" s="731"/>
      <c r="AV86" s="731"/>
    </row>
    <row r="87" spans="1:48" ht="15.6">
      <c r="A87" s="426"/>
      <c r="B87" s="1084" t="s">
        <v>1176</v>
      </c>
      <c r="C87" s="922"/>
      <c r="D87" s="1084"/>
      <c r="E87" s="1084"/>
      <c r="F87" s="1084"/>
      <c r="G87" s="1084"/>
      <c r="H87" s="1084"/>
      <c r="I87" s="1084"/>
      <c r="J87" s="1084"/>
      <c r="K87" s="1084"/>
      <c r="L87" s="1084"/>
      <c r="M87" s="1084"/>
      <c r="N87" s="1084"/>
      <c r="O87" s="1084"/>
      <c r="P87" s="1084"/>
      <c r="Q87" s="1084"/>
      <c r="R87" s="1084"/>
      <c r="S87" s="1084"/>
      <c r="T87" s="1084"/>
      <c r="U87" s="1084"/>
      <c r="V87" s="1084"/>
      <c r="W87" s="1084"/>
      <c r="X87" s="1084"/>
      <c r="Y87" s="1084"/>
      <c r="Z87" s="1084"/>
      <c r="AA87" s="1084"/>
      <c r="AB87" s="1084"/>
      <c r="AC87" s="1084"/>
      <c r="AD87" s="1084"/>
      <c r="AE87" s="1084"/>
      <c r="AF87" s="1084"/>
      <c r="AG87" s="1084"/>
      <c r="AH87" s="1084"/>
      <c r="AI87" s="1084"/>
      <c r="AJ87" s="1084"/>
      <c r="AK87" s="1084"/>
      <c r="AL87" s="1084"/>
      <c r="AM87" s="426"/>
      <c r="AN87" s="426" t="s">
        <v>1342</v>
      </c>
      <c r="AO87" s="731"/>
      <c r="AP87" s="731"/>
      <c r="AQ87" s="731"/>
      <c r="AR87" s="731"/>
      <c r="AS87" s="731"/>
      <c r="AT87" s="731"/>
      <c r="AU87" s="731"/>
      <c r="AV87" s="731"/>
    </row>
    <row r="88" spans="1:48">
      <c r="A88" s="426"/>
      <c r="B88" s="304" t="s">
        <v>1341</v>
      </c>
      <c r="C88" s="444" t="s">
        <v>732</v>
      </c>
      <c r="D88" s="56"/>
      <c r="E88" s="56"/>
      <c r="F88" s="56"/>
      <c r="G88" s="56"/>
      <c r="H88" s="56"/>
      <c r="I88" s="56"/>
      <c r="J88" s="56"/>
      <c r="K88" s="56"/>
      <c r="L88" s="247"/>
      <c r="M88" s="247"/>
      <c r="N88" s="247"/>
      <c r="O88" s="247"/>
      <c r="P88" s="247"/>
      <c r="Q88" s="247"/>
      <c r="R88" s="610"/>
      <c r="S88" s="610"/>
      <c r="T88" s="610"/>
      <c r="U88" s="610"/>
      <c r="V88" s="610"/>
      <c r="W88" s="610"/>
      <c r="X88" s="610">
        <v>3030</v>
      </c>
      <c r="Y88" s="247">
        <f t="shared" ref="Y88:AL88" si="99">+X92</f>
        <v>3030</v>
      </c>
      <c r="Z88" s="247">
        <f t="shared" si="99"/>
        <v>2852</v>
      </c>
      <c r="AA88" s="247">
        <f t="shared" si="99"/>
        <v>2926</v>
      </c>
      <c r="AB88" s="247">
        <f t="shared" si="99"/>
        <v>2825</v>
      </c>
      <c r="AC88" s="247">
        <f t="shared" si="99"/>
        <v>2666</v>
      </c>
      <c r="AD88" s="247">
        <f t="shared" si="99"/>
        <v>2681</v>
      </c>
      <c r="AE88" s="247">
        <f t="shared" si="99"/>
        <v>2696</v>
      </c>
      <c r="AF88" s="247">
        <f t="shared" si="99"/>
        <v>2711</v>
      </c>
      <c r="AG88" s="247">
        <f t="shared" si="99"/>
        <v>2726</v>
      </c>
      <c r="AH88" s="247">
        <f t="shared" si="99"/>
        <v>2741</v>
      </c>
      <c r="AI88" s="247">
        <f t="shared" si="99"/>
        <v>2756</v>
      </c>
      <c r="AJ88" s="247">
        <f t="shared" si="99"/>
        <v>2771</v>
      </c>
      <c r="AK88" s="247">
        <f t="shared" si="99"/>
        <v>2786</v>
      </c>
      <c r="AL88" s="247">
        <f t="shared" si="99"/>
        <v>2801</v>
      </c>
      <c r="AM88" s="426"/>
      <c r="AN88" s="426"/>
      <c r="AO88" s="731"/>
      <c r="AP88" s="731"/>
      <c r="AQ88" s="731"/>
      <c r="AR88" s="731"/>
      <c r="AS88" s="731"/>
      <c r="AT88" s="731"/>
      <c r="AU88" s="731"/>
      <c r="AV88" s="731"/>
    </row>
    <row r="89" spans="1:48">
      <c r="A89" s="426"/>
      <c r="B89" s="304" t="s">
        <v>1338</v>
      </c>
      <c r="C89" s="444" t="s">
        <v>732</v>
      </c>
      <c r="D89" s="608"/>
      <c r="E89" s="608"/>
      <c r="F89" s="608"/>
      <c r="G89" s="608"/>
      <c r="H89" s="608"/>
      <c r="I89" s="608"/>
      <c r="J89" s="608"/>
      <c r="K89" s="608"/>
      <c r="L89" s="602"/>
      <c r="M89" s="602"/>
      <c r="N89" s="602"/>
      <c r="O89" s="602"/>
      <c r="P89" s="602"/>
      <c r="Q89" s="602"/>
      <c r="R89" s="247"/>
      <c r="S89" s="247"/>
      <c r="T89" s="247"/>
      <c r="U89" s="247"/>
      <c r="V89" s="247"/>
      <c r="W89" s="247"/>
      <c r="X89" s="247"/>
      <c r="Y89" s="247">
        <f t="shared" ref="Y89:AK89" si="100">+Y94</f>
        <v>726</v>
      </c>
      <c r="Z89" s="247">
        <f t="shared" si="100"/>
        <v>587</v>
      </c>
      <c r="AA89" s="247">
        <f t="shared" si="100"/>
        <v>574</v>
      </c>
      <c r="AB89" s="247">
        <f t="shared" si="100"/>
        <v>619</v>
      </c>
      <c r="AC89" s="247">
        <f t="shared" ref="AC89" si="101">+AC94</f>
        <v>600</v>
      </c>
      <c r="AD89" s="247">
        <f t="shared" si="100"/>
        <v>601.68318683373855</v>
      </c>
      <c r="AE89" s="247">
        <f t="shared" si="100"/>
        <v>605.04956050121564</v>
      </c>
      <c r="AF89" s="247">
        <f t="shared" si="100"/>
        <v>608.41593416869273</v>
      </c>
      <c r="AG89" s="247">
        <f t="shared" si="100"/>
        <v>611.78230783616982</v>
      </c>
      <c r="AH89" s="247">
        <f t="shared" si="100"/>
        <v>615.14868150364691</v>
      </c>
      <c r="AI89" s="247">
        <f t="shared" si="100"/>
        <v>618.515055171124</v>
      </c>
      <c r="AJ89" s="247">
        <f t="shared" si="100"/>
        <v>621.8814288386011</v>
      </c>
      <c r="AK89" s="247">
        <f t="shared" si="100"/>
        <v>625.24780250607819</v>
      </c>
      <c r="AL89" s="247">
        <f t="shared" ref="AL89" si="102">+AL94</f>
        <v>628.61417617355528</v>
      </c>
      <c r="AM89" s="426"/>
      <c r="AN89" s="426"/>
      <c r="AO89" s="731"/>
      <c r="AP89" s="731"/>
      <c r="AQ89" s="731"/>
      <c r="AR89" s="731"/>
      <c r="AS89" s="731"/>
      <c r="AT89" s="731"/>
      <c r="AU89" s="731"/>
      <c r="AV89" s="731"/>
    </row>
    <row r="90" spans="1:48">
      <c r="A90" s="426"/>
      <c r="B90" s="304" t="s">
        <v>1339</v>
      </c>
      <c r="C90" s="444" t="s">
        <v>732</v>
      </c>
      <c r="D90" s="608"/>
      <c r="E90" s="608"/>
      <c r="F90" s="608"/>
      <c r="G90" s="608"/>
      <c r="H90" s="608"/>
      <c r="I90" s="608"/>
      <c r="J90" s="608"/>
      <c r="K90" s="608"/>
      <c r="L90" s="602"/>
      <c r="M90" s="602"/>
      <c r="N90" s="602"/>
      <c r="O90" s="602"/>
      <c r="P90" s="602"/>
      <c r="Q90" s="602"/>
      <c r="R90" s="247"/>
      <c r="S90" s="247"/>
      <c r="T90" s="247"/>
      <c r="U90" s="247"/>
      <c r="V90" s="247"/>
      <c r="W90" s="247"/>
      <c r="X90" s="247"/>
      <c r="Y90" s="247">
        <f t="shared" ref="Y90:AK90" si="103">-Y97</f>
        <v>-726</v>
      </c>
      <c r="Z90" s="247">
        <f t="shared" si="103"/>
        <v>-587</v>
      </c>
      <c r="AA90" s="247">
        <f t="shared" si="103"/>
        <v>-574</v>
      </c>
      <c r="AB90" s="247">
        <f t="shared" si="103"/>
        <v>-619</v>
      </c>
      <c r="AC90" s="247">
        <f t="shared" ref="AC90" si="104">-AC97</f>
        <v>-600</v>
      </c>
      <c r="AD90" s="247">
        <f t="shared" si="103"/>
        <v>-601.68318683373855</v>
      </c>
      <c r="AE90" s="247">
        <f t="shared" si="103"/>
        <v>-605.04956050121564</v>
      </c>
      <c r="AF90" s="247">
        <f t="shared" si="103"/>
        <v>-608.41593416869273</v>
      </c>
      <c r="AG90" s="247">
        <f t="shared" si="103"/>
        <v>-611.78230783616982</v>
      </c>
      <c r="AH90" s="247">
        <f t="shared" si="103"/>
        <v>-615.14868150364691</v>
      </c>
      <c r="AI90" s="247">
        <f t="shared" si="103"/>
        <v>-618.515055171124</v>
      </c>
      <c r="AJ90" s="247">
        <f t="shared" si="103"/>
        <v>-621.8814288386011</v>
      </c>
      <c r="AK90" s="247">
        <f t="shared" si="103"/>
        <v>-625.24780250607819</v>
      </c>
      <c r="AL90" s="247">
        <f t="shared" ref="AL90" si="105">-AL97</f>
        <v>-628.61417617355528</v>
      </c>
      <c r="AM90" s="426"/>
      <c r="AN90" s="426"/>
      <c r="AO90" s="731"/>
      <c r="AP90" s="731"/>
      <c r="AQ90" s="731"/>
      <c r="AR90" s="731"/>
      <c r="AS90" s="731"/>
      <c r="AT90" s="731"/>
      <c r="AU90" s="731"/>
      <c r="AV90" s="731"/>
    </row>
    <row r="91" spans="1:48">
      <c r="A91" s="426"/>
      <c r="B91" s="304" t="s">
        <v>28</v>
      </c>
      <c r="C91" s="444" t="s">
        <v>732</v>
      </c>
      <c r="D91" s="608"/>
      <c r="E91" s="608"/>
      <c r="F91" s="608"/>
      <c r="G91" s="608"/>
      <c r="H91" s="608"/>
      <c r="I91" s="608"/>
      <c r="J91" s="608"/>
      <c r="K91" s="608"/>
      <c r="L91" s="602"/>
      <c r="M91" s="602"/>
      <c r="N91" s="602"/>
      <c r="O91" s="602"/>
      <c r="P91" s="602"/>
      <c r="Q91" s="602"/>
      <c r="R91" s="247"/>
      <c r="S91" s="247"/>
      <c r="T91" s="247"/>
      <c r="U91" s="247"/>
      <c r="V91" s="247"/>
      <c r="W91" s="247"/>
      <c r="X91" s="247"/>
      <c r="Y91" s="247">
        <f>+Y92-SUM(Y88:Y90)</f>
        <v>-178</v>
      </c>
      <c r="Z91" s="247">
        <f>+Z92-SUM(Z88:Z90)</f>
        <v>74</v>
      </c>
      <c r="AA91" s="247">
        <f>+AA92-SUM(AA88:AA90)</f>
        <v>-101</v>
      </c>
      <c r="AB91" s="247">
        <f>+AB92-SUM(AB88:AB90)</f>
        <v>-159</v>
      </c>
      <c r="AC91" s="247">
        <f>+AC92-SUM(AC88:AC90)</f>
        <v>15</v>
      </c>
      <c r="AD91" s="642">
        <f t="shared" ref="AD91:AL91" si="106">+AC91</f>
        <v>15</v>
      </c>
      <c r="AE91" s="642">
        <f t="shared" si="106"/>
        <v>15</v>
      </c>
      <c r="AF91" s="642">
        <f t="shared" si="106"/>
        <v>15</v>
      </c>
      <c r="AG91" s="642">
        <f t="shared" si="106"/>
        <v>15</v>
      </c>
      <c r="AH91" s="642">
        <f t="shared" si="106"/>
        <v>15</v>
      </c>
      <c r="AI91" s="642">
        <f t="shared" si="106"/>
        <v>15</v>
      </c>
      <c r="AJ91" s="642">
        <f t="shared" si="106"/>
        <v>15</v>
      </c>
      <c r="AK91" s="642">
        <f t="shared" si="106"/>
        <v>15</v>
      </c>
      <c r="AL91" s="642">
        <f t="shared" si="106"/>
        <v>15</v>
      </c>
      <c r="AM91" s="426"/>
      <c r="AN91" s="426"/>
      <c r="AO91" s="731"/>
      <c r="AP91" s="731"/>
      <c r="AQ91" s="731"/>
      <c r="AR91" s="731"/>
      <c r="AS91" s="731"/>
      <c r="AT91" s="731"/>
      <c r="AU91" s="731"/>
      <c r="AV91" s="731"/>
    </row>
    <row r="92" spans="1:48">
      <c r="A92" s="305"/>
      <c r="B92" s="305" t="s">
        <v>1340</v>
      </c>
      <c r="C92" s="445" t="s">
        <v>732</v>
      </c>
      <c r="D92" s="332"/>
      <c r="E92" s="332"/>
      <c r="F92" s="332"/>
      <c r="G92" s="332"/>
      <c r="H92" s="332"/>
      <c r="I92" s="332"/>
      <c r="J92" s="332"/>
      <c r="K92" s="332"/>
      <c r="L92" s="424"/>
      <c r="M92" s="424"/>
      <c r="N92" s="424"/>
      <c r="O92" s="424"/>
      <c r="P92" s="424"/>
      <c r="Q92" s="424"/>
      <c r="R92" s="609"/>
      <c r="S92" s="609"/>
      <c r="T92" s="609"/>
      <c r="U92" s="609"/>
      <c r="V92" s="609"/>
      <c r="W92" s="609"/>
      <c r="X92" s="609">
        <v>3030</v>
      </c>
      <c r="Y92" s="609">
        <v>2852</v>
      </c>
      <c r="Z92" s="609">
        <v>2926</v>
      </c>
      <c r="AA92" s="609">
        <v>2825</v>
      </c>
      <c r="AB92" s="609">
        <v>2666</v>
      </c>
      <c r="AC92" s="609">
        <v>2681</v>
      </c>
      <c r="AD92" s="424">
        <f t="shared" ref="AD92:AK92" si="107">SUM(AD88:AD91)</f>
        <v>2696</v>
      </c>
      <c r="AE92" s="424">
        <f t="shared" si="107"/>
        <v>2711</v>
      </c>
      <c r="AF92" s="424">
        <f t="shared" si="107"/>
        <v>2726</v>
      </c>
      <c r="AG92" s="424">
        <f t="shared" si="107"/>
        <v>2741</v>
      </c>
      <c r="AH92" s="424">
        <f t="shared" si="107"/>
        <v>2756</v>
      </c>
      <c r="AI92" s="424">
        <f t="shared" si="107"/>
        <v>2771</v>
      </c>
      <c r="AJ92" s="424">
        <f t="shared" si="107"/>
        <v>2786</v>
      </c>
      <c r="AK92" s="424">
        <f t="shared" si="107"/>
        <v>2801</v>
      </c>
      <c r="AL92" s="424">
        <f t="shared" ref="AL92" si="108">SUM(AL88:AL91)</f>
        <v>2816</v>
      </c>
      <c r="AM92" s="305"/>
      <c r="AN92" s="305"/>
      <c r="AO92" s="731"/>
      <c r="AP92" s="731"/>
      <c r="AQ92" s="731"/>
      <c r="AR92" s="731"/>
      <c r="AS92" s="731"/>
      <c r="AT92" s="731"/>
      <c r="AU92" s="731"/>
      <c r="AV92" s="731"/>
    </row>
    <row r="93" spans="1:48" ht="15.6">
      <c r="A93" s="426"/>
      <c r="B93" s="1082"/>
      <c r="C93" s="301"/>
      <c r="D93" s="409"/>
      <c r="E93" s="409"/>
      <c r="F93" s="409"/>
      <c r="G93" s="409"/>
      <c r="H93" s="409"/>
      <c r="I93" s="409"/>
      <c r="J93" s="409"/>
      <c r="K93" s="409"/>
      <c r="L93" s="334"/>
      <c r="M93" s="334"/>
      <c r="N93" s="334"/>
      <c r="O93" s="334"/>
      <c r="P93" s="334"/>
      <c r="Q93" s="334"/>
      <c r="R93" s="334"/>
      <c r="S93" s="334"/>
      <c r="T93" s="334"/>
      <c r="U93" s="334"/>
      <c r="V93" s="334"/>
      <c r="W93" s="334"/>
      <c r="X93" s="334"/>
      <c r="Y93" s="334"/>
      <c r="Z93" s="334"/>
      <c r="AA93" s="334"/>
      <c r="AB93" s="334"/>
      <c r="AC93" s="334"/>
      <c r="AD93" s="334"/>
      <c r="AE93" s="334"/>
      <c r="AF93" s="334"/>
      <c r="AG93" s="334"/>
      <c r="AH93" s="334"/>
      <c r="AI93" s="334"/>
      <c r="AJ93" s="334"/>
      <c r="AK93" s="334"/>
      <c r="AL93" s="334"/>
      <c r="AM93" s="426"/>
      <c r="AN93" s="426"/>
      <c r="AO93" s="731"/>
      <c r="AP93" s="731"/>
      <c r="AQ93" s="731"/>
      <c r="AR93" s="731"/>
      <c r="AS93" s="731"/>
      <c r="AT93" s="731"/>
      <c r="AU93" s="731"/>
      <c r="AV93" s="731"/>
    </row>
    <row r="94" spans="1:48">
      <c r="A94" s="426"/>
      <c r="B94" s="426" t="s">
        <v>736</v>
      </c>
      <c r="C94" s="446" t="s">
        <v>732</v>
      </c>
      <c r="D94" s="334"/>
      <c r="E94" s="334"/>
      <c r="F94" s="334"/>
      <c r="G94" s="334"/>
      <c r="H94" s="334"/>
      <c r="I94" s="334"/>
      <c r="J94" s="334"/>
      <c r="K94" s="334"/>
      <c r="L94" s="247"/>
      <c r="M94" s="247"/>
      <c r="N94" s="247"/>
      <c r="O94" s="247"/>
      <c r="P94" s="247"/>
      <c r="Q94" s="247"/>
      <c r="R94" s="247"/>
      <c r="S94" s="247"/>
      <c r="T94" s="247"/>
      <c r="U94" s="247"/>
      <c r="V94" s="247"/>
      <c r="W94" s="247"/>
      <c r="X94" s="247"/>
      <c r="Y94" s="247">
        <f t="shared" ref="Y94:AK94" si="109">+Y97</f>
        <v>726</v>
      </c>
      <c r="Z94" s="247">
        <f t="shared" si="109"/>
        <v>587</v>
      </c>
      <c r="AA94" s="247">
        <f t="shared" si="109"/>
        <v>574</v>
      </c>
      <c r="AB94" s="247">
        <f t="shared" si="109"/>
        <v>619</v>
      </c>
      <c r="AC94" s="247">
        <f t="shared" ref="AC94" si="110">+AC97</f>
        <v>600</v>
      </c>
      <c r="AD94" s="247">
        <f t="shared" si="109"/>
        <v>601.68318683373855</v>
      </c>
      <c r="AE94" s="247">
        <f t="shared" si="109"/>
        <v>605.04956050121564</v>
      </c>
      <c r="AF94" s="247">
        <f t="shared" si="109"/>
        <v>608.41593416869273</v>
      </c>
      <c r="AG94" s="247">
        <f t="shared" si="109"/>
        <v>611.78230783616982</v>
      </c>
      <c r="AH94" s="247">
        <f t="shared" si="109"/>
        <v>615.14868150364691</v>
      </c>
      <c r="AI94" s="247">
        <f t="shared" si="109"/>
        <v>618.515055171124</v>
      </c>
      <c r="AJ94" s="247">
        <f t="shared" si="109"/>
        <v>621.8814288386011</v>
      </c>
      <c r="AK94" s="247">
        <f t="shared" si="109"/>
        <v>625.24780250607819</v>
      </c>
      <c r="AL94" s="247">
        <f t="shared" ref="AL94" si="111">+AL97</f>
        <v>628.61417617355528</v>
      </c>
      <c r="AM94" s="426"/>
      <c r="AN94" s="426"/>
      <c r="AO94" s="731"/>
      <c r="AP94" s="731"/>
      <c r="AQ94" s="731"/>
      <c r="AR94" s="731"/>
      <c r="AS94" s="731"/>
      <c r="AT94" s="731"/>
      <c r="AU94" s="731"/>
      <c r="AV94" s="731"/>
    </row>
    <row r="95" spans="1:48" ht="15.6">
      <c r="A95" s="426"/>
      <c r="B95" s="1082"/>
      <c r="C95" s="301"/>
      <c r="D95" s="409"/>
      <c r="E95" s="409"/>
      <c r="F95" s="409"/>
      <c r="G95" s="409"/>
      <c r="H95" s="409"/>
      <c r="I95" s="409"/>
      <c r="J95" s="409"/>
      <c r="K95" s="409"/>
      <c r="L95" s="334"/>
      <c r="M95" s="334"/>
      <c r="N95" s="334"/>
      <c r="O95" s="334"/>
      <c r="P95" s="334"/>
      <c r="Q95" s="334"/>
      <c r="R95" s="334"/>
      <c r="S95" s="334"/>
      <c r="T95" s="334"/>
      <c r="U95" s="334"/>
      <c r="V95" s="334"/>
      <c r="W95" s="334"/>
      <c r="X95" s="334"/>
      <c r="Y95" s="334"/>
      <c r="Z95" s="334"/>
      <c r="AA95" s="334"/>
      <c r="AB95" s="334"/>
      <c r="AC95" s="334"/>
      <c r="AD95" s="334"/>
      <c r="AE95" s="334"/>
      <c r="AF95" s="334"/>
      <c r="AG95" s="334"/>
      <c r="AH95" s="334"/>
      <c r="AI95" s="334"/>
      <c r="AJ95" s="334"/>
      <c r="AK95" s="334"/>
      <c r="AL95" s="334"/>
      <c r="AM95" s="426"/>
      <c r="AN95" s="426"/>
      <c r="AO95" s="731"/>
      <c r="AP95" s="731"/>
      <c r="AQ95" s="731"/>
      <c r="AR95" s="731"/>
      <c r="AS95" s="731"/>
      <c r="AT95" s="731"/>
      <c r="AU95" s="731"/>
      <c r="AV95" s="731"/>
    </row>
    <row r="96" spans="1:48">
      <c r="A96" s="426"/>
      <c r="B96" s="304" t="s">
        <v>1330</v>
      </c>
      <c r="C96" s="444" t="s">
        <v>732</v>
      </c>
      <c r="D96" s="603"/>
      <c r="E96" s="603"/>
      <c r="F96" s="603"/>
      <c r="G96" s="603"/>
      <c r="H96" s="603"/>
      <c r="I96" s="603"/>
      <c r="J96" s="603"/>
      <c r="K96" s="603"/>
      <c r="L96" s="602"/>
      <c r="M96" s="602"/>
      <c r="N96" s="602"/>
      <c r="O96" s="602"/>
      <c r="P96" s="602"/>
      <c r="Q96" s="602"/>
      <c r="R96" s="610"/>
      <c r="S96" s="610"/>
      <c r="T96" s="610"/>
      <c r="U96" s="610"/>
      <c r="V96" s="610"/>
      <c r="W96" s="610"/>
      <c r="X96" s="610">
        <v>1017</v>
      </c>
      <c r="Y96" s="610">
        <v>726</v>
      </c>
      <c r="Z96" s="610">
        <v>587</v>
      </c>
      <c r="AA96" s="610">
        <v>574</v>
      </c>
      <c r="AB96" s="610">
        <v>619</v>
      </c>
      <c r="AC96" s="610">
        <v>600</v>
      </c>
      <c r="AD96" s="249"/>
      <c r="AE96" s="249"/>
      <c r="AF96" s="249"/>
      <c r="AG96" s="249"/>
      <c r="AH96" s="249"/>
      <c r="AI96" s="249"/>
      <c r="AJ96" s="249"/>
      <c r="AK96" s="249"/>
      <c r="AL96" s="249"/>
      <c r="AM96" s="426"/>
      <c r="AN96" s="426"/>
      <c r="AO96" s="731"/>
      <c r="AP96" s="731"/>
      <c r="AQ96" s="731"/>
      <c r="AR96" s="731"/>
      <c r="AS96" s="731"/>
      <c r="AT96" s="731"/>
      <c r="AU96" s="731"/>
      <c r="AV96" s="731"/>
    </row>
    <row r="97" spans="1:48">
      <c r="A97" s="426"/>
      <c r="B97" s="304" t="s">
        <v>1336</v>
      </c>
      <c r="C97" s="444" t="s">
        <v>732</v>
      </c>
      <c r="D97" s="409"/>
      <c r="E97" s="334"/>
      <c r="F97" s="334"/>
      <c r="G97" s="334"/>
      <c r="H97" s="334"/>
      <c r="I97" s="334"/>
      <c r="J97" s="334"/>
      <c r="K97" s="334"/>
      <c r="L97" s="247"/>
      <c r="M97" s="247"/>
      <c r="N97" s="247"/>
      <c r="O97" s="247"/>
      <c r="P97" s="247"/>
      <c r="Q97" s="247"/>
      <c r="R97" s="247"/>
      <c r="S97" s="247"/>
      <c r="T97" s="247"/>
      <c r="U97" s="247"/>
      <c r="V97" s="247"/>
      <c r="W97" s="247"/>
      <c r="X97" s="247">
        <f t="shared" ref="X97:AC97" si="112">X96</f>
        <v>1017</v>
      </c>
      <c r="Y97" s="247">
        <f t="shared" si="112"/>
        <v>726</v>
      </c>
      <c r="Z97" s="247">
        <f t="shared" si="112"/>
        <v>587</v>
      </c>
      <c r="AA97" s="247">
        <f t="shared" si="112"/>
        <v>574</v>
      </c>
      <c r="AB97" s="247">
        <f t="shared" si="112"/>
        <v>619</v>
      </c>
      <c r="AC97" s="247">
        <f t="shared" si="112"/>
        <v>600</v>
      </c>
      <c r="AD97" s="247">
        <f t="shared" ref="AD97:AK97" si="113">+AD88*AD98</f>
        <v>601.68318683373855</v>
      </c>
      <c r="AE97" s="247">
        <f t="shared" si="113"/>
        <v>605.04956050121564</v>
      </c>
      <c r="AF97" s="247">
        <f t="shared" si="113"/>
        <v>608.41593416869273</v>
      </c>
      <c r="AG97" s="247">
        <f t="shared" si="113"/>
        <v>611.78230783616982</v>
      </c>
      <c r="AH97" s="247">
        <f t="shared" si="113"/>
        <v>615.14868150364691</v>
      </c>
      <c r="AI97" s="247">
        <f t="shared" si="113"/>
        <v>618.515055171124</v>
      </c>
      <c r="AJ97" s="247">
        <f t="shared" si="113"/>
        <v>621.8814288386011</v>
      </c>
      <c r="AK97" s="247">
        <f t="shared" si="113"/>
        <v>625.24780250607819</v>
      </c>
      <c r="AL97" s="247">
        <f t="shared" ref="AL97" si="114">+AL88*AL98</f>
        <v>628.61417617355528</v>
      </c>
      <c r="AM97" s="426"/>
      <c r="AN97" s="426"/>
      <c r="AO97" s="731"/>
      <c r="AP97" s="731"/>
      <c r="AQ97" s="731"/>
      <c r="AR97" s="731"/>
      <c r="AS97" s="731"/>
      <c r="AT97" s="731"/>
      <c r="AU97" s="731"/>
      <c r="AV97" s="731"/>
    </row>
    <row r="98" spans="1:48">
      <c r="A98" s="426"/>
      <c r="B98" s="1085" t="s">
        <v>1343</v>
      </c>
      <c r="C98" s="444" t="s">
        <v>733</v>
      </c>
      <c r="D98" s="409"/>
      <c r="E98" s="334"/>
      <c r="F98" s="334"/>
      <c r="G98" s="334"/>
      <c r="H98" s="334"/>
      <c r="I98" s="334"/>
      <c r="J98" s="334"/>
      <c r="K98" s="334"/>
      <c r="L98" s="111"/>
      <c r="M98" s="111"/>
      <c r="N98" s="111"/>
      <c r="O98" s="111"/>
      <c r="P98" s="111"/>
      <c r="Q98" s="111"/>
      <c r="R98" s="111"/>
      <c r="S98" s="365"/>
      <c r="T98" s="365"/>
      <c r="U98" s="365"/>
      <c r="V98" s="365"/>
      <c r="W98" s="365"/>
      <c r="X98" s="365"/>
      <c r="Y98" s="365">
        <f>Y97/AVERAGE(X92,Y92)</f>
        <v>0.24685481128867731</v>
      </c>
      <c r="Z98" s="365">
        <f>Z97/AVERAGE(Y92,Z92)</f>
        <v>0.20318449290411908</v>
      </c>
      <c r="AA98" s="365">
        <f>AA97/AVERAGE(Z92,AA92)</f>
        <v>0.19961745783342028</v>
      </c>
      <c r="AB98" s="365">
        <f>AB97/AVERAGE(AA92,AB92)</f>
        <v>0.22545984338007649</v>
      </c>
      <c r="AC98" s="365">
        <f>AC97/AVERAGE(AB92,AC92)</f>
        <v>0.22442491116513932</v>
      </c>
      <c r="AD98" s="641">
        <f t="shared" ref="AD98:AL98" si="115">AC98</f>
        <v>0.22442491116513932</v>
      </c>
      <c r="AE98" s="641">
        <f t="shared" si="115"/>
        <v>0.22442491116513932</v>
      </c>
      <c r="AF98" s="641">
        <f t="shared" si="115"/>
        <v>0.22442491116513932</v>
      </c>
      <c r="AG98" s="641">
        <f t="shared" si="115"/>
        <v>0.22442491116513932</v>
      </c>
      <c r="AH98" s="641">
        <f t="shared" si="115"/>
        <v>0.22442491116513932</v>
      </c>
      <c r="AI98" s="641">
        <f t="shared" si="115"/>
        <v>0.22442491116513932</v>
      </c>
      <c r="AJ98" s="641">
        <f t="shared" si="115"/>
        <v>0.22442491116513932</v>
      </c>
      <c r="AK98" s="641">
        <f t="shared" si="115"/>
        <v>0.22442491116513932</v>
      </c>
      <c r="AL98" s="641">
        <f t="shared" si="115"/>
        <v>0.22442491116513932</v>
      </c>
      <c r="AM98" s="426"/>
      <c r="AN98" s="426"/>
      <c r="AO98" s="731"/>
      <c r="AP98" s="731"/>
      <c r="AQ98" s="731"/>
      <c r="AR98" s="731"/>
      <c r="AS98" s="731"/>
      <c r="AT98" s="731"/>
      <c r="AU98" s="731"/>
      <c r="AV98" s="731"/>
    </row>
    <row r="99" spans="1:48">
      <c r="A99" s="426"/>
      <c r="B99" s="1085"/>
      <c r="C99" s="444"/>
      <c r="D99" s="409"/>
      <c r="E99" s="334"/>
      <c r="F99" s="334"/>
      <c r="G99" s="334"/>
      <c r="H99" s="334"/>
      <c r="I99" s="334"/>
      <c r="J99" s="334"/>
      <c r="K99" s="334"/>
      <c r="L99" s="111"/>
      <c r="M99" s="111"/>
      <c r="N99" s="111"/>
      <c r="O99" s="111"/>
      <c r="P99" s="111"/>
      <c r="Q99" s="111"/>
      <c r="R99" s="111"/>
      <c r="S99" s="365"/>
      <c r="T99" s="365"/>
      <c r="U99" s="365"/>
      <c r="V99" s="365"/>
      <c r="W99" s="365"/>
      <c r="X99" s="365"/>
      <c r="Y99" s="365"/>
      <c r="Z99" s="365"/>
      <c r="AA99" s="365"/>
      <c r="AB99" s="365"/>
      <c r="AC99" s="365"/>
      <c r="AD99" s="365"/>
      <c r="AE99" s="365"/>
      <c r="AF99" s="365"/>
      <c r="AG99" s="365"/>
      <c r="AH99" s="365"/>
      <c r="AI99" s="365"/>
      <c r="AJ99" s="365"/>
      <c r="AK99" s="365"/>
      <c r="AL99" s="365"/>
      <c r="AM99" s="365"/>
      <c r="AN99" s="426"/>
      <c r="AO99" s="731"/>
      <c r="AP99" s="731"/>
      <c r="AQ99" s="731"/>
      <c r="AR99" s="731"/>
      <c r="AS99" s="731"/>
      <c r="AT99" s="731"/>
      <c r="AU99" s="731"/>
      <c r="AV99" s="731"/>
    </row>
    <row r="100" spans="1:48">
      <c r="A100" s="426"/>
      <c r="B100" s="1085"/>
      <c r="C100" s="446"/>
      <c r="D100" s="409"/>
      <c r="E100" s="334"/>
      <c r="F100" s="334"/>
      <c r="G100" s="334"/>
      <c r="H100" s="334"/>
      <c r="I100" s="334"/>
      <c r="J100" s="334"/>
      <c r="K100" s="334"/>
      <c r="L100" s="111"/>
      <c r="M100" s="111"/>
      <c r="N100" s="111"/>
      <c r="O100" s="111"/>
      <c r="P100" s="111"/>
      <c r="Q100" s="111"/>
      <c r="R100" s="111"/>
      <c r="S100" s="365"/>
      <c r="T100" s="365"/>
      <c r="U100" s="365"/>
      <c r="V100" s="365"/>
      <c r="W100" s="365"/>
      <c r="X100" s="365"/>
      <c r="Y100" s="365"/>
      <c r="Z100" s="247"/>
      <c r="AA100" s="247"/>
      <c r="AB100" s="247"/>
      <c r="AC100" s="247"/>
      <c r="AD100" s="247"/>
      <c r="AE100" s="247"/>
      <c r="AF100" s="247"/>
      <c r="AG100" s="247"/>
      <c r="AH100" s="247"/>
      <c r="AI100" s="247"/>
      <c r="AJ100" s="247"/>
      <c r="AK100" s="247"/>
      <c r="AL100" s="247"/>
      <c r="AM100" s="365"/>
      <c r="AN100" s="426"/>
      <c r="AO100" s="731"/>
      <c r="AP100" s="731"/>
      <c r="AQ100" s="731"/>
      <c r="AR100" s="731"/>
      <c r="AS100" s="731"/>
      <c r="AT100" s="731"/>
      <c r="AU100" s="731"/>
      <c r="AV100" s="731"/>
    </row>
    <row r="101" spans="1:48" ht="15.6">
      <c r="A101" s="426"/>
      <c r="B101" s="1083" t="s">
        <v>739</v>
      </c>
      <c r="C101" s="443"/>
      <c r="D101" s="270"/>
      <c r="E101" s="270"/>
      <c r="F101" s="270"/>
      <c r="G101" s="270"/>
      <c r="H101" s="270"/>
      <c r="I101" s="270"/>
      <c r="J101" s="270"/>
      <c r="K101" s="270"/>
      <c r="L101" s="270"/>
      <c r="M101" s="270"/>
      <c r="N101" s="270"/>
      <c r="O101" s="270"/>
      <c r="P101" s="270"/>
      <c r="Q101" s="270"/>
      <c r="R101" s="270"/>
      <c r="S101" s="270"/>
      <c r="T101" s="270"/>
      <c r="U101" s="270"/>
      <c r="V101" s="270"/>
      <c r="W101" s="270"/>
      <c r="X101" s="270"/>
      <c r="Y101" s="270"/>
      <c r="Z101" s="270"/>
      <c r="AA101" s="270"/>
      <c r="AB101" s="270"/>
      <c r="AC101" s="270"/>
      <c r="AD101" s="270"/>
      <c r="AE101" s="270"/>
      <c r="AF101" s="270"/>
      <c r="AG101" s="270"/>
      <c r="AH101" s="270"/>
      <c r="AI101" s="271"/>
      <c r="AJ101" s="271"/>
      <c r="AK101" s="271"/>
      <c r="AL101" s="271"/>
      <c r="AM101" s="426"/>
      <c r="AN101" s="426"/>
      <c r="AO101" s="731"/>
      <c r="AP101" s="731"/>
      <c r="AQ101" s="731"/>
      <c r="AR101" s="731"/>
      <c r="AS101" s="731"/>
      <c r="AT101" s="731"/>
      <c r="AU101" s="731"/>
      <c r="AV101" s="731"/>
    </row>
    <row r="102" spans="1:48" ht="15.6">
      <c r="A102" s="426"/>
      <c r="B102" s="1082"/>
      <c r="C102" s="301"/>
      <c r="D102" s="409"/>
      <c r="E102" s="409"/>
      <c r="F102" s="409"/>
      <c r="G102" s="409"/>
      <c r="H102" s="409"/>
      <c r="I102" s="409"/>
      <c r="J102" s="409"/>
      <c r="K102" s="409"/>
      <c r="L102" s="334"/>
      <c r="M102" s="334"/>
      <c r="N102" s="334"/>
      <c r="O102" s="334"/>
      <c r="P102" s="334"/>
      <c r="Q102" s="334"/>
      <c r="R102" s="334"/>
      <c r="S102" s="334"/>
      <c r="T102" s="334"/>
      <c r="U102" s="334"/>
      <c r="V102" s="334"/>
      <c r="W102" s="334"/>
      <c r="X102" s="334"/>
      <c r="Y102" s="334"/>
      <c r="Z102" s="334"/>
      <c r="AA102" s="334"/>
      <c r="AB102" s="334"/>
      <c r="AC102" s="334"/>
      <c r="AD102" s="334"/>
      <c r="AE102" s="334"/>
      <c r="AF102" s="334"/>
      <c r="AG102" s="334"/>
      <c r="AH102" s="334"/>
      <c r="AI102" s="334"/>
      <c r="AJ102" s="334"/>
      <c r="AK102" s="334"/>
      <c r="AL102" s="334"/>
      <c r="AM102" s="426"/>
      <c r="AN102" s="426"/>
      <c r="AO102" s="731"/>
      <c r="AP102" s="731"/>
      <c r="AQ102" s="731"/>
      <c r="AR102" s="731"/>
      <c r="AS102" s="731"/>
      <c r="AT102" s="731"/>
      <c r="AU102" s="731"/>
      <c r="AV102" s="731"/>
    </row>
    <row r="103" spans="1:48" ht="15.6">
      <c r="A103" s="426"/>
      <c r="B103" s="1084" t="s">
        <v>1433</v>
      </c>
      <c r="C103" s="922"/>
      <c r="D103" s="1084"/>
      <c r="E103" s="1084"/>
      <c r="F103" s="1084"/>
      <c r="G103" s="1084"/>
      <c r="H103" s="1084"/>
      <c r="I103" s="1084"/>
      <c r="J103" s="1084"/>
      <c r="K103" s="1084"/>
      <c r="L103" s="1084"/>
      <c r="M103" s="1084"/>
      <c r="N103" s="1084"/>
      <c r="O103" s="1084"/>
      <c r="P103" s="1084"/>
      <c r="Q103" s="1084"/>
      <c r="R103" s="1084"/>
      <c r="S103" s="1084"/>
      <c r="T103" s="1084"/>
      <c r="U103" s="1084"/>
      <c r="V103" s="1084"/>
      <c r="W103" s="1084"/>
      <c r="X103" s="1084"/>
      <c r="Y103" s="1084"/>
      <c r="Z103" s="1084"/>
      <c r="AA103" s="1084"/>
      <c r="AB103" s="1084"/>
      <c r="AC103" s="1084"/>
      <c r="AD103" s="1084"/>
      <c r="AE103" s="1084"/>
      <c r="AF103" s="1084"/>
      <c r="AG103" s="1084"/>
      <c r="AH103" s="1084"/>
      <c r="AI103" s="1084"/>
      <c r="AJ103" s="1084"/>
      <c r="AK103" s="1084"/>
      <c r="AL103" s="1084"/>
      <c r="AM103" s="426"/>
      <c r="AN103" s="426" t="s">
        <v>1342</v>
      </c>
      <c r="AO103" s="731"/>
      <c r="AP103" s="731"/>
      <c r="AQ103" s="731"/>
      <c r="AR103" s="731"/>
      <c r="AS103" s="731"/>
      <c r="AT103" s="731"/>
      <c r="AU103" s="731"/>
      <c r="AV103" s="731"/>
    </row>
    <row r="104" spans="1:48">
      <c r="A104" s="426"/>
      <c r="B104" s="304" t="s">
        <v>1344</v>
      </c>
      <c r="C104" s="444" t="s">
        <v>732</v>
      </c>
      <c r="D104" s="409"/>
      <c r="E104" s="409"/>
      <c r="F104" s="409"/>
      <c r="G104" s="409"/>
      <c r="H104" s="409"/>
      <c r="I104" s="409"/>
      <c r="J104" s="409"/>
      <c r="K104" s="409"/>
      <c r="L104" s="334"/>
      <c r="M104" s="334"/>
      <c r="N104" s="334"/>
      <c r="O104" s="334"/>
      <c r="P104" s="334"/>
      <c r="Q104" s="334"/>
      <c r="R104" s="334"/>
      <c r="S104" s="247">
        <f t="shared" ref="S104:AL104" si="116">+R108</f>
        <v>5987</v>
      </c>
      <c r="T104" s="247">
        <f t="shared" si="116"/>
        <v>9332</v>
      </c>
      <c r="U104" s="247">
        <f t="shared" si="116"/>
        <v>9229</v>
      </c>
      <c r="V104" s="247">
        <f t="shared" si="116"/>
        <v>9558</v>
      </c>
      <c r="W104" s="247">
        <f t="shared" si="116"/>
        <v>7922</v>
      </c>
      <c r="X104" s="247">
        <f t="shared" si="116"/>
        <v>7210</v>
      </c>
      <c r="Y104" s="247">
        <f t="shared" si="116"/>
        <v>7412</v>
      </c>
      <c r="Z104" s="247">
        <f t="shared" si="116"/>
        <v>7131</v>
      </c>
      <c r="AA104" s="247">
        <f t="shared" si="116"/>
        <v>8155</v>
      </c>
      <c r="AB104" s="247">
        <f t="shared" si="116"/>
        <v>10989</v>
      </c>
      <c r="AC104" s="247">
        <f t="shared" si="116"/>
        <v>12421</v>
      </c>
      <c r="AD104" s="247">
        <f t="shared" si="116"/>
        <v>11775</v>
      </c>
      <c r="AE104" s="247">
        <f t="shared" si="116"/>
        <v>11629.89321525551</v>
      </c>
      <c r="AF104" s="247">
        <f t="shared" si="116"/>
        <v>11628.121367383816</v>
      </c>
      <c r="AG104" s="247">
        <f t="shared" si="116"/>
        <v>11618.650127387458</v>
      </c>
      <c r="AH104" s="247">
        <f t="shared" si="116"/>
        <v>11600.343051208318</v>
      </c>
      <c r="AI104" s="247">
        <f t="shared" si="116"/>
        <v>11572.010196246132</v>
      </c>
      <c r="AJ104" s="247">
        <f t="shared" si="116"/>
        <v>11532.375975431287</v>
      </c>
      <c r="AK104" s="247">
        <f t="shared" si="116"/>
        <v>11480.044870042957</v>
      </c>
      <c r="AL104" s="247">
        <f t="shared" si="116"/>
        <v>11413.463382222595</v>
      </c>
      <c r="AM104" s="426"/>
      <c r="AN104" s="426"/>
      <c r="AO104" s="731"/>
      <c r="AP104" s="731"/>
      <c r="AQ104" s="731"/>
      <c r="AR104" s="731"/>
      <c r="AS104" s="731"/>
      <c r="AT104" s="731"/>
      <c r="AU104" s="731"/>
      <c r="AV104" s="731"/>
    </row>
    <row r="105" spans="1:48">
      <c r="A105" s="426"/>
      <c r="B105" s="304" t="s">
        <v>1338</v>
      </c>
      <c r="C105" s="444" t="s">
        <v>732</v>
      </c>
      <c r="D105" s="409"/>
      <c r="E105" s="409"/>
      <c r="F105" s="409"/>
      <c r="G105" s="409"/>
      <c r="H105" s="409"/>
      <c r="I105" s="409"/>
      <c r="J105" s="409"/>
      <c r="K105" s="409"/>
      <c r="L105" s="334"/>
      <c r="M105" s="334"/>
      <c r="N105" s="334"/>
      <c r="O105" s="334"/>
      <c r="P105" s="334"/>
      <c r="Q105" s="334"/>
      <c r="R105" s="334"/>
      <c r="S105" s="334">
        <f t="shared" ref="S105:AB105" si="117">+S114</f>
        <v>2257</v>
      </c>
      <c r="T105" s="334">
        <f t="shared" si="117"/>
        <v>1143</v>
      </c>
      <c r="U105" s="334">
        <f t="shared" si="117"/>
        <v>1596</v>
      </c>
      <c r="V105" s="334">
        <f t="shared" si="117"/>
        <v>1361</v>
      </c>
      <c r="W105" s="334">
        <f t="shared" si="117"/>
        <v>1163</v>
      </c>
      <c r="X105" s="334">
        <f t="shared" si="117"/>
        <v>1101</v>
      </c>
      <c r="Y105" s="334">
        <f t="shared" si="117"/>
        <v>1061</v>
      </c>
      <c r="Z105" s="334">
        <f t="shared" si="117"/>
        <v>918</v>
      </c>
      <c r="AA105" s="334">
        <f t="shared" si="117"/>
        <v>1396</v>
      </c>
      <c r="AB105" s="334">
        <f t="shared" si="117"/>
        <v>2776</v>
      </c>
      <c r="AC105" s="334">
        <f t="shared" ref="AC105" si="118">+AC114</f>
        <v>1499</v>
      </c>
      <c r="AD105" s="334">
        <f t="shared" ref="AD105:AK105" si="119">+AD116</f>
        <v>1348.087316094694</v>
      </c>
      <c r="AE105" s="334">
        <f t="shared" si="119"/>
        <v>1384.7451632943244</v>
      </c>
      <c r="AF105" s="334">
        <f t="shared" si="119"/>
        <v>1427.0918199799701</v>
      </c>
      <c r="AG105" s="334">
        <f t="shared" si="119"/>
        <v>1475.6889189852802</v>
      </c>
      <c r="AH105" s="334">
        <f t="shared" si="119"/>
        <v>1530.8307022920283</v>
      </c>
      <c r="AI105" s="334">
        <f t="shared" si="119"/>
        <v>1592.988214481644</v>
      </c>
      <c r="AJ105" s="334">
        <f t="shared" si="119"/>
        <v>1662.8210796358132</v>
      </c>
      <c r="AK105" s="334">
        <f t="shared" si="119"/>
        <v>1741.1981830119878</v>
      </c>
      <c r="AL105" s="334">
        <f t="shared" ref="AL105" si="120">+AL116</f>
        <v>1654.9659913303503</v>
      </c>
      <c r="AM105" s="426"/>
      <c r="AN105" s="426"/>
      <c r="AO105" s="731"/>
      <c r="AP105" s="731"/>
      <c r="AQ105" s="731"/>
      <c r="AR105" s="731"/>
      <c r="AS105" s="731"/>
      <c r="AT105" s="731"/>
      <c r="AU105" s="731"/>
      <c r="AV105" s="731"/>
    </row>
    <row r="106" spans="1:48">
      <c r="A106" s="426"/>
      <c r="B106" s="304" t="s">
        <v>1345</v>
      </c>
      <c r="C106" s="444" t="s">
        <v>732</v>
      </c>
      <c r="D106" s="409"/>
      <c r="E106" s="409"/>
      <c r="F106" s="409"/>
      <c r="G106" s="409"/>
      <c r="H106" s="409"/>
      <c r="I106" s="409"/>
      <c r="J106" s="409"/>
      <c r="K106" s="409"/>
      <c r="L106" s="334"/>
      <c r="M106" s="334"/>
      <c r="N106" s="334"/>
      <c r="O106" s="334"/>
      <c r="P106" s="334"/>
      <c r="Q106" s="334"/>
      <c r="R106" s="334"/>
      <c r="S106" s="334">
        <f t="shared" ref="S106:AK106" si="121">-S120</f>
        <v>-1059</v>
      </c>
      <c r="T106" s="334">
        <f t="shared" si="121"/>
        <v>-1198</v>
      </c>
      <c r="U106" s="334">
        <f t="shared" si="121"/>
        <v>-1383</v>
      </c>
      <c r="V106" s="334">
        <f t="shared" si="121"/>
        <v>-1465</v>
      </c>
      <c r="W106" s="334">
        <f t="shared" si="121"/>
        <v>-1540</v>
      </c>
      <c r="X106" s="334">
        <f t="shared" si="121"/>
        <v>-1564</v>
      </c>
      <c r="Y106" s="334">
        <f t="shared" si="121"/>
        <v>-1314</v>
      </c>
      <c r="Z106" s="334">
        <f t="shared" si="121"/>
        <v>-1199</v>
      </c>
      <c r="AA106" s="334">
        <f t="shared" si="121"/>
        <v>-1472</v>
      </c>
      <c r="AB106" s="334">
        <f t="shared" si="121"/>
        <v>-1431</v>
      </c>
      <c r="AC106" s="334">
        <f t="shared" ref="AC106" si="122">-AC120</f>
        <v>-1677</v>
      </c>
      <c r="AD106" s="334">
        <f t="shared" si="121"/>
        <v>-1593.1941008391839</v>
      </c>
      <c r="AE106" s="334">
        <f t="shared" si="121"/>
        <v>-1636.5170111660198</v>
      </c>
      <c r="AF106" s="334">
        <f t="shared" si="121"/>
        <v>-1686.5630599763283</v>
      </c>
      <c r="AG106" s="334">
        <f t="shared" si="121"/>
        <v>-1743.9959951644221</v>
      </c>
      <c r="AH106" s="334">
        <f t="shared" si="121"/>
        <v>-1809.1635572542152</v>
      </c>
      <c r="AI106" s="334">
        <f t="shared" si="121"/>
        <v>-1882.6224352964884</v>
      </c>
      <c r="AJ106" s="334">
        <f t="shared" si="121"/>
        <v>-1965.1521850241429</v>
      </c>
      <c r="AK106" s="334">
        <f t="shared" si="121"/>
        <v>-2057.7796708323494</v>
      </c>
      <c r="AL106" s="334">
        <f t="shared" ref="AL106" si="123">-AL120</f>
        <v>-2151.4557887294554</v>
      </c>
      <c r="AM106" s="426"/>
      <c r="AN106" s="426"/>
      <c r="AO106" s="731"/>
      <c r="AP106" s="731"/>
      <c r="AQ106" s="731"/>
      <c r="AR106" s="731"/>
      <c r="AS106" s="731"/>
      <c r="AT106" s="731"/>
      <c r="AU106" s="731"/>
      <c r="AV106" s="731"/>
    </row>
    <row r="107" spans="1:48">
      <c r="A107" s="426"/>
      <c r="B107" s="304" t="s">
        <v>28</v>
      </c>
      <c r="C107" s="444" t="s">
        <v>732</v>
      </c>
      <c r="D107" s="409"/>
      <c r="E107" s="409"/>
      <c r="F107" s="409"/>
      <c r="G107" s="409"/>
      <c r="H107" s="409"/>
      <c r="I107" s="409"/>
      <c r="J107" s="409"/>
      <c r="K107" s="409"/>
      <c r="L107" s="334"/>
      <c r="M107" s="334"/>
      <c r="N107" s="334"/>
      <c r="O107" s="334"/>
      <c r="P107" s="334"/>
      <c r="Q107" s="334"/>
      <c r="R107" s="334"/>
      <c r="S107" s="247">
        <f t="shared" ref="S107:AB107" si="124">+S108-SUM(S104:S106)</f>
        <v>2147</v>
      </c>
      <c r="T107" s="247">
        <f t="shared" si="124"/>
        <v>-48</v>
      </c>
      <c r="U107" s="247">
        <f t="shared" si="124"/>
        <v>116</v>
      </c>
      <c r="V107" s="247">
        <f t="shared" si="124"/>
        <v>-1532</v>
      </c>
      <c r="W107" s="247">
        <f t="shared" si="124"/>
        <v>-335</v>
      </c>
      <c r="X107" s="247">
        <f t="shared" si="124"/>
        <v>665</v>
      </c>
      <c r="Y107" s="247">
        <f t="shared" si="124"/>
        <v>-28</v>
      </c>
      <c r="Z107" s="247">
        <f t="shared" si="124"/>
        <v>1305</v>
      </c>
      <c r="AA107" s="247">
        <f t="shared" si="124"/>
        <v>2910</v>
      </c>
      <c r="AB107" s="247">
        <f t="shared" si="124"/>
        <v>87</v>
      </c>
      <c r="AC107" s="247">
        <f t="shared" ref="AC107" si="125">+AC108-SUM(AC104:AC106)</f>
        <v>-468</v>
      </c>
      <c r="AD107" s="642">
        <f t="shared" ref="AD107:AL107" si="126">+AC107</f>
        <v>-468</v>
      </c>
      <c r="AE107" s="642">
        <f t="shared" si="126"/>
        <v>-468</v>
      </c>
      <c r="AF107" s="642">
        <f t="shared" si="126"/>
        <v>-468</v>
      </c>
      <c r="AG107" s="642">
        <f t="shared" si="126"/>
        <v>-468</v>
      </c>
      <c r="AH107" s="642">
        <f t="shared" si="126"/>
        <v>-468</v>
      </c>
      <c r="AI107" s="642">
        <f t="shared" si="126"/>
        <v>-468</v>
      </c>
      <c r="AJ107" s="642">
        <f t="shared" si="126"/>
        <v>-468</v>
      </c>
      <c r="AK107" s="642">
        <f t="shared" si="126"/>
        <v>-468</v>
      </c>
      <c r="AL107" s="642">
        <f t="shared" si="126"/>
        <v>-468</v>
      </c>
      <c r="AM107" s="426"/>
      <c r="AN107" s="426"/>
      <c r="AO107" s="731"/>
      <c r="AP107" s="731"/>
      <c r="AQ107" s="731"/>
      <c r="AR107" s="731"/>
      <c r="AS107" s="731"/>
      <c r="AT107" s="731"/>
      <c r="AU107" s="731"/>
      <c r="AV107" s="731"/>
    </row>
    <row r="108" spans="1:48">
      <c r="A108" s="305"/>
      <c r="B108" s="305" t="s">
        <v>1346</v>
      </c>
      <c r="C108" s="445" t="s">
        <v>732</v>
      </c>
      <c r="D108" s="415"/>
      <c r="E108" s="415"/>
      <c r="F108" s="415"/>
      <c r="G108" s="415"/>
      <c r="H108" s="415"/>
      <c r="I108" s="415">
        <v>4292</v>
      </c>
      <c r="J108" s="415">
        <v>4050</v>
      </c>
      <c r="K108" s="415">
        <v>4513</v>
      </c>
      <c r="L108" s="424">
        <v>5228</v>
      </c>
      <c r="M108" s="424">
        <v>6070</v>
      </c>
      <c r="N108" s="424">
        <v>6226</v>
      </c>
      <c r="O108" s="424">
        <v>6212</v>
      </c>
      <c r="P108" s="424">
        <v>6132</v>
      </c>
      <c r="Q108" s="424">
        <v>6820</v>
      </c>
      <c r="R108" s="529">
        <f>6382-395</f>
        <v>5987</v>
      </c>
      <c r="S108" s="529">
        <f>9332</f>
        <v>9332</v>
      </c>
      <c r="T108" s="529">
        <f>9229</f>
        <v>9229</v>
      </c>
      <c r="U108" s="529">
        <f>9558</f>
        <v>9558</v>
      </c>
      <c r="V108" s="529">
        <f>7922</f>
        <v>7922</v>
      </c>
      <c r="W108" s="529">
        <f>7210</f>
        <v>7210</v>
      </c>
      <c r="X108" s="529">
        <f>7412</f>
        <v>7412</v>
      </c>
      <c r="Y108" s="529">
        <v>7131</v>
      </c>
      <c r="Z108" s="529">
        <v>8155</v>
      </c>
      <c r="AA108" s="529">
        <f>10989</f>
        <v>10989</v>
      </c>
      <c r="AB108" s="529">
        <v>12421</v>
      </c>
      <c r="AC108" s="529">
        <v>11775</v>
      </c>
      <c r="AD108" s="424">
        <f t="shared" ref="AD108:AL108" si="127">AC108+AD111-AD120</f>
        <v>11629.89321525551</v>
      </c>
      <c r="AE108" s="424">
        <f t="shared" si="127"/>
        <v>11628.121367383816</v>
      </c>
      <c r="AF108" s="424">
        <f t="shared" si="127"/>
        <v>11618.650127387458</v>
      </c>
      <c r="AG108" s="424">
        <f t="shared" si="127"/>
        <v>11600.343051208318</v>
      </c>
      <c r="AH108" s="424">
        <f t="shared" si="127"/>
        <v>11572.010196246132</v>
      </c>
      <c r="AI108" s="424">
        <f t="shared" si="127"/>
        <v>11532.375975431287</v>
      </c>
      <c r="AJ108" s="424">
        <f t="shared" si="127"/>
        <v>11480.044870042957</v>
      </c>
      <c r="AK108" s="424">
        <f t="shared" si="127"/>
        <v>11413.463382222595</v>
      </c>
      <c r="AL108" s="424">
        <f t="shared" si="127"/>
        <v>11166.97358482349</v>
      </c>
      <c r="AM108" s="305"/>
      <c r="AN108" s="305"/>
      <c r="AO108" s="731"/>
      <c r="AP108" s="731"/>
      <c r="AQ108" s="731"/>
      <c r="AR108" s="731"/>
      <c r="AS108" s="731"/>
      <c r="AT108" s="731"/>
      <c r="AU108" s="731"/>
      <c r="AV108" s="731"/>
    </row>
    <row r="109" spans="1:48">
      <c r="A109" s="426"/>
      <c r="B109" s="1085" t="s">
        <v>738</v>
      </c>
      <c r="C109" s="444" t="s">
        <v>732</v>
      </c>
      <c r="D109" s="409"/>
      <c r="E109" s="409"/>
      <c r="F109" s="409"/>
      <c r="G109" s="409"/>
      <c r="H109" s="409"/>
      <c r="I109" s="334"/>
      <c r="J109" s="334"/>
      <c r="K109" s="334"/>
      <c r="L109" s="247"/>
      <c r="M109" s="247"/>
      <c r="N109" s="247"/>
      <c r="O109" s="247"/>
      <c r="P109" s="247"/>
      <c r="Q109" s="247"/>
      <c r="R109" s="548"/>
      <c r="S109" s="440">
        <f>'Balance Sheet'!S25</f>
        <v>1652</v>
      </c>
      <c r="T109" s="440">
        <f>'Balance Sheet'!T25</f>
        <v>1346</v>
      </c>
      <c r="U109" s="440">
        <f>'Balance Sheet'!U25</f>
        <v>1269</v>
      </c>
      <c r="V109" s="440">
        <f>'Balance Sheet'!V25</f>
        <v>1049</v>
      </c>
      <c r="W109" s="440">
        <f>'Balance Sheet'!W25</f>
        <v>1076</v>
      </c>
      <c r="X109" s="440">
        <f>'Balance Sheet'!X25</f>
        <v>1085</v>
      </c>
      <c r="Y109" s="440">
        <f>'Balance Sheet'!Y25</f>
        <v>1052</v>
      </c>
      <c r="Z109" s="440">
        <f>'Balance Sheet'!Z25</f>
        <v>1769</v>
      </c>
      <c r="AA109" s="440">
        <f>'Balance Sheet'!AA25</f>
        <v>3464</v>
      </c>
      <c r="AB109" s="440">
        <f>'Balance Sheet'!AB25</f>
        <v>3639</v>
      </c>
      <c r="AC109" s="440">
        <f>'Balance Sheet'!AC25</f>
        <v>3218</v>
      </c>
      <c r="AD109" s="642">
        <f t="shared" ref="AD109:AL109" si="128">+AC109</f>
        <v>3218</v>
      </c>
      <c r="AE109" s="642">
        <f t="shared" si="128"/>
        <v>3218</v>
      </c>
      <c r="AF109" s="642">
        <f t="shared" si="128"/>
        <v>3218</v>
      </c>
      <c r="AG109" s="642">
        <f t="shared" si="128"/>
        <v>3218</v>
      </c>
      <c r="AH109" s="642">
        <f t="shared" si="128"/>
        <v>3218</v>
      </c>
      <c r="AI109" s="642">
        <f t="shared" si="128"/>
        <v>3218</v>
      </c>
      <c r="AJ109" s="642">
        <f t="shared" si="128"/>
        <v>3218</v>
      </c>
      <c r="AK109" s="642">
        <f t="shared" si="128"/>
        <v>3218</v>
      </c>
      <c r="AL109" s="642">
        <f t="shared" si="128"/>
        <v>3218</v>
      </c>
      <c r="AM109" s="426"/>
      <c r="AN109" s="426"/>
      <c r="AO109" s="731"/>
      <c r="AP109" s="731"/>
      <c r="AQ109" s="731"/>
      <c r="AR109" s="731"/>
      <c r="AS109" s="731"/>
      <c r="AT109" s="731"/>
      <c r="AU109" s="731"/>
      <c r="AV109" s="731"/>
    </row>
    <row r="110" spans="1:48" ht="15.6">
      <c r="A110" s="426"/>
      <c r="B110" s="1082"/>
      <c r="C110" s="301"/>
      <c r="D110" s="409"/>
      <c r="E110" s="409"/>
      <c r="F110" s="409"/>
      <c r="G110" s="409"/>
      <c r="H110" s="409"/>
      <c r="I110" s="409"/>
      <c r="J110" s="409"/>
      <c r="K110" s="409"/>
      <c r="L110" s="334"/>
      <c r="M110" s="334"/>
      <c r="N110" s="334"/>
      <c r="O110" s="334"/>
      <c r="P110" s="334"/>
      <c r="Q110" s="334"/>
      <c r="R110" s="334"/>
      <c r="S110" s="334"/>
      <c r="T110" s="334"/>
      <c r="U110" s="334"/>
      <c r="V110" s="334"/>
      <c r="W110" s="334"/>
      <c r="X110" s="334"/>
      <c r="Y110" s="334"/>
      <c r="Z110" s="334"/>
      <c r="AA110" s="334"/>
      <c r="AB110" s="334"/>
      <c r="AC110" s="334"/>
      <c r="AD110" s="334"/>
      <c r="AE110" s="334"/>
      <c r="AF110" s="334"/>
      <c r="AG110" s="334"/>
      <c r="AH110" s="334"/>
      <c r="AI110" s="334"/>
      <c r="AJ110" s="334"/>
      <c r="AK110" s="334"/>
      <c r="AL110" s="334"/>
      <c r="AM110" s="426"/>
      <c r="AN110" s="426"/>
      <c r="AO110" s="731"/>
      <c r="AP110" s="731"/>
      <c r="AQ110" s="731"/>
      <c r="AR110" s="731"/>
      <c r="AS110" s="731"/>
      <c r="AT110" s="731"/>
      <c r="AU110" s="731"/>
      <c r="AV110" s="731"/>
    </row>
    <row r="111" spans="1:48">
      <c r="A111" s="426"/>
      <c r="B111" s="304" t="s">
        <v>1365</v>
      </c>
      <c r="C111" s="444" t="s">
        <v>732</v>
      </c>
      <c r="D111" s="409"/>
      <c r="E111" s="409"/>
      <c r="F111" s="409"/>
      <c r="G111" s="409"/>
      <c r="H111" s="409"/>
      <c r="I111" s="409"/>
      <c r="J111" s="334"/>
      <c r="K111" s="334">
        <f t="shared" ref="K111:P111" si="129">K114</f>
        <v>995</v>
      </c>
      <c r="L111" s="247">
        <f t="shared" si="129"/>
        <v>1465</v>
      </c>
      <c r="M111" s="247">
        <f t="shared" si="129"/>
        <v>1531</v>
      </c>
      <c r="N111" s="247">
        <f t="shared" si="129"/>
        <v>877</v>
      </c>
      <c r="O111" s="247">
        <f t="shared" si="129"/>
        <v>909</v>
      </c>
      <c r="P111" s="247">
        <f t="shared" si="129"/>
        <v>942</v>
      </c>
      <c r="Q111" s="247">
        <f>Q114+Q115</f>
        <v>1691</v>
      </c>
      <c r="R111" s="247">
        <f>R114+R115</f>
        <v>894</v>
      </c>
      <c r="S111" s="247">
        <f t="shared" ref="S111:AK111" si="130">S114</f>
        <v>2257</v>
      </c>
      <c r="T111" s="247">
        <f t="shared" si="130"/>
        <v>1143</v>
      </c>
      <c r="U111" s="247">
        <f t="shared" si="130"/>
        <v>1596</v>
      </c>
      <c r="V111" s="247">
        <f t="shared" si="130"/>
        <v>1361</v>
      </c>
      <c r="W111" s="247">
        <f t="shared" si="130"/>
        <v>1163</v>
      </c>
      <c r="X111" s="247">
        <f t="shared" si="130"/>
        <v>1101</v>
      </c>
      <c r="Y111" s="247">
        <f t="shared" si="130"/>
        <v>1061</v>
      </c>
      <c r="Z111" s="247">
        <f t="shared" si="130"/>
        <v>918</v>
      </c>
      <c r="AA111" s="247">
        <f t="shared" si="130"/>
        <v>1396</v>
      </c>
      <c r="AB111" s="247">
        <f t="shared" si="130"/>
        <v>2776</v>
      </c>
      <c r="AC111" s="247">
        <f t="shared" ref="AC111" si="131">AC114</f>
        <v>1499</v>
      </c>
      <c r="AD111" s="247">
        <f t="shared" si="130"/>
        <v>1448.087316094694</v>
      </c>
      <c r="AE111" s="247">
        <f t="shared" si="130"/>
        <v>1634.7451632943244</v>
      </c>
      <c r="AF111" s="247">
        <f t="shared" si="130"/>
        <v>1677.0918199799701</v>
      </c>
      <c r="AG111" s="247">
        <f t="shared" si="130"/>
        <v>1725.6889189852802</v>
      </c>
      <c r="AH111" s="247">
        <f t="shared" si="130"/>
        <v>1780.8307022920283</v>
      </c>
      <c r="AI111" s="247">
        <f t="shared" si="130"/>
        <v>1842.988214481644</v>
      </c>
      <c r="AJ111" s="247">
        <f t="shared" si="130"/>
        <v>1912.8210796358132</v>
      </c>
      <c r="AK111" s="247">
        <f t="shared" si="130"/>
        <v>1991.1981830119878</v>
      </c>
      <c r="AL111" s="247">
        <f t="shared" ref="AL111" si="132">AL114</f>
        <v>1904.9659913303503</v>
      </c>
      <c r="AM111" s="426"/>
      <c r="AN111" s="426"/>
      <c r="AO111" s="731"/>
      <c r="AP111" s="731"/>
      <c r="AQ111" s="731"/>
      <c r="AR111" s="731"/>
      <c r="AS111" s="731"/>
      <c r="AT111" s="731"/>
      <c r="AU111" s="731"/>
      <c r="AV111" s="731"/>
    </row>
    <row r="112" spans="1:48">
      <c r="A112" s="426"/>
      <c r="B112" s="1085" t="s">
        <v>1206</v>
      </c>
      <c r="C112" s="301" t="s">
        <v>733</v>
      </c>
      <c r="D112" s="409"/>
      <c r="E112" s="409"/>
      <c r="F112" s="409"/>
      <c r="G112" s="409"/>
      <c r="H112" s="409"/>
      <c r="I112" s="409"/>
      <c r="J112" s="409"/>
      <c r="K112" s="29">
        <f>K111/'Revenue Assumptions'!R1288</f>
        <v>4.203100578718371E-2</v>
      </c>
      <c r="L112" s="111">
        <f>L111/'Revenue Assumptions'!S1288</f>
        <v>5.9430121883265005E-2</v>
      </c>
      <c r="M112" s="111">
        <f>M111/'Revenue Assumptions'!T1288</f>
        <v>6.0343887141769741E-2</v>
      </c>
      <c r="N112" s="111">
        <f>N111/'Revenue Assumptions'!U1288</f>
        <v>3.5344585623707951E-2</v>
      </c>
      <c r="O112" s="111">
        <f>O111/'Revenue Assumptions'!V1288</f>
        <v>3.6384787002384122E-2</v>
      </c>
      <c r="P112" s="111">
        <f>P111/'Revenue Assumptions'!W1288</f>
        <v>3.7333815049926639E-2</v>
      </c>
      <c r="Q112" s="111">
        <f>Q111/'Revenue Assumptions'!X1288</f>
        <v>6.6340526335678315E-2</v>
      </c>
      <c r="R112" s="111">
        <f>R111/'Revenue Assumptions'!Y1288</f>
        <v>3.5754692099499691E-2</v>
      </c>
      <c r="S112" s="365">
        <f>S111/'P&amp;L'!S171</f>
        <v>8.9021271303424618E-2</v>
      </c>
      <c r="T112" s="365">
        <f>T111/'P&amp;L'!T171</f>
        <v>4.2275283419343869E-2</v>
      </c>
      <c r="U112" s="365">
        <f>U111/'P&amp;L'!U171</f>
        <v>5.6613819442576166E-2</v>
      </c>
      <c r="V112" s="365">
        <f>V111/'P&amp;L'!V21</f>
        <v>4.7189764571270068E-2</v>
      </c>
      <c r="W112" s="365">
        <f>W111/'P&amp;L'!W21</f>
        <v>4.1824001150789367E-2</v>
      </c>
      <c r="X112" s="365">
        <f>X111/'P&amp;L'!X21</f>
        <v>4.2449011065273545E-2</v>
      </c>
      <c r="Y112" s="365">
        <f>Y111/'P&amp;L'!Y21</f>
        <v>4.5867196956596919E-2</v>
      </c>
      <c r="Z112" s="365">
        <f>Z111/'P&amp;L'!Z21</f>
        <v>4.1642095713313676E-2</v>
      </c>
      <c r="AA112" s="365">
        <f>AA111/'P&amp;L'!AA21</f>
        <v>6.0055901357999618E-2</v>
      </c>
      <c r="AB112" s="365">
        <f>AB111/'P&amp;L'!AB21</f>
        <v>0.11821820969253045</v>
      </c>
      <c r="AC112" s="365">
        <f>AC111/'P&amp;L'!AC21</f>
        <v>6.3490046590427784E-2</v>
      </c>
      <c r="AD112" s="365">
        <f>AD111/'P&amp;L'!AD21</f>
        <v>5.9079854423623748E-2</v>
      </c>
      <c r="AE112" s="365">
        <f>AE111/'P&amp;L'!AE21</f>
        <v>6.4929624861291155E-2</v>
      </c>
      <c r="AF112" s="365">
        <f>AF111/'P&amp;L'!AF21</f>
        <v>6.4634979198600534E-2</v>
      </c>
      <c r="AG112" s="365">
        <f>AG111/'P&amp;L'!AG21</f>
        <v>6.431768194712395E-2</v>
      </c>
      <c r="AH112" s="365">
        <f>AH111/'P&amp;L'!AH21</f>
        <v>6.3982051365583992E-2</v>
      </c>
      <c r="AI112" s="365">
        <f>AI111/'P&amp;L'!AI21</f>
        <v>6.3631576727938455E-2</v>
      </c>
      <c r="AJ112" s="365">
        <f>AJ111/'P&amp;L'!AJ21</f>
        <v>6.3269079679343185E-2</v>
      </c>
      <c r="AK112" s="365">
        <f>AK111/'P&amp;L'!AK21</f>
        <v>6.2896860985815387E-2</v>
      </c>
      <c r="AL112" s="365">
        <f>AL111/'P&amp;L'!AL21</f>
        <v>5.7553025298091982E-2</v>
      </c>
      <c r="AM112" s="426"/>
      <c r="AN112" s="426"/>
      <c r="AO112" s="731"/>
      <c r="AP112" s="731"/>
      <c r="AQ112" s="731"/>
      <c r="AR112" s="731"/>
      <c r="AS112" s="731"/>
      <c r="AT112" s="731"/>
      <c r="AU112" s="731"/>
      <c r="AV112" s="731"/>
    </row>
    <row r="113" spans="1:48">
      <c r="A113" s="426"/>
      <c r="B113" s="426"/>
      <c r="C113" s="301"/>
      <c r="D113" s="409"/>
      <c r="E113" s="409"/>
      <c r="F113" s="409"/>
      <c r="G113" s="409"/>
      <c r="H113" s="409"/>
      <c r="I113" s="409"/>
      <c r="J113" s="40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426"/>
      <c r="AN113" s="426"/>
      <c r="AO113" s="731"/>
      <c r="AP113" s="731"/>
      <c r="AQ113" s="731"/>
      <c r="AR113" s="731"/>
      <c r="AS113" s="731"/>
      <c r="AT113" s="731"/>
      <c r="AU113" s="731"/>
      <c r="AV113" s="731"/>
    </row>
    <row r="114" spans="1:48">
      <c r="A114" s="426"/>
      <c r="B114" s="1086" t="s">
        <v>1432</v>
      </c>
      <c r="C114" s="410" t="s">
        <v>732</v>
      </c>
      <c r="D114" s="334"/>
      <c r="E114" s="334"/>
      <c r="F114" s="334"/>
      <c r="G114" s="334"/>
      <c r="H114" s="334"/>
      <c r="I114" s="334"/>
      <c r="J114" s="334"/>
      <c r="K114" s="1080">
        <v>995</v>
      </c>
      <c r="L114" s="610">
        <v>1465</v>
      </c>
      <c r="M114" s="610">
        <v>1531</v>
      </c>
      <c r="N114" s="610">
        <v>877</v>
      </c>
      <c r="O114" s="610">
        <v>909</v>
      </c>
      <c r="P114" s="610">
        <v>942</v>
      </c>
      <c r="Q114" s="548">
        <f>P114-54</f>
        <v>888</v>
      </c>
      <c r="R114" s="610">
        <v>894</v>
      </c>
      <c r="S114" s="611">
        <v>2257</v>
      </c>
      <c r="T114" s="611">
        <v>1143</v>
      </c>
      <c r="U114" s="611">
        <v>1596</v>
      </c>
      <c r="V114" s="611">
        <v>1361</v>
      </c>
      <c r="W114" s="611">
        <v>1163</v>
      </c>
      <c r="X114" s="611">
        <v>1101</v>
      </c>
      <c r="Y114" s="611">
        <v>1061</v>
      </c>
      <c r="Z114" s="611">
        <v>918</v>
      </c>
      <c r="AA114" s="611">
        <v>1396</v>
      </c>
      <c r="AB114" s="611">
        <v>2776</v>
      </c>
      <c r="AC114" s="611">
        <v>1499</v>
      </c>
      <c r="AD114" s="426">
        <f t="shared" ref="AD114:AK114" si="133">+AD115+AD116</f>
        <v>1448.087316094694</v>
      </c>
      <c r="AE114" s="426">
        <f t="shared" si="133"/>
        <v>1634.7451632943244</v>
      </c>
      <c r="AF114" s="426">
        <f t="shared" si="133"/>
        <v>1677.0918199799701</v>
      </c>
      <c r="AG114" s="426">
        <f t="shared" si="133"/>
        <v>1725.6889189852802</v>
      </c>
      <c r="AH114" s="426">
        <f t="shared" si="133"/>
        <v>1780.8307022920283</v>
      </c>
      <c r="AI114" s="426">
        <f t="shared" si="133"/>
        <v>1842.988214481644</v>
      </c>
      <c r="AJ114" s="426">
        <f t="shared" si="133"/>
        <v>1912.8210796358132</v>
      </c>
      <c r="AK114" s="426">
        <f t="shared" si="133"/>
        <v>1991.1981830119878</v>
      </c>
      <c r="AL114" s="426">
        <f t="shared" ref="AL114" si="134">+AL115+AL116</f>
        <v>1904.9659913303503</v>
      </c>
      <c r="AM114" s="426"/>
      <c r="AN114" s="304" t="s">
        <v>1333</v>
      </c>
      <c r="AO114" s="731"/>
      <c r="AP114" s="731"/>
      <c r="AQ114" s="731"/>
      <c r="AR114" s="731"/>
      <c r="AS114" s="731"/>
      <c r="AT114" s="731"/>
      <c r="AU114" s="731"/>
      <c r="AV114" s="731"/>
    </row>
    <row r="115" spans="1:48">
      <c r="A115" s="426"/>
      <c r="B115" s="1137" t="s">
        <v>1434</v>
      </c>
      <c r="C115" s="410" t="s">
        <v>732</v>
      </c>
      <c r="D115" s="160"/>
      <c r="E115" s="160"/>
      <c r="F115" s="160"/>
      <c r="G115" s="160"/>
      <c r="H115" s="160"/>
      <c r="I115" s="160"/>
      <c r="J115" s="160"/>
      <c r="K115" s="160"/>
      <c r="L115" s="274"/>
      <c r="M115" s="274"/>
      <c r="N115" s="275"/>
      <c r="O115" s="275"/>
      <c r="P115" s="247"/>
      <c r="Q115" s="610">
        <f>642+161</f>
        <v>803</v>
      </c>
      <c r="R115" s="252"/>
      <c r="S115" s="611">
        <v>1302</v>
      </c>
      <c r="T115" s="611">
        <v>5</v>
      </c>
      <c r="U115" s="611">
        <v>625</v>
      </c>
      <c r="V115" s="611">
        <v>113</v>
      </c>
      <c r="W115" s="611">
        <v>29</v>
      </c>
      <c r="X115" s="611">
        <v>435</v>
      </c>
      <c r="Y115" s="611">
        <v>88</v>
      </c>
      <c r="Z115" s="611">
        <v>41</v>
      </c>
      <c r="AA115" s="611">
        <v>112</v>
      </c>
      <c r="AB115" s="611">
        <v>1284</v>
      </c>
      <c r="AC115" s="611">
        <v>57</v>
      </c>
      <c r="AD115" s="642">
        <v>100</v>
      </c>
      <c r="AE115" s="642">
        <v>250</v>
      </c>
      <c r="AF115" s="642">
        <v>250</v>
      </c>
      <c r="AG115" s="642">
        <v>250</v>
      </c>
      <c r="AH115" s="642">
        <v>250</v>
      </c>
      <c r="AI115" s="642">
        <v>250</v>
      </c>
      <c r="AJ115" s="642">
        <v>250</v>
      </c>
      <c r="AK115" s="642">
        <v>250</v>
      </c>
      <c r="AL115" s="642">
        <v>250</v>
      </c>
      <c r="AM115" s="426"/>
      <c r="AN115" s="426"/>
      <c r="AO115" s="731"/>
      <c r="AP115" s="731"/>
      <c r="AQ115" s="731"/>
      <c r="AR115" s="731"/>
      <c r="AS115" s="731"/>
      <c r="AT115" s="731"/>
      <c r="AU115" s="731"/>
      <c r="AV115" s="731"/>
    </row>
    <row r="116" spans="1:48">
      <c r="A116" s="426"/>
      <c r="B116" s="1087" t="s">
        <v>1332</v>
      </c>
      <c r="C116" s="410" t="s">
        <v>732</v>
      </c>
      <c r="D116" s="160"/>
      <c r="E116" s="160"/>
      <c r="F116" s="160"/>
      <c r="G116" s="160"/>
      <c r="H116" s="160"/>
      <c r="I116" s="160"/>
      <c r="J116" s="160"/>
      <c r="K116" s="160"/>
      <c r="L116" s="274"/>
      <c r="M116" s="274"/>
      <c r="N116" s="275"/>
      <c r="O116" s="275"/>
      <c r="P116" s="247"/>
      <c r="Q116" s="610"/>
      <c r="R116" s="252"/>
      <c r="S116" s="441">
        <f t="shared" ref="S116:AB116" si="135">+S114-S115</f>
        <v>955</v>
      </c>
      <c r="T116" s="441">
        <f t="shared" si="135"/>
        <v>1138</v>
      </c>
      <c r="U116" s="441">
        <f t="shared" si="135"/>
        <v>971</v>
      </c>
      <c r="V116" s="441">
        <f t="shared" si="135"/>
        <v>1248</v>
      </c>
      <c r="W116" s="441">
        <f t="shared" si="135"/>
        <v>1134</v>
      </c>
      <c r="X116" s="441">
        <f t="shared" si="135"/>
        <v>666</v>
      </c>
      <c r="Y116" s="441">
        <f t="shared" si="135"/>
        <v>973</v>
      </c>
      <c r="Z116" s="441">
        <f t="shared" si="135"/>
        <v>877</v>
      </c>
      <c r="AA116" s="441">
        <f t="shared" si="135"/>
        <v>1284</v>
      </c>
      <c r="AB116" s="441">
        <f t="shared" si="135"/>
        <v>1492</v>
      </c>
      <c r="AC116" s="441">
        <f t="shared" ref="AC116" si="136">+AC114-AC115</f>
        <v>1442</v>
      </c>
      <c r="AD116" s="277">
        <f>+'P&amp;L'!AD$21*AD117</f>
        <v>1348.087316094694</v>
      </c>
      <c r="AE116" s="277">
        <f>+'P&amp;L'!AE$21*AE117</f>
        <v>1384.7451632943244</v>
      </c>
      <c r="AF116" s="277">
        <f>+'P&amp;L'!AF$21*AF117</f>
        <v>1427.0918199799701</v>
      </c>
      <c r="AG116" s="277">
        <f>+'P&amp;L'!AG$21*AG117</f>
        <v>1475.6889189852802</v>
      </c>
      <c r="AH116" s="277">
        <f>+'P&amp;L'!AH$21*AH117</f>
        <v>1530.8307022920283</v>
      </c>
      <c r="AI116" s="277">
        <f>+'P&amp;L'!AI$21*AI117</f>
        <v>1592.988214481644</v>
      </c>
      <c r="AJ116" s="277">
        <f>+'P&amp;L'!AJ$21*AJ117</f>
        <v>1662.8210796358132</v>
      </c>
      <c r="AK116" s="277">
        <f>+'P&amp;L'!AK$21*AK117</f>
        <v>1741.1981830119878</v>
      </c>
      <c r="AL116" s="277">
        <f>+'P&amp;L'!AL$21*AL117</f>
        <v>1654.9659913303503</v>
      </c>
      <c r="AM116" s="426"/>
      <c r="AN116" s="426"/>
      <c r="AO116" s="731"/>
      <c r="AP116" s="731"/>
      <c r="AQ116" s="731"/>
      <c r="AR116" s="731"/>
      <c r="AS116" s="731"/>
      <c r="AT116" s="731"/>
      <c r="AU116" s="731"/>
      <c r="AV116" s="731"/>
    </row>
    <row r="117" spans="1:48">
      <c r="A117" s="426"/>
      <c r="B117" s="1085" t="s">
        <v>1206</v>
      </c>
      <c r="C117" s="410" t="s">
        <v>733</v>
      </c>
      <c r="D117" s="334"/>
      <c r="E117" s="334"/>
      <c r="F117" s="334"/>
      <c r="G117" s="334"/>
      <c r="H117" s="334"/>
      <c r="I117" s="334"/>
      <c r="J117" s="334"/>
      <c r="K117" s="334"/>
      <c r="L117" s="311">
        <f>+L114/'P&amp;L'!L$171</f>
        <v>5.7814191398539445E-2</v>
      </c>
      <c r="M117" s="311">
        <f>+M114/'P&amp;L'!M$171</f>
        <v>5.9701486620906595E-2</v>
      </c>
      <c r="N117" s="311">
        <f>+N114/'P&amp;L'!N$171</f>
        <v>3.5040960459659792E-2</v>
      </c>
      <c r="O117" s="311">
        <f>+O114/'P&amp;L'!O$171</f>
        <v>3.5923218435779579E-2</v>
      </c>
      <c r="P117" s="311">
        <f>+P114/'P&amp;L'!P$171</f>
        <v>3.693709559088356E-2</v>
      </c>
      <c r="Q117" s="311">
        <f>+Q114/'P&amp;L'!Q$171</f>
        <v>3.4196330781494463E-2</v>
      </c>
      <c r="R117" s="311">
        <f>+R114/'P&amp;L'!R$171</f>
        <v>3.5754692099499691E-2</v>
      </c>
      <c r="S117" s="311">
        <f>+S116/'P&amp;L'!S$171</f>
        <v>3.766739658607466E-2</v>
      </c>
      <c r="T117" s="311">
        <f>+T116/'P&amp;L'!T$171</f>
        <v>4.209035217079031E-2</v>
      </c>
      <c r="U117" s="311">
        <f>+U116/'P&amp;L'!U$171</f>
        <v>3.4443620726028482E-2</v>
      </c>
      <c r="V117" s="311">
        <f>+V116/'P&amp;L'!V$21</f>
        <v>4.3271731215977258E-2</v>
      </c>
      <c r="W117" s="311">
        <f>+W116/'P&amp;L'!W$21</f>
        <v>4.0781098284604599E-2</v>
      </c>
      <c r="X117" s="311">
        <f>+X116/'P&amp;L'!X$21</f>
        <v>2.5677603423680456E-2</v>
      </c>
      <c r="Y117" s="311">
        <f>+Y116/'P&amp;L'!Y$21</f>
        <v>4.2062943109112919E-2</v>
      </c>
      <c r="Z117" s="311">
        <f>+Z116/'P&amp;L'!Z$21</f>
        <v>3.9782263551825812E-2</v>
      </c>
      <c r="AA117" s="311">
        <f>+AA116/'P&amp;L'!AA$21</f>
        <v>5.5237662853632886E-2</v>
      </c>
      <c r="AB117" s="311">
        <f>+AB116/'P&amp;L'!AB$21</f>
        <v>6.3538029128694315E-2</v>
      </c>
      <c r="AC117" s="311">
        <f>+AC116/'P&amp;L'!AC$21</f>
        <v>6.1075815332486232E-2</v>
      </c>
      <c r="AD117" s="621">
        <v>5.5E-2</v>
      </c>
      <c r="AE117" s="621">
        <f t="shared" ref="AE117:AK117" si="137">+AD117</f>
        <v>5.5E-2</v>
      </c>
      <c r="AF117" s="621">
        <f t="shared" si="137"/>
        <v>5.5E-2</v>
      </c>
      <c r="AG117" s="621">
        <f t="shared" si="137"/>
        <v>5.5E-2</v>
      </c>
      <c r="AH117" s="621">
        <f t="shared" si="137"/>
        <v>5.5E-2</v>
      </c>
      <c r="AI117" s="621">
        <f t="shared" si="137"/>
        <v>5.5E-2</v>
      </c>
      <c r="AJ117" s="621">
        <f t="shared" si="137"/>
        <v>5.5E-2</v>
      </c>
      <c r="AK117" s="621">
        <f t="shared" si="137"/>
        <v>5.5E-2</v>
      </c>
      <c r="AL117" s="621">
        <v>0.05</v>
      </c>
      <c r="AM117" s="426"/>
      <c r="AN117" s="426"/>
      <c r="AO117" s="731"/>
      <c r="AP117" s="731"/>
      <c r="AQ117" s="731"/>
      <c r="AR117" s="731"/>
      <c r="AS117" s="731"/>
      <c r="AT117" s="731"/>
      <c r="AU117" s="731"/>
      <c r="AV117" s="731"/>
    </row>
    <row r="118" spans="1:48">
      <c r="A118" s="426"/>
      <c r="B118" s="426"/>
      <c r="C118" s="298"/>
      <c r="D118" s="334"/>
      <c r="E118" s="334"/>
      <c r="F118" s="334"/>
      <c r="G118" s="334"/>
      <c r="H118" s="334"/>
      <c r="I118" s="334"/>
      <c r="J118" s="334"/>
      <c r="K118" s="334"/>
      <c r="L118" s="334"/>
      <c r="M118" s="334"/>
      <c r="N118" s="334"/>
      <c r="O118" s="334"/>
      <c r="P118" s="334"/>
      <c r="Q118" s="334"/>
      <c r="R118" s="334"/>
      <c r="S118" s="334"/>
      <c r="T118" s="334"/>
      <c r="U118" s="334"/>
      <c r="V118" s="334"/>
      <c r="W118" s="334"/>
      <c r="X118" s="334"/>
      <c r="Y118" s="334"/>
      <c r="Z118" s="334"/>
      <c r="AA118" s="334"/>
      <c r="AB118" s="334"/>
      <c r="AC118" s="334"/>
      <c r="AD118" s="334"/>
      <c r="AE118" s="334"/>
      <c r="AF118" s="334"/>
      <c r="AG118" s="334"/>
      <c r="AH118" s="334"/>
      <c r="AI118" s="334"/>
      <c r="AJ118" s="334"/>
      <c r="AK118" s="334"/>
      <c r="AL118" s="334"/>
      <c r="AM118" s="426"/>
      <c r="AN118" s="426"/>
      <c r="AO118" s="731"/>
      <c r="AP118" s="731"/>
      <c r="AQ118" s="731"/>
      <c r="AR118" s="731"/>
      <c r="AS118" s="731"/>
      <c r="AT118" s="731"/>
      <c r="AU118" s="731"/>
      <c r="AV118" s="731"/>
    </row>
    <row r="119" spans="1:48">
      <c r="A119" s="426"/>
      <c r="B119" s="304" t="s">
        <v>1347</v>
      </c>
      <c r="C119" s="444" t="s">
        <v>732</v>
      </c>
      <c r="D119" s="608">
        <v>303</v>
      </c>
      <c r="E119" s="608">
        <v>485</v>
      </c>
      <c r="F119" s="608">
        <v>655</v>
      </c>
      <c r="G119" s="608">
        <v>744</v>
      </c>
      <c r="H119" s="608">
        <v>742</v>
      </c>
      <c r="I119" s="608">
        <v>653</v>
      </c>
      <c r="J119" s="608">
        <v>904</v>
      </c>
      <c r="K119" s="608">
        <v>738</v>
      </c>
      <c r="L119" s="602">
        <v>704</v>
      </c>
      <c r="M119" s="602">
        <v>766</v>
      </c>
      <c r="N119" s="602">
        <v>906</v>
      </c>
      <c r="O119" s="602">
        <v>1005</v>
      </c>
      <c r="P119" s="610">
        <v>1107</v>
      </c>
      <c r="Q119" s="610">
        <v>1165</v>
      </c>
      <c r="R119" s="610">
        <v>1054</v>
      </c>
      <c r="S119" s="610">
        <v>1059</v>
      </c>
      <c r="T119" s="610">
        <v>1198</v>
      </c>
      <c r="U119" s="610">
        <v>1383</v>
      </c>
      <c r="V119" s="610">
        <v>1465</v>
      </c>
      <c r="W119" s="610">
        <v>1540</v>
      </c>
      <c r="X119" s="610">
        <v>1564</v>
      </c>
      <c r="Y119" s="610">
        <v>1314</v>
      </c>
      <c r="Z119" s="610">
        <v>1199</v>
      </c>
      <c r="AA119" s="610">
        <v>1472</v>
      </c>
      <c r="AB119" s="610">
        <f>1431</f>
        <v>1431</v>
      </c>
      <c r="AC119" s="610">
        <v>1677</v>
      </c>
      <c r="AD119" s="247"/>
      <c r="AE119" s="247"/>
      <c r="AF119" s="247"/>
      <c r="AG119" s="247"/>
      <c r="AH119" s="247"/>
      <c r="AI119" s="247"/>
      <c r="AJ119" s="247"/>
      <c r="AK119" s="247"/>
      <c r="AL119" s="247"/>
      <c r="AM119" s="426"/>
      <c r="AN119" s="426"/>
      <c r="AO119" s="731"/>
      <c r="AP119" s="731"/>
      <c r="AQ119" s="731"/>
      <c r="AR119" s="731"/>
      <c r="AS119" s="731"/>
      <c r="AT119" s="731"/>
      <c r="AU119" s="731"/>
      <c r="AV119" s="731"/>
    </row>
    <row r="120" spans="1:48">
      <c r="A120" s="426"/>
      <c r="B120" s="304" t="s">
        <v>1348</v>
      </c>
      <c r="C120" s="444" t="s">
        <v>732</v>
      </c>
      <c r="D120" s="409"/>
      <c r="E120" s="409"/>
      <c r="F120" s="409"/>
      <c r="G120" s="409"/>
      <c r="H120" s="409"/>
      <c r="I120" s="409"/>
      <c r="J120" s="409"/>
      <c r="K120" s="409"/>
      <c r="L120" s="247">
        <v>619</v>
      </c>
      <c r="M120" s="247">
        <v>-888</v>
      </c>
      <c r="N120" s="247">
        <v>900</v>
      </c>
      <c r="O120" s="247">
        <v>391</v>
      </c>
      <c r="P120" s="247">
        <v>1107</v>
      </c>
      <c r="Q120" s="247">
        <v>1165</v>
      </c>
      <c r="R120" s="247">
        <v>1054</v>
      </c>
      <c r="S120" s="247">
        <f t="shared" ref="S120:AB120" si="138">+S119</f>
        <v>1059</v>
      </c>
      <c r="T120" s="247">
        <f t="shared" si="138"/>
        <v>1198</v>
      </c>
      <c r="U120" s="247">
        <f t="shared" si="138"/>
        <v>1383</v>
      </c>
      <c r="V120" s="247">
        <f t="shared" si="138"/>
        <v>1465</v>
      </c>
      <c r="W120" s="247">
        <f t="shared" si="138"/>
        <v>1540</v>
      </c>
      <c r="X120" s="247">
        <f t="shared" si="138"/>
        <v>1564</v>
      </c>
      <c r="Y120" s="247">
        <f t="shared" si="138"/>
        <v>1314</v>
      </c>
      <c r="Z120" s="247">
        <f t="shared" si="138"/>
        <v>1199</v>
      </c>
      <c r="AA120" s="247">
        <f t="shared" si="138"/>
        <v>1472</v>
      </c>
      <c r="AB120" s="247">
        <f t="shared" si="138"/>
        <v>1431</v>
      </c>
      <c r="AC120" s="247">
        <f t="shared" ref="AC120" si="139">+AC119</f>
        <v>1677</v>
      </c>
      <c r="AD120" s="247">
        <f>+'P&amp;L'!AD21*'Cost + BS Assumptions'!AD122</f>
        <v>1593.1941008391839</v>
      </c>
      <c r="AE120" s="247">
        <f>+'P&amp;L'!AE21*'Cost + BS Assumptions'!AE122</f>
        <v>1636.5170111660198</v>
      </c>
      <c r="AF120" s="247">
        <f>+'P&amp;L'!AF21*'Cost + BS Assumptions'!AF122</f>
        <v>1686.5630599763283</v>
      </c>
      <c r="AG120" s="247">
        <f>+'P&amp;L'!AG21*'Cost + BS Assumptions'!AG122</f>
        <v>1743.9959951644221</v>
      </c>
      <c r="AH120" s="247">
        <f>+'P&amp;L'!AH21*'Cost + BS Assumptions'!AH122</f>
        <v>1809.1635572542152</v>
      </c>
      <c r="AI120" s="247">
        <f>+'P&amp;L'!AI21*'Cost + BS Assumptions'!AI122</f>
        <v>1882.6224352964884</v>
      </c>
      <c r="AJ120" s="247">
        <f>+'P&amp;L'!AJ21*'Cost + BS Assumptions'!AJ122</f>
        <v>1965.1521850241429</v>
      </c>
      <c r="AK120" s="247">
        <f>+'P&amp;L'!AK21*'Cost + BS Assumptions'!AK122</f>
        <v>2057.7796708323494</v>
      </c>
      <c r="AL120" s="247">
        <f>+'P&amp;L'!AL21*'Cost + BS Assumptions'!AL122</f>
        <v>2151.4557887294554</v>
      </c>
      <c r="AM120" s="426"/>
      <c r="AN120" s="426"/>
      <c r="AO120" s="731"/>
      <c r="AP120" s="731"/>
      <c r="AQ120" s="731"/>
      <c r="AR120" s="731"/>
      <c r="AS120" s="731"/>
      <c r="AT120" s="731"/>
      <c r="AU120" s="731"/>
      <c r="AV120" s="731"/>
    </row>
    <row r="121" spans="1:48">
      <c r="A121" s="426"/>
      <c r="B121" s="1085" t="s">
        <v>1349</v>
      </c>
      <c r="C121" s="410" t="s">
        <v>733</v>
      </c>
      <c r="D121" s="409"/>
      <c r="E121" s="409"/>
      <c r="F121" s="409"/>
      <c r="G121" s="409"/>
      <c r="H121" s="409"/>
      <c r="I121" s="409"/>
      <c r="J121" s="409"/>
      <c r="K121" s="409"/>
      <c r="L121" s="111">
        <v>6.9100245590533599E-2</v>
      </c>
      <c r="M121" s="111">
        <v>-9.2480733180587374E-2</v>
      </c>
      <c r="N121" s="111">
        <v>8.9047195013357075E-2</v>
      </c>
      <c r="O121" s="111">
        <v>3.6125098166027624E-2</v>
      </c>
      <c r="P121" s="111">
        <v>0.10082885508698425</v>
      </c>
      <c r="Q121" s="111">
        <v>9.8125921246578221E-2</v>
      </c>
      <c r="R121" s="111">
        <v>7.9571191303034874E-2</v>
      </c>
      <c r="S121" s="365">
        <f t="shared" ref="S121:AL121" si="140">S120/AVERAGE(R108,S108)</f>
        <v>0.1382596775246426</v>
      </c>
      <c r="T121" s="365">
        <f t="shared" si="140"/>
        <v>0.12908787242066699</v>
      </c>
      <c r="U121" s="365">
        <f t="shared" si="140"/>
        <v>0.14722946718475541</v>
      </c>
      <c r="V121" s="365">
        <f t="shared" si="140"/>
        <v>0.16762013729977115</v>
      </c>
      <c r="W121" s="365">
        <f t="shared" si="140"/>
        <v>0.2035421623050489</v>
      </c>
      <c r="X121" s="365">
        <f t="shared" si="140"/>
        <v>0.21392422377239775</v>
      </c>
      <c r="Y121" s="365">
        <f t="shared" si="140"/>
        <v>0.1807054940521213</v>
      </c>
      <c r="Z121" s="365">
        <f t="shared" si="140"/>
        <v>0.1568755724192071</v>
      </c>
      <c r="AA121" s="365">
        <f t="shared" si="140"/>
        <v>0.1537818637693272</v>
      </c>
      <c r="AB121" s="365">
        <f t="shared" si="140"/>
        <v>0.12225544639043144</v>
      </c>
      <c r="AC121" s="365">
        <f t="shared" si="140"/>
        <v>0.13861795338072408</v>
      </c>
      <c r="AD121" s="365">
        <f t="shared" si="140"/>
        <v>0.13614196708239851</v>
      </c>
      <c r="AE121" s="365">
        <f t="shared" si="140"/>
        <v>0.14072714636507097</v>
      </c>
      <c r="AF121" s="365">
        <f t="shared" si="140"/>
        <v>0.14510084209806723</v>
      </c>
      <c r="AG121" s="365">
        <f t="shared" si="140"/>
        <v>0.1502215002821147</v>
      </c>
      <c r="AH121" s="365">
        <f t="shared" si="140"/>
        <v>0.15614845310999712</v>
      </c>
      <c r="AI121" s="365">
        <f t="shared" si="140"/>
        <v>0.16296666973168122</v>
      </c>
      <c r="AJ121" s="365">
        <f t="shared" si="140"/>
        <v>0.17079056551415547</v>
      </c>
      <c r="AK121" s="365">
        <f t="shared" si="140"/>
        <v>0.17976971009925583</v>
      </c>
      <c r="AL121" s="365">
        <f t="shared" si="140"/>
        <v>0.19055926967837622</v>
      </c>
      <c r="AM121" s="426"/>
      <c r="AN121" s="426"/>
      <c r="AO121" s="731"/>
      <c r="AP121" s="731"/>
      <c r="AQ121" s="731"/>
      <c r="AR121" s="731"/>
      <c r="AS121" s="731"/>
      <c r="AT121" s="731"/>
      <c r="AU121" s="731"/>
      <c r="AV121" s="731"/>
    </row>
    <row r="122" spans="1:48">
      <c r="A122" s="426"/>
      <c r="B122" s="1085" t="s">
        <v>1206</v>
      </c>
      <c r="C122" s="410" t="s">
        <v>733</v>
      </c>
      <c r="D122" s="409"/>
      <c r="E122" s="409"/>
      <c r="F122" s="409"/>
      <c r="G122" s="409"/>
      <c r="H122" s="409"/>
      <c r="I122" s="409"/>
      <c r="J122" s="409"/>
      <c r="K122" s="409"/>
      <c r="L122" s="334"/>
      <c r="M122" s="334"/>
      <c r="N122" s="334"/>
      <c r="O122" s="334"/>
      <c r="P122" s="334"/>
      <c r="Q122" s="334"/>
      <c r="R122" s="334"/>
      <c r="S122" s="365">
        <f>+S120/'P&amp;L'!S171</f>
        <v>4.1769395795448236E-2</v>
      </c>
      <c r="T122" s="365">
        <f>+T120/'P&amp;L'!T171</f>
        <v>4.4309527153433031E-2</v>
      </c>
      <c r="U122" s="365">
        <f>+U120/'P&amp;L'!U171</f>
        <v>4.9058215719976712E-2</v>
      </c>
      <c r="V122" s="365">
        <f>+V120/'P&amp;L'!V21</f>
        <v>5.0795742172601507E-2</v>
      </c>
      <c r="W122" s="365">
        <f>+W120/'P&amp;L'!W21</f>
        <v>5.5381738411191428E-2</v>
      </c>
      <c r="X122" s="365">
        <f>+X120/'P&amp;L'!X21</f>
        <v>6.0299957589543894E-2</v>
      </c>
      <c r="Y122" s="365">
        <f>+Y120/'P&amp;L'!Y21</f>
        <v>5.6804426768113439E-2</v>
      </c>
      <c r="Z122" s="365">
        <f>+Z120/'P&amp;L'!Z21</f>
        <v>5.4388750283510999E-2</v>
      </c>
      <c r="AA122" s="365">
        <f>+AA120/'P&amp;L'!AA21</f>
        <v>6.3325420343105607E-2</v>
      </c>
      <c r="AB122" s="365">
        <f>+AB120/'P&amp;L'!AB21</f>
        <v>6.0940294693808024E-2</v>
      </c>
      <c r="AC122" s="365">
        <f>+AC120/'P&amp;L'!AC21</f>
        <v>7.1029224904701399E-2</v>
      </c>
      <c r="AD122" s="641">
        <v>6.5000000000000002E-2</v>
      </c>
      <c r="AE122" s="641">
        <v>6.5000000000000002E-2</v>
      </c>
      <c r="AF122" s="641">
        <v>6.5000000000000002E-2</v>
      </c>
      <c r="AG122" s="641">
        <v>6.5000000000000002E-2</v>
      </c>
      <c r="AH122" s="641">
        <v>6.5000000000000002E-2</v>
      </c>
      <c r="AI122" s="641">
        <v>6.5000000000000002E-2</v>
      </c>
      <c r="AJ122" s="641">
        <v>6.5000000000000002E-2</v>
      </c>
      <c r="AK122" s="641">
        <v>6.5000000000000002E-2</v>
      </c>
      <c r="AL122" s="641">
        <v>6.5000000000000002E-2</v>
      </c>
      <c r="AM122" s="426"/>
      <c r="AN122" s="426"/>
      <c r="AO122" s="731"/>
      <c r="AP122" s="731"/>
      <c r="AQ122" s="731"/>
      <c r="AR122" s="731"/>
      <c r="AS122" s="731"/>
      <c r="AT122" s="731"/>
      <c r="AU122" s="731"/>
      <c r="AV122" s="731"/>
    </row>
    <row r="123" spans="1:48">
      <c r="A123" s="426"/>
      <c r="B123" s="1085"/>
      <c r="C123" s="301"/>
      <c r="D123" s="409"/>
      <c r="E123" s="409"/>
      <c r="F123" s="409"/>
      <c r="G123" s="409"/>
      <c r="H123" s="409"/>
      <c r="I123" s="409"/>
      <c r="J123" s="409"/>
      <c r="K123" s="409"/>
      <c r="L123" s="334"/>
      <c r="M123" s="334"/>
      <c r="N123" s="334"/>
      <c r="O123" s="334"/>
      <c r="P123" s="334"/>
      <c r="Q123" s="334"/>
      <c r="R123" s="334"/>
      <c r="S123" s="334"/>
      <c r="T123" s="334"/>
      <c r="U123" s="334"/>
      <c r="V123" s="334"/>
      <c r="W123" s="334"/>
      <c r="X123" s="334"/>
      <c r="Y123" s="334"/>
      <c r="Z123" s="334"/>
      <c r="AA123" s="334"/>
      <c r="AB123" s="334"/>
      <c r="AC123" s="1116"/>
      <c r="AD123" s="1116"/>
      <c r="AE123" s="1116"/>
      <c r="AF123" s="731"/>
      <c r="AG123" s="334"/>
      <c r="AH123" s="334"/>
      <c r="AI123" s="334"/>
      <c r="AJ123" s="334"/>
      <c r="AK123" s="334"/>
      <c r="AL123" s="334"/>
      <c r="AM123" s="426"/>
      <c r="AN123" s="426"/>
      <c r="AO123" s="731"/>
      <c r="AP123" s="731"/>
      <c r="AQ123" s="731"/>
      <c r="AR123" s="731"/>
      <c r="AS123" s="731"/>
      <c r="AT123" s="731"/>
      <c r="AU123" s="731"/>
      <c r="AV123" s="731"/>
    </row>
    <row r="124" spans="1:48" ht="15.6">
      <c r="A124" s="426"/>
      <c r="B124" s="1083" t="s">
        <v>342</v>
      </c>
      <c r="C124" s="443"/>
      <c r="D124" s="270"/>
      <c r="E124" s="270"/>
      <c r="F124" s="270"/>
      <c r="G124" s="270"/>
      <c r="H124" s="270"/>
      <c r="I124" s="270"/>
      <c r="J124" s="270"/>
      <c r="K124" s="270"/>
      <c r="L124" s="270"/>
      <c r="M124" s="270"/>
      <c r="N124" s="270"/>
      <c r="O124" s="270"/>
      <c r="P124" s="270"/>
      <c r="Q124" s="270"/>
      <c r="R124" s="270"/>
      <c r="S124" s="270"/>
      <c r="T124" s="270"/>
      <c r="U124" s="270"/>
      <c r="V124" s="270"/>
      <c r="W124" s="270"/>
      <c r="X124" s="270"/>
      <c r="Y124" s="270"/>
      <c r="Z124" s="270"/>
      <c r="AA124" s="270"/>
      <c r="AB124" s="270"/>
      <c r="AC124" s="270"/>
      <c r="AD124" s="270"/>
      <c r="AE124" s="270"/>
      <c r="AF124" s="270"/>
      <c r="AG124" s="270"/>
      <c r="AH124" s="270"/>
      <c r="AI124" s="271"/>
      <c r="AJ124" s="271"/>
      <c r="AK124" s="271"/>
      <c r="AL124" s="271"/>
      <c r="AM124" s="426"/>
      <c r="AN124" s="426"/>
      <c r="AO124" s="731"/>
      <c r="AP124" s="731"/>
      <c r="AQ124" s="731"/>
      <c r="AR124" s="731"/>
      <c r="AS124" s="731"/>
      <c r="AT124" s="731"/>
      <c r="AU124" s="731"/>
      <c r="AV124" s="731"/>
    </row>
    <row r="125" spans="1:48">
      <c r="A125" s="426"/>
      <c r="B125" s="1085"/>
      <c r="C125" s="301"/>
      <c r="D125" s="409"/>
      <c r="E125" s="409"/>
      <c r="F125" s="409"/>
      <c r="G125" s="409"/>
      <c r="H125" s="409"/>
      <c r="I125" s="409"/>
      <c r="J125" s="409"/>
      <c r="K125" s="409"/>
      <c r="L125" s="334"/>
      <c r="M125" s="334"/>
      <c r="N125" s="334"/>
      <c r="O125" s="334"/>
      <c r="P125" s="334"/>
      <c r="Q125" s="334"/>
      <c r="R125" s="334"/>
      <c r="S125" s="334"/>
      <c r="T125" s="334"/>
      <c r="U125" s="334"/>
      <c r="V125" s="334"/>
      <c r="W125" s="334"/>
      <c r="X125" s="334"/>
      <c r="Y125" s="334"/>
      <c r="Z125" s="334"/>
      <c r="AA125" s="334"/>
      <c r="AB125" s="334"/>
      <c r="AC125" s="334"/>
      <c r="AD125" s="334"/>
      <c r="AE125" s="334"/>
      <c r="AF125" s="334"/>
      <c r="AG125" s="334"/>
      <c r="AH125" s="334"/>
      <c r="AI125" s="334"/>
      <c r="AJ125" s="334"/>
      <c r="AK125" s="334"/>
      <c r="AL125" s="334"/>
      <c r="AM125" s="426"/>
      <c r="AN125" s="426"/>
      <c r="AO125" s="731"/>
      <c r="AP125" s="731"/>
      <c r="AQ125" s="731"/>
      <c r="AR125" s="731"/>
      <c r="AS125" s="731"/>
      <c r="AT125" s="731"/>
      <c r="AU125" s="731"/>
      <c r="AV125" s="731"/>
    </row>
    <row r="126" spans="1:48">
      <c r="A126" s="304"/>
      <c r="B126" s="1085" t="s">
        <v>1350</v>
      </c>
      <c r="C126" s="410" t="s">
        <v>732</v>
      </c>
      <c r="D126" s="411"/>
      <c r="E126" s="411"/>
      <c r="F126" s="411"/>
      <c r="G126" s="411"/>
      <c r="H126" s="411"/>
      <c r="I126" s="411"/>
      <c r="J126" s="411"/>
      <c r="K126" s="411"/>
      <c r="L126" s="411"/>
      <c r="M126" s="411"/>
      <c r="N126" s="411"/>
      <c r="O126" s="411"/>
      <c r="P126" s="411"/>
      <c r="Q126" s="411"/>
      <c r="R126" s="411"/>
      <c r="S126" s="411">
        <f t="shared" ref="S126:AK126" si="141">+S83</f>
        <v>2915</v>
      </c>
      <c r="T126" s="411">
        <f t="shared" si="141"/>
        <v>2957</v>
      </c>
      <c r="U126" s="411">
        <f t="shared" si="141"/>
        <v>3058</v>
      </c>
      <c r="V126" s="411">
        <f t="shared" si="141"/>
        <v>3005</v>
      </c>
      <c r="W126" s="411">
        <f t="shared" si="141"/>
        <v>2742</v>
      </c>
      <c r="X126" s="411">
        <f t="shared" si="141"/>
        <v>2757</v>
      </c>
      <c r="Y126" s="411">
        <f t="shared" si="141"/>
        <v>2606</v>
      </c>
      <c r="Z126" s="411">
        <f t="shared" si="141"/>
        <v>2572</v>
      </c>
      <c r="AA126" s="411">
        <f t="shared" si="141"/>
        <v>2424</v>
      </c>
      <c r="AB126" s="411">
        <f t="shared" si="141"/>
        <v>2429</v>
      </c>
      <c r="AC126" s="411">
        <f t="shared" ref="AC126" si="142">+AC83</f>
        <v>2414</v>
      </c>
      <c r="AD126" s="411">
        <f t="shared" si="141"/>
        <v>2500.0892043937961</v>
      </c>
      <c r="AE126" s="411">
        <f t="shared" si="141"/>
        <v>2568.0728482912923</v>
      </c>
      <c r="AF126" s="411">
        <f t="shared" si="141"/>
        <v>2646.6066479628535</v>
      </c>
      <c r="AG126" s="411">
        <f t="shared" si="141"/>
        <v>2736.7321770272465</v>
      </c>
      <c r="AH126" s="411">
        <f t="shared" si="141"/>
        <v>2838.9951206143064</v>
      </c>
      <c r="AI126" s="411">
        <f t="shared" si="141"/>
        <v>2954.2690523114125</v>
      </c>
      <c r="AJ126" s="411">
        <f t="shared" si="141"/>
        <v>3083.7772749609626</v>
      </c>
      <c r="AK126" s="411">
        <f t="shared" si="141"/>
        <v>3229.1311757676863</v>
      </c>
      <c r="AL126" s="411">
        <f t="shared" ref="AL126" si="143">+AL83</f>
        <v>3376.130622313914</v>
      </c>
      <c r="AM126" s="304"/>
      <c r="AN126" s="304"/>
      <c r="AO126" s="731"/>
      <c r="AP126" s="731"/>
      <c r="AQ126" s="731"/>
      <c r="AR126" s="731"/>
      <c r="AS126" s="731"/>
      <c r="AT126" s="731"/>
      <c r="AU126" s="731"/>
      <c r="AV126" s="731"/>
    </row>
    <row r="127" spans="1:48">
      <c r="A127" s="304"/>
      <c r="B127" s="1085" t="s">
        <v>1351</v>
      </c>
      <c r="C127" s="410" t="s">
        <v>732</v>
      </c>
      <c r="D127" s="411"/>
      <c r="E127" s="411"/>
      <c r="F127" s="411"/>
      <c r="G127" s="411"/>
      <c r="H127" s="411"/>
      <c r="I127" s="411"/>
      <c r="J127" s="411"/>
      <c r="K127" s="411"/>
      <c r="L127" s="411"/>
      <c r="M127" s="411"/>
      <c r="N127" s="411"/>
      <c r="O127" s="411"/>
      <c r="P127" s="411"/>
      <c r="Q127" s="411"/>
      <c r="R127" s="411"/>
      <c r="S127" s="411">
        <f t="shared" ref="S127:AK127" si="144">+S97</f>
        <v>0</v>
      </c>
      <c r="T127" s="411">
        <f t="shared" si="144"/>
        <v>0</v>
      </c>
      <c r="U127" s="411">
        <f t="shared" si="144"/>
        <v>0</v>
      </c>
      <c r="V127" s="411">
        <f t="shared" si="144"/>
        <v>0</v>
      </c>
      <c r="W127" s="411">
        <f t="shared" si="144"/>
        <v>0</v>
      </c>
      <c r="X127" s="411">
        <f t="shared" si="144"/>
        <v>1017</v>
      </c>
      <c r="Y127" s="411">
        <f t="shared" si="144"/>
        <v>726</v>
      </c>
      <c r="Z127" s="411">
        <f t="shared" si="144"/>
        <v>587</v>
      </c>
      <c r="AA127" s="411">
        <f t="shared" si="144"/>
        <v>574</v>
      </c>
      <c r="AB127" s="411">
        <f t="shared" si="144"/>
        <v>619</v>
      </c>
      <c r="AC127" s="411">
        <f t="shared" ref="AC127" si="145">+AC97</f>
        <v>600</v>
      </c>
      <c r="AD127" s="411">
        <f t="shared" si="144"/>
        <v>601.68318683373855</v>
      </c>
      <c r="AE127" s="411">
        <f t="shared" si="144"/>
        <v>605.04956050121564</v>
      </c>
      <c r="AF127" s="411">
        <f t="shared" si="144"/>
        <v>608.41593416869273</v>
      </c>
      <c r="AG127" s="411">
        <f t="shared" si="144"/>
        <v>611.78230783616982</v>
      </c>
      <c r="AH127" s="411">
        <f t="shared" si="144"/>
        <v>615.14868150364691</v>
      </c>
      <c r="AI127" s="411">
        <f t="shared" si="144"/>
        <v>618.515055171124</v>
      </c>
      <c r="AJ127" s="411">
        <f t="shared" si="144"/>
        <v>621.8814288386011</v>
      </c>
      <c r="AK127" s="411">
        <f t="shared" si="144"/>
        <v>625.24780250607819</v>
      </c>
      <c r="AL127" s="411">
        <f t="shared" ref="AL127" si="146">+AL97</f>
        <v>628.61417617355528</v>
      </c>
      <c r="AM127" s="304"/>
      <c r="AN127" s="304"/>
      <c r="AO127" s="731"/>
      <c r="AP127" s="731"/>
      <c r="AQ127" s="731"/>
      <c r="AR127" s="731"/>
      <c r="AS127" s="731"/>
      <c r="AT127" s="731"/>
      <c r="AU127" s="731"/>
      <c r="AV127" s="731"/>
    </row>
    <row r="128" spans="1:48">
      <c r="A128" s="305"/>
      <c r="B128" s="1088" t="s">
        <v>735</v>
      </c>
      <c r="C128" s="338" t="s">
        <v>732</v>
      </c>
      <c r="D128" s="415"/>
      <c r="E128" s="415"/>
      <c r="F128" s="415"/>
      <c r="G128" s="415"/>
      <c r="H128" s="415"/>
      <c r="I128" s="415"/>
      <c r="J128" s="415"/>
      <c r="K128" s="415"/>
      <c r="L128" s="415"/>
      <c r="M128" s="415"/>
      <c r="N128" s="415"/>
      <c r="O128" s="415"/>
      <c r="P128" s="415"/>
      <c r="Q128" s="415"/>
      <c r="R128" s="415"/>
      <c r="S128" s="415">
        <f t="shared" ref="S128:AK128" si="147">SUM(S126:S127)</f>
        <v>2915</v>
      </c>
      <c r="T128" s="415">
        <f t="shared" si="147"/>
        <v>2957</v>
      </c>
      <c r="U128" s="415">
        <f t="shared" si="147"/>
        <v>3058</v>
      </c>
      <c r="V128" s="415">
        <f t="shared" si="147"/>
        <v>3005</v>
      </c>
      <c r="W128" s="415">
        <f t="shared" si="147"/>
        <v>2742</v>
      </c>
      <c r="X128" s="415">
        <f t="shared" si="147"/>
        <v>3774</v>
      </c>
      <c r="Y128" s="415">
        <f t="shared" si="147"/>
        <v>3332</v>
      </c>
      <c r="Z128" s="415">
        <f t="shared" si="147"/>
        <v>3159</v>
      </c>
      <c r="AA128" s="415">
        <f t="shared" si="147"/>
        <v>2998</v>
      </c>
      <c r="AB128" s="415">
        <f t="shared" si="147"/>
        <v>3048</v>
      </c>
      <c r="AC128" s="415">
        <f t="shared" ref="AC128" si="148">SUM(AC126:AC127)</f>
        <v>3014</v>
      </c>
      <c r="AD128" s="415">
        <f t="shared" si="147"/>
        <v>3101.7723912275346</v>
      </c>
      <c r="AE128" s="415">
        <f t="shared" si="147"/>
        <v>3173.1224087925079</v>
      </c>
      <c r="AF128" s="415">
        <f t="shared" si="147"/>
        <v>3255.0225821315462</v>
      </c>
      <c r="AG128" s="415">
        <f t="shared" si="147"/>
        <v>3348.5144848634163</v>
      </c>
      <c r="AH128" s="415">
        <f t="shared" si="147"/>
        <v>3454.1438021179533</v>
      </c>
      <c r="AI128" s="415">
        <f t="shared" si="147"/>
        <v>3572.7841074825365</v>
      </c>
      <c r="AJ128" s="415">
        <f t="shared" si="147"/>
        <v>3705.6587037995637</v>
      </c>
      <c r="AK128" s="415">
        <f t="shared" si="147"/>
        <v>3854.3789782737645</v>
      </c>
      <c r="AL128" s="415">
        <f t="shared" ref="AL128" si="149">SUM(AL126:AL127)</f>
        <v>4004.7447984874693</v>
      </c>
      <c r="AM128" s="305"/>
      <c r="AN128" s="305"/>
      <c r="AO128" s="731"/>
      <c r="AP128" s="731"/>
      <c r="AQ128" s="731"/>
      <c r="AR128" s="731"/>
      <c r="AS128" s="731"/>
      <c r="AT128" s="731"/>
      <c r="AU128" s="731"/>
      <c r="AV128" s="731"/>
    </row>
    <row r="129" spans="1:48">
      <c r="A129" s="304"/>
      <c r="B129" s="1086" t="s">
        <v>739</v>
      </c>
      <c r="C129" s="410" t="s">
        <v>732</v>
      </c>
      <c r="D129" s="411"/>
      <c r="E129" s="411"/>
      <c r="F129" s="411"/>
      <c r="G129" s="411"/>
      <c r="H129" s="411"/>
      <c r="I129" s="411"/>
      <c r="J129" s="411"/>
      <c r="K129" s="411"/>
      <c r="L129" s="411"/>
      <c r="M129" s="411"/>
      <c r="N129" s="411"/>
      <c r="O129" s="411"/>
      <c r="P129" s="411"/>
      <c r="Q129" s="411"/>
      <c r="R129" s="411"/>
      <c r="S129" s="411">
        <f t="shared" ref="S129:AK129" si="150">+S120</f>
        <v>1059</v>
      </c>
      <c r="T129" s="411">
        <f t="shared" si="150"/>
        <v>1198</v>
      </c>
      <c r="U129" s="411">
        <f t="shared" si="150"/>
        <v>1383</v>
      </c>
      <c r="V129" s="411">
        <f t="shared" si="150"/>
        <v>1465</v>
      </c>
      <c r="W129" s="411">
        <f t="shared" si="150"/>
        <v>1540</v>
      </c>
      <c r="X129" s="411">
        <f t="shared" si="150"/>
        <v>1564</v>
      </c>
      <c r="Y129" s="411">
        <f t="shared" si="150"/>
        <v>1314</v>
      </c>
      <c r="Z129" s="411">
        <f t="shared" si="150"/>
        <v>1199</v>
      </c>
      <c r="AA129" s="411">
        <f t="shared" si="150"/>
        <v>1472</v>
      </c>
      <c r="AB129" s="411">
        <f t="shared" si="150"/>
        <v>1431</v>
      </c>
      <c r="AC129" s="411">
        <f t="shared" ref="AC129" si="151">+AC120</f>
        <v>1677</v>
      </c>
      <c r="AD129" s="411">
        <f t="shared" si="150"/>
        <v>1593.1941008391839</v>
      </c>
      <c r="AE129" s="411">
        <f t="shared" si="150"/>
        <v>1636.5170111660198</v>
      </c>
      <c r="AF129" s="411">
        <f t="shared" si="150"/>
        <v>1686.5630599763283</v>
      </c>
      <c r="AG129" s="411">
        <f t="shared" si="150"/>
        <v>1743.9959951644221</v>
      </c>
      <c r="AH129" s="411">
        <f t="shared" si="150"/>
        <v>1809.1635572542152</v>
      </c>
      <c r="AI129" s="411">
        <f t="shared" si="150"/>
        <v>1882.6224352964884</v>
      </c>
      <c r="AJ129" s="411">
        <f t="shared" si="150"/>
        <v>1965.1521850241429</v>
      </c>
      <c r="AK129" s="411">
        <f t="shared" si="150"/>
        <v>2057.7796708323494</v>
      </c>
      <c r="AL129" s="411">
        <f t="shared" ref="AL129" si="152">+AL120</f>
        <v>2151.4557887294554</v>
      </c>
      <c r="AM129" s="304"/>
      <c r="AN129" s="304"/>
      <c r="AO129" s="731"/>
      <c r="AP129" s="731"/>
      <c r="AQ129" s="731"/>
      <c r="AR129" s="731"/>
      <c r="AS129" s="731"/>
      <c r="AT129" s="731"/>
      <c r="AU129" s="731"/>
      <c r="AV129" s="731"/>
    </row>
    <row r="130" spans="1:48">
      <c r="A130" s="305"/>
      <c r="B130" s="1088" t="s">
        <v>342</v>
      </c>
      <c r="C130" s="338" t="s">
        <v>732</v>
      </c>
      <c r="D130" s="415"/>
      <c r="E130" s="415"/>
      <c r="F130" s="415"/>
      <c r="G130" s="415"/>
      <c r="H130" s="415"/>
      <c r="I130" s="415"/>
      <c r="J130" s="415"/>
      <c r="K130" s="415"/>
      <c r="L130" s="415"/>
      <c r="M130" s="415"/>
      <c r="N130" s="415"/>
      <c r="O130" s="415"/>
      <c r="P130" s="415"/>
      <c r="Q130" s="415"/>
      <c r="R130" s="415"/>
      <c r="S130" s="415">
        <f t="shared" ref="S130:AK130" si="153">SUM(S128:S129)</f>
        <v>3974</v>
      </c>
      <c r="T130" s="415">
        <f t="shared" si="153"/>
        <v>4155</v>
      </c>
      <c r="U130" s="415">
        <f t="shared" si="153"/>
        <v>4441</v>
      </c>
      <c r="V130" s="415">
        <f t="shared" si="153"/>
        <v>4470</v>
      </c>
      <c r="W130" s="415">
        <f t="shared" si="153"/>
        <v>4282</v>
      </c>
      <c r="X130" s="415">
        <f t="shared" si="153"/>
        <v>5338</v>
      </c>
      <c r="Y130" s="415">
        <f t="shared" si="153"/>
        <v>4646</v>
      </c>
      <c r="Z130" s="415">
        <f t="shared" si="153"/>
        <v>4358</v>
      </c>
      <c r="AA130" s="415">
        <f t="shared" si="153"/>
        <v>4470</v>
      </c>
      <c r="AB130" s="415">
        <f t="shared" si="153"/>
        <v>4479</v>
      </c>
      <c r="AC130" s="415">
        <f t="shared" ref="AC130" si="154">SUM(AC128:AC129)</f>
        <v>4691</v>
      </c>
      <c r="AD130" s="415">
        <f t="shared" si="153"/>
        <v>4694.9664920667183</v>
      </c>
      <c r="AE130" s="415">
        <f t="shared" si="153"/>
        <v>4809.6394199585275</v>
      </c>
      <c r="AF130" s="415">
        <f t="shared" si="153"/>
        <v>4941.5856421078743</v>
      </c>
      <c r="AG130" s="415">
        <f t="shared" si="153"/>
        <v>5092.5104800278386</v>
      </c>
      <c r="AH130" s="415">
        <f t="shared" si="153"/>
        <v>5263.3073593721683</v>
      </c>
      <c r="AI130" s="415">
        <f t="shared" si="153"/>
        <v>5455.4065427790247</v>
      </c>
      <c r="AJ130" s="415">
        <f t="shared" si="153"/>
        <v>5670.8108888237066</v>
      </c>
      <c r="AK130" s="415">
        <f t="shared" si="153"/>
        <v>5912.1586491061134</v>
      </c>
      <c r="AL130" s="415">
        <f t="shared" ref="AL130" si="155">SUM(AL128:AL129)</f>
        <v>6156.2005872169248</v>
      </c>
      <c r="AM130" s="305"/>
      <c r="AN130" s="305"/>
      <c r="AO130" s="731"/>
      <c r="AP130" s="731"/>
      <c r="AQ130" s="731"/>
      <c r="AR130" s="731"/>
      <c r="AS130" s="731"/>
      <c r="AT130" s="731"/>
      <c r="AU130" s="731"/>
      <c r="AV130" s="731"/>
    </row>
    <row r="131" spans="1:48">
      <c r="A131" s="426"/>
      <c r="B131" s="1085"/>
      <c r="C131" s="301"/>
      <c r="D131" s="409"/>
      <c r="E131" s="409"/>
      <c r="F131" s="409"/>
      <c r="G131" s="409"/>
      <c r="H131" s="409"/>
      <c r="I131" s="409"/>
      <c r="J131" s="409"/>
      <c r="K131" s="409"/>
      <c r="L131" s="334"/>
      <c r="M131" s="334"/>
      <c r="N131" s="334"/>
      <c r="O131" s="334"/>
      <c r="P131" s="334"/>
      <c r="Q131" s="334"/>
      <c r="R131" s="334"/>
      <c r="S131" s="334"/>
      <c r="T131" s="334"/>
      <c r="U131" s="334"/>
      <c r="V131" s="334"/>
      <c r="W131" s="334"/>
      <c r="X131" s="334"/>
      <c r="Y131" s="334"/>
      <c r="Z131" s="334"/>
      <c r="AA131" s="334"/>
      <c r="AB131" s="334"/>
      <c r="AC131" s="334"/>
      <c r="AD131" s="334"/>
      <c r="AE131" s="334"/>
      <c r="AF131" s="334"/>
      <c r="AG131" s="334"/>
      <c r="AH131" s="334"/>
      <c r="AI131" s="334"/>
      <c r="AJ131" s="334"/>
      <c r="AK131" s="334"/>
      <c r="AL131" s="334"/>
      <c r="AM131" s="426"/>
      <c r="AN131" s="426"/>
      <c r="AO131" s="731"/>
      <c r="AP131" s="731"/>
      <c r="AQ131" s="731"/>
      <c r="AR131" s="731"/>
      <c r="AS131" s="731"/>
      <c r="AT131" s="731"/>
      <c r="AU131" s="731"/>
      <c r="AV131" s="731"/>
    </row>
    <row r="132" spans="1:48" ht="15.6">
      <c r="A132" s="426"/>
      <c r="B132" s="1083" t="s">
        <v>747</v>
      </c>
      <c r="C132" s="443"/>
      <c r="D132" s="270"/>
      <c r="E132" s="270"/>
      <c r="F132" s="270"/>
      <c r="G132" s="270"/>
      <c r="H132" s="270"/>
      <c r="I132" s="270"/>
      <c r="J132" s="270"/>
      <c r="K132" s="270"/>
      <c r="L132" s="270"/>
      <c r="M132" s="270"/>
      <c r="N132" s="270"/>
      <c r="O132" s="270"/>
      <c r="P132" s="270"/>
      <c r="Q132" s="270"/>
      <c r="R132" s="270"/>
      <c r="S132" s="270"/>
      <c r="T132" s="270"/>
      <c r="U132" s="270"/>
      <c r="V132" s="270"/>
      <c r="W132" s="270"/>
      <c r="X132" s="270"/>
      <c r="Y132" s="270"/>
      <c r="Z132" s="270"/>
      <c r="AA132" s="270"/>
      <c r="AB132" s="270"/>
      <c r="AC132" s="270"/>
      <c r="AD132" s="270"/>
      <c r="AE132" s="270"/>
      <c r="AF132" s="270"/>
      <c r="AG132" s="270"/>
      <c r="AH132" s="270"/>
      <c r="AI132" s="271"/>
      <c r="AJ132" s="271"/>
      <c r="AK132" s="271"/>
      <c r="AL132" s="271"/>
      <c r="AM132" s="426"/>
      <c r="AN132" s="426"/>
      <c r="AO132" s="731"/>
      <c r="AP132" s="731"/>
      <c r="AQ132" s="731"/>
      <c r="AR132" s="731"/>
      <c r="AS132" s="731"/>
      <c r="AT132" s="731"/>
      <c r="AU132" s="731"/>
      <c r="AV132" s="731"/>
    </row>
    <row r="133" spans="1:48">
      <c r="A133" s="426"/>
      <c r="B133" s="305"/>
      <c r="C133" s="444"/>
      <c r="D133" s="1092"/>
      <c r="E133" s="1092"/>
      <c r="F133" s="1092"/>
      <c r="G133" s="1092"/>
      <c r="H133" s="1092"/>
      <c r="I133" s="1092"/>
      <c r="J133" s="426"/>
      <c r="K133" s="1092"/>
      <c r="L133" s="1092"/>
      <c r="M133" s="1092"/>
      <c r="N133" s="1092"/>
      <c r="O133" s="1092"/>
      <c r="P133" s="1092"/>
      <c r="Q133" s="1092"/>
      <c r="R133" s="1092"/>
      <c r="S133" s="1092"/>
      <c r="T133" s="1092"/>
      <c r="U133" s="1092"/>
      <c r="V133" s="1092"/>
      <c r="W133" s="1092"/>
      <c r="X133" s="1092"/>
      <c r="Y133" s="1092"/>
      <c r="Z133" s="1092"/>
      <c r="AA133" s="1092"/>
      <c r="AB133" s="1092"/>
      <c r="AC133" s="1092"/>
      <c r="AD133" s="1092"/>
      <c r="AE133" s="1092"/>
      <c r="AF133" s="1092"/>
      <c r="AG133" s="1092"/>
      <c r="AH133" s="1092"/>
      <c r="AI133" s="1092"/>
      <c r="AJ133" s="1092"/>
      <c r="AK133" s="1092"/>
      <c r="AL133" s="1092"/>
      <c r="AM133" s="426"/>
      <c r="AN133" s="426"/>
      <c r="AO133" s="731"/>
      <c r="AP133" s="731"/>
      <c r="AQ133" s="731"/>
      <c r="AR133" s="731"/>
      <c r="AS133" s="731"/>
      <c r="AT133" s="731"/>
      <c r="AU133" s="731"/>
      <c r="AV133" s="731"/>
    </row>
    <row r="134" spans="1:48">
      <c r="A134" s="426"/>
      <c r="B134" s="426" t="s">
        <v>870</v>
      </c>
      <c r="C134" s="444" t="s">
        <v>732</v>
      </c>
      <c r="D134" s="464">
        <f>'Balance Sheet'!D33+'Balance Sheet'!D42+'Balance Sheet'!D43+'Balance Sheet'!D34-'Balance Sheet'!D12-'Balance Sheet'!D20</f>
        <v>9821</v>
      </c>
      <c r="E134" s="464">
        <f>'Balance Sheet'!E33+'Balance Sheet'!E42+'Balance Sheet'!E43+'Balance Sheet'!E34-'Balance Sheet'!E12-'Balance Sheet'!E20</f>
        <v>13990</v>
      </c>
      <c r="F134" s="464">
        <f>'Balance Sheet'!F33+'Balance Sheet'!F42+'Balance Sheet'!F43+'Balance Sheet'!F34-'Balance Sheet'!F12-'Balance Sheet'!F20</f>
        <v>14377</v>
      </c>
      <c r="G134" s="464">
        <f>'Balance Sheet'!G33+'Balance Sheet'!G42+'Balance Sheet'!G43+'Balance Sheet'!G34-'Balance Sheet'!G12-'Balance Sheet'!G20</f>
        <v>12555</v>
      </c>
      <c r="H134" s="464">
        <f>'Balance Sheet'!H33+'Balance Sheet'!H42+'Balance Sheet'!H43+'Balance Sheet'!H34-'Balance Sheet'!H12-'Balance Sheet'!H20</f>
        <v>12260</v>
      </c>
      <c r="I134" s="464">
        <f>'Balance Sheet'!I33+'Balance Sheet'!I42+'Balance Sheet'!I43+'Balance Sheet'!I34-'Balance Sheet'!I12-'Balance Sheet'!I20</f>
        <v>13319</v>
      </c>
      <c r="J134" s="464">
        <f>'Balance Sheet'!J33+'Balance Sheet'!J42+'Balance Sheet'!J43+'Balance Sheet'!J34-'Balance Sheet'!J12-'Balance Sheet'!J20</f>
        <v>13792</v>
      </c>
      <c r="K134" s="464">
        <f>'Balance Sheet'!K33+'Balance Sheet'!K42+'Balance Sheet'!K43+'Balance Sheet'!K34-'Balance Sheet'!K12-'Balance Sheet'!K20</f>
        <v>15577</v>
      </c>
      <c r="L134" s="465">
        <f>'Balance Sheet'!L33+'Balance Sheet'!L42+'Balance Sheet'!L43+'Balance Sheet'!L34-'Balance Sheet'!L12-'Balance Sheet'!L20</f>
        <v>16305</v>
      </c>
      <c r="M134" s="465">
        <f>'Balance Sheet'!M33+'Balance Sheet'!M42+'Balance Sheet'!M43+'Balance Sheet'!M34-'Balance Sheet'!M12-'Balance Sheet'!M20</f>
        <v>17052</v>
      </c>
      <c r="N134" s="465">
        <f>'Balance Sheet'!N33+'Balance Sheet'!N42+'Balance Sheet'!N43+'Balance Sheet'!N34-'Balance Sheet'!N12-'Balance Sheet'!N20</f>
        <v>16047</v>
      </c>
      <c r="O134" s="465">
        <f>'Balance Sheet'!O33+'Balance Sheet'!O42+'Balance Sheet'!O43+'Balance Sheet'!O34-'Balance Sheet'!O12-'Balance Sheet'!O20</f>
        <v>16233</v>
      </c>
      <c r="P134" s="465">
        <f>'Balance Sheet'!P33+'Balance Sheet'!P42+'Balance Sheet'!P43+'Balance Sheet'!P34-'Balance Sheet'!P12-'Balance Sheet'!P20</f>
        <v>17222</v>
      </c>
      <c r="Q134" s="465">
        <f>'Balance Sheet'!Q33+'Balance Sheet'!Q42+'Balance Sheet'!Q43+'Balance Sheet'!Q34-'Balance Sheet'!Q12-'Balance Sheet'!Q20</f>
        <v>15628</v>
      </c>
      <c r="R134" s="465">
        <f>'Balance Sheet'!R33+'Balance Sheet'!R42+'Balance Sheet'!R43+'Balance Sheet'!R34-'Balance Sheet'!R12-'Balance Sheet'!R20</f>
        <v>16048</v>
      </c>
      <c r="S134" s="465">
        <f>'Balance Sheet'!S33+'Balance Sheet'!S42+'Balance Sheet'!S43+'Balance Sheet'!S34-'Balance Sheet'!S12-'Balance Sheet'!S20</f>
        <v>14962</v>
      </c>
      <c r="T134" s="465">
        <f>'Balance Sheet'!T33+'Balance Sheet'!T42+'Balance Sheet'!T43+'Balance Sheet'!T34-'Balance Sheet'!T12-'Balance Sheet'!T20</f>
        <v>16009</v>
      </c>
      <c r="U134" s="465">
        <f>'Balance Sheet'!U33+'Balance Sheet'!U42+'Balance Sheet'!U43+'Balance Sheet'!U34-'Balance Sheet'!U12-'Balance Sheet'!U20</f>
        <v>16218</v>
      </c>
      <c r="V134" s="465">
        <f>'Balance Sheet'!V33+'Balance Sheet'!V42+'Balance Sheet'!V43+'Balance Sheet'!V34-'Balance Sheet'!V12-'Balance Sheet'!V20</f>
        <v>15368</v>
      </c>
      <c r="W134" s="465">
        <f>'Balance Sheet'!W33+'Balance Sheet'!W42+'Balance Sheet'!W43+'Balance Sheet'!W34-'Balance Sheet'!W12-'Balance Sheet'!W20</f>
        <v>15331</v>
      </c>
      <c r="X134" s="465">
        <f>'Balance Sheet'!X33+'Balance Sheet'!X42+'Balance Sheet'!X43+'Balance Sheet'!X34-'Balance Sheet'!X12-'Balance Sheet'!X20</f>
        <v>14045</v>
      </c>
      <c r="Y134" s="465">
        <f>'Balance Sheet'!Y33+'Balance Sheet'!Y42+'Balance Sheet'!Y43+'Balance Sheet'!Y34-'Balance Sheet'!Y12-'Balance Sheet'!Y20</f>
        <v>13083</v>
      </c>
      <c r="Z134" s="465">
        <f>'Balance Sheet'!Z33+'Balance Sheet'!Z42+'Balance Sheet'!Z43+'Balance Sheet'!Z34-'Balance Sheet'!Z12-'Balance Sheet'!Z20</f>
        <v>10473</v>
      </c>
      <c r="AA134" s="465">
        <f>'Balance Sheet'!AA33+'Balance Sheet'!AA42+'Balance Sheet'!AA43+'Balance Sheet'!AA34-'Balance Sheet'!AA12-'Balance Sheet'!AA20</f>
        <v>12534</v>
      </c>
      <c r="AB134" s="465">
        <f>'Balance Sheet'!AB33+'Balance Sheet'!AB42+'Balance Sheet'!AB43+'Balance Sheet'!AB34-'Balance Sheet'!AB12-'Balance Sheet'!AB20</f>
        <v>14123</v>
      </c>
      <c r="AC134" s="465">
        <f>'Balance Sheet'!AC33+'Balance Sheet'!AC42+'Balance Sheet'!AC43+'Balance Sheet'!AC34-'Balance Sheet'!AC12-'Balance Sheet'!AC20</f>
        <v>14778</v>
      </c>
      <c r="AD134" s="465">
        <f>'Balance Sheet'!AD33+'Balance Sheet'!AD42+'Balance Sheet'!AD43+'Balance Sheet'!AD34-'Balance Sheet'!AD12-'Balance Sheet'!AD20</f>
        <v>15378</v>
      </c>
      <c r="AE134" s="465">
        <f>'Balance Sheet'!AE33+'Balance Sheet'!AE42+'Balance Sheet'!AE43+'Balance Sheet'!AE34-'Balance Sheet'!AE12-'Balance Sheet'!AE20</f>
        <v>15978</v>
      </c>
      <c r="AF134" s="465">
        <f>'Balance Sheet'!AF33+'Balance Sheet'!AF42+'Balance Sheet'!AF43+'Balance Sheet'!AF34-'Balance Sheet'!AF12-'Balance Sheet'!AF20</f>
        <v>16578</v>
      </c>
      <c r="AG134" s="465">
        <f>'Balance Sheet'!AG33+'Balance Sheet'!AG42+'Balance Sheet'!AG43+'Balance Sheet'!AG34-'Balance Sheet'!AG12-'Balance Sheet'!AG20</f>
        <v>17178</v>
      </c>
      <c r="AH134" s="465">
        <f>'Balance Sheet'!AH33+'Balance Sheet'!AH42+'Balance Sheet'!AH43+'Balance Sheet'!AH34-'Balance Sheet'!AH12-'Balance Sheet'!AH20</f>
        <v>17778</v>
      </c>
      <c r="AI134" s="465">
        <f>'Balance Sheet'!AI33+'Balance Sheet'!AI42+'Balance Sheet'!AI43+'Balance Sheet'!AI34-'Balance Sheet'!AI12-'Balance Sheet'!AI20</f>
        <v>18378</v>
      </c>
      <c r="AJ134" s="465">
        <f>'Balance Sheet'!AJ33+'Balance Sheet'!AJ42+'Balance Sheet'!AJ43+'Balance Sheet'!AJ34-'Balance Sheet'!AJ12-'Balance Sheet'!AJ20</f>
        <v>18978</v>
      </c>
      <c r="AK134" s="465">
        <f>'Balance Sheet'!AK33+'Balance Sheet'!AK42+'Balance Sheet'!AK43+'Balance Sheet'!AK34-'Balance Sheet'!AK12-'Balance Sheet'!AK20</f>
        <v>19578</v>
      </c>
      <c r="AL134" s="465">
        <f>'Balance Sheet'!AL33+'Balance Sheet'!AL42+'Balance Sheet'!AL43+'Balance Sheet'!AL34-'Balance Sheet'!AL12-'Balance Sheet'!AL20</f>
        <v>20178</v>
      </c>
      <c r="AM134" s="426"/>
      <c r="AN134" s="426"/>
      <c r="AO134" s="731"/>
      <c r="AP134" s="731"/>
      <c r="AQ134" s="731"/>
      <c r="AR134" s="731"/>
      <c r="AS134" s="731"/>
      <c r="AT134" s="731"/>
      <c r="AU134" s="731"/>
      <c r="AV134" s="731"/>
    </row>
    <row r="135" spans="1:48">
      <c r="A135" s="426"/>
      <c r="B135" s="426" t="s">
        <v>576</v>
      </c>
      <c r="C135" s="444" t="s">
        <v>732</v>
      </c>
      <c r="D135" s="158"/>
      <c r="E135" s="158">
        <f t="shared" ref="E135:AL135" si="156">(D134+E134)/2</f>
        <v>11905.5</v>
      </c>
      <c r="F135" s="158">
        <f t="shared" si="156"/>
        <v>14183.5</v>
      </c>
      <c r="G135" s="158">
        <f t="shared" si="156"/>
        <v>13466</v>
      </c>
      <c r="H135" s="158">
        <f t="shared" si="156"/>
        <v>12407.5</v>
      </c>
      <c r="I135" s="158">
        <f t="shared" si="156"/>
        <v>12789.5</v>
      </c>
      <c r="J135" s="158">
        <f t="shared" si="156"/>
        <v>13555.5</v>
      </c>
      <c r="K135" s="158">
        <f t="shared" si="156"/>
        <v>14684.5</v>
      </c>
      <c r="L135" s="248">
        <f t="shared" si="156"/>
        <v>15941</v>
      </c>
      <c r="M135" s="248">
        <f t="shared" si="156"/>
        <v>16678.5</v>
      </c>
      <c r="N135" s="248">
        <f t="shared" si="156"/>
        <v>16549.5</v>
      </c>
      <c r="O135" s="248">
        <f t="shared" si="156"/>
        <v>16140</v>
      </c>
      <c r="P135" s="248">
        <f t="shared" si="156"/>
        <v>16727.5</v>
      </c>
      <c r="Q135" s="248">
        <f t="shared" si="156"/>
        <v>16425</v>
      </c>
      <c r="R135" s="248">
        <f t="shared" si="156"/>
        <v>15838</v>
      </c>
      <c r="S135" s="248">
        <f t="shared" si="156"/>
        <v>15505</v>
      </c>
      <c r="T135" s="248">
        <f t="shared" si="156"/>
        <v>15485.5</v>
      </c>
      <c r="U135" s="248">
        <f t="shared" si="156"/>
        <v>16113.5</v>
      </c>
      <c r="V135" s="248">
        <f t="shared" si="156"/>
        <v>15793</v>
      </c>
      <c r="W135" s="248">
        <f t="shared" si="156"/>
        <v>15349.5</v>
      </c>
      <c r="X135" s="248">
        <f t="shared" si="156"/>
        <v>14688</v>
      </c>
      <c r="Y135" s="248">
        <f t="shared" si="156"/>
        <v>13564</v>
      </c>
      <c r="Z135" s="248">
        <f t="shared" si="156"/>
        <v>11778</v>
      </c>
      <c r="AA135" s="248">
        <f t="shared" si="156"/>
        <v>11503.5</v>
      </c>
      <c r="AB135" s="248">
        <f t="shared" si="156"/>
        <v>13328.5</v>
      </c>
      <c r="AC135" s="248">
        <f t="shared" si="156"/>
        <v>14450.5</v>
      </c>
      <c r="AD135" s="248">
        <f t="shared" si="156"/>
        <v>15078</v>
      </c>
      <c r="AE135" s="248">
        <f t="shared" si="156"/>
        <v>15678</v>
      </c>
      <c r="AF135" s="248">
        <f t="shared" si="156"/>
        <v>16278</v>
      </c>
      <c r="AG135" s="248">
        <f t="shared" si="156"/>
        <v>16878</v>
      </c>
      <c r="AH135" s="248">
        <f t="shared" si="156"/>
        <v>17478</v>
      </c>
      <c r="AI135" s="248">
        <f t="shared" si="156"/>
        <v>18078</v>
      </c>
      <c r="AJ135" s="248">
        <f t="shared" si="156"/>
        <v>18678</v>
      </c>
      <c r="AK135" s="248">
        <f t="shared" si="156"/>
        <v>19278</v>
      </c>
      <c r="AL135" s="248">
        <f t="shared" si="156"/>
        <v>19878</v>
      </c>
      <c r="AM135" s="426"/>
      <c r="AN135" s="426"/>
      <c r="AO135" s="731"/>
      <c r="AP135" s="731"/>
      <c r="AQ135" s="731"/>
      <c r="AR135" s="731"/>
      <c r="AS135" s="731"/>
      <c r="AT135" s="731"/>
      <c r="AU135" s="731"/>
      <c r="AV135" s="731"/>
    </row>
    <row r="136" spans="1:48">
      <c r="A136" s="426"/>
      <c r="B136" s="426" t="s">
        <v>577</v>
      </c>
      <c r="C136" s="444" t="s">
        <v>732</v>
      </c>
      <c r="D136" s="452">
        <f>'Balance Sheet'!D9</f>
        <v>751</v>
      </c>
      <c r="E136" s="452">
        <f>'Balance Sheet'!E9</f>
        <v>1077</v>
      </c>
      <c r="F136" s="452">
        <f>'Balance Sheet'!F9</f>
        <v>1070</v>
      </c>
      <c r="G136" s="452">
        <f>'Balance Sheet'!G9</f>
        <v>1300</v>
      </c>
      <c r="H136" s="452">
        <f>'Balance Sheet'!H9</f>
        <v>687</v>
      </c>
      <c r="I136" s="452">
        <f>'Balance Sheet'!I9</f>
        <v>1548</v>
      </c>
      <c r="J136" s="452">
        <f>'Balance Sheet'!J9</f>
        <v>689</v>
      </c>
      <c r="K136" s="452">
        <f>'Balance Sheet'!K9</f>
        <v>823</v>
      </c>
      <c r="L136" s="451">
        <f>'Balance Sheet'!L9</f>
        <v>899</v>
      </c>
      <c r="M136" s="451">
        <f>'Balance Sheet'!M9</f>
        <v>1381</v>
      </c>
      <c r="N136" s="451">
        <f>'Balance Sheet'!N9</f>
        <v>1936</v>
      </c>
      <c r="O136" s="451">
        <f>'Balance Sheet'!O9</f>
        <v>2630</v>
      </c>
      <c r="P136" s="451">
        <f>'Balance Sheet'!P9</f>
        <v>3945</v>
      </c>
      <c r="Q136" s="451">
        <f>'Balance Sheet'!Q9</f>
        <v>2479</v>
      </c>
      <c r="R136" s="451">
        <f>'Balance Sheet'!R9</f>
        <v>5527</v>
      </c>
      <c r="S136" s="451">
        <f>'Balance Sheet'!S9</f>
        <v>1396</v>
      </c>
      <c r="T136" s="451">
        <f>'Balance Sheet'!T9</f>
        <v>3549.9914036749997</v>
      </c>
      <c r="U136" s="451">
        <f>'Balance Sheet'!U9</f>
        <v>938</v>
      </c>
      <c r="V136" s="451">
        <f>'Balance Sheet'!V9</f>
        <v>629</v>
      </c>
      <c r="W136" s="451">
        <f>'Balance Sheet'!W9</f>
        <v>604</v>
      </c>
      <c r="X136" s="451">
        <f>'Balance Sheet'!X9</f>
        <v>499</v>
      </c>
      <c r="Y136" s="451">
        <f>'Balance Sheet'!Y9</f>
        <v>1125</v>
      </c>
      <c r="Z136" s="451">
        <f>'Balance Sheet'!Z9</f>
        <v>1040</v>
      </c>
      <c r="AA136" s="451">
        <f>'Balance Sheet'!AA9</f>
        <v>932</v>
      </c>
      <c r="AB136" s="451">
        <f>'Balance Sheet'!AB9</f>
        <v>1046</v>
      </c>
      <c r="AC136" s="451">
        <f>'Balance Sheet'!AC9</f>
        <v>1012</v>
      </c>
      <c r="AD136" s="451">
        <f>'Balance Sheet'!AD9</f>
        <v>632.96558696242846</v>
      </c>
      <c r="AE136" s="451">
        <f>'Balance Sheet'!AE9</f>
        <v>883.79089773726491</v>
      </c>
      <c r="AF136" s="451">
        <f>'Balance Sheet'!AF9</f>
        <v>1395.5879761601977</v>
      </c>
      <c r="AG136" s="451">
        <f>'Balance Sheet'!AG9</f>
        <v>1925.7479598463228</v>
      </c>
      <c r="AH136" s="451">
        <f>'Balance Sheet'!AH9</f>
        <v>2486.3548118746708</v>
      </c>
      <c r="AI136" s="451">
        <f>'Balance Sheet'!AI9</f>
        <v>3083.0552838453564</v>
      </c>
      <c r="AJ136" s="451">
        <f>'Balance Sheet'!AJ9</f>
        <v>4028.2616670214197</v>
      </c>
      <c r="AK136" s="451">
        <f>'Balance Sheet'!AK9</f>
        <v>5361.4409882418731</v>
      </c>
      <c r="AL136" s="451">
        <f>'Balance Sheet'!AL9</f>
        <v>6962.6799834228332</v>
      </c>
      <c r="AM136" s="426"/>
      <c r="AN136" s="426"/>
      <c r="AO136" s="731"/>
      <c r="AP136" s="731"/>
      <c r="AQ136" s="731"/>
      <c r="AR136" s="731"/>
      <c r="AS136" s="731"/>
      <c r="AT136" s="731"/>
      <c r="AU136" s="731"/>
      <c r="AV136" s="731"/>
    </row>
    <row r="137" spans="1:48">
      <c r="A137" s="426"/>
      <c r="B137" s="426" t="s">
        <v>165</v>
      </c>
      <c r="C137" s="444" t="s">
        <v>732</v>
      </c>
      <c r="D137" s="158">
        <f t="shared" ref="D137:AL137" si="157">AVERAGE(C136:D136)</f>
        <v>751</v>
      </c>
      <c r="E137" s="158">
        <f t="shared" si="157"/>
        <v>914</v>
      </c>
      <c r="F137" s="158">
        <f t="shared" si="157"/>
        <v>1073.5</v>
      </c>
      <c r="G137" s="158">
        <f t="shared" si="157"/>
        <v>1185</v>
      </c>
      <c r="H137" s="158">
        <f t="shared" si="157"/>
        <v>993.5</v>
      </c>
      <c r="I137" s="158">
        <f t="shared" si="157"/>
        <v>1117.5</v>
      </c>
      <c r="J137" s="158">
        <f t="shared" si="157"/>
        <v>1118.5</v>
      </c>
      <c r="K137" s="158">
        <f t="shared" si="157"/>
        <v>756</v>
      </c>
      <c r="L137" s="248">
        <f t="shared" si="157"/>
        <v>861</v>
      </c>
      <c r="M137" s="248">
        <f t="shared" si="157"/>
        <v>1140</v>
      </c>
      <c r="N137" s="248">
        <f t="shared" si="157"/>
        <v>1658.5</v>
      </c>
      <c r="O137" s="248">
        <f t="shared" si="157"/>
        <v>2283</v>
      </c>
      <c r="P137" s="248">
        <f t="shared" si="157"/>
        <v>3287.5</v>
      </c>
      <c r="Q137" s="248">
        <f t="shared" si="157"/>
        <v>3212</v>
      </c>
      <c r="R137" s="248">
        <f t="shared" si="157"/>
        <v>4003</v>
      </c>
      <c r="S137" s="248">
        <f t="shared" si="157"/>
        <v>3461.5</v>
      </c>
      <c r="T137" s="248">
        <f t="shared" si="157"/>
        <v>2472.9957018374998</v>
      </c>
      <c r="U137" s="248">
        <f t="shared" si="157"/>
        <v>2243.9957018374998</v>
      </c>
      <c r="V137" s="248">
        <f t="shared" si="157"/>
        <v>783.5</v>
      </c>
      <c r="W137" s="248">
        <f t="shared" si="157"/>
        <v>616.5</v>
      </c>
      <c r="X137" s="248">
        <f t="shared" si="157"/>
        <v>551.5</v>
      </c>
      <c r="Y137" s="248">
        <f t="shared" si="157"/>
        <v>812</v>
      </c>
      <c r="Z137" s="248">
        <f t="shared" si="157"/>
        <v>1082.5</v>
      </c>
      <c r="AA137" s="248">
        <f t="shared" si="157"/>
        <v>986</v>
      </c>
      <c r="AB137" s="248">
        <f t="shared" si="157"/>
        <v>989</v>
      </c>
      <c r="AC137" s="248">
        <f t="shared" si="157"/>
        <v>1029</v>
      </c>
      <c r="AD137" s="248">
        <f t="shared" si="157"/>
        <v>822.48279348121423</v>
      </c>
      <c r="AE137" s="248">
        <f t="shared" si="157"/>
        <v>758.37824234984669</v>
      </c>
      <c r="AF137" s="248">
        <f t="shared" si="157"/>
        <v>1139.6894369487313</v>
      </c>
      <c r="AG137" s="248">
        <f t="shared" si="157"/>
        <v>1660.6679680032603</v>
      </c>
      <c r="AH137" s="248">
        <f t="shared" si="157"/>
        <v>2206.0513858604968</v>
      </c>
      <c r="AI137" s="248">
        <f t="shared" si="157"/>
        <v>2784.7050478600136</v>
      </c>
      <c r="AJ137" s="248">
        <f t="shared" si="157"/>
        <v>3555.658475433388</v>
      </c>
      <c r="AK137" s="248">
        <f t="shared" si="157"/>
        <v>4694.8513276316462</v>
      </c>
      <c r="AL137" s="248">
        <f t="shared" si="157"/>
        <v>6162.0604858323532</v>
      </c>
      <c r="AM137" s="426"/>
      <c r="AN137" s="426"/>
      <c r="AO137" s="731"/>
      <c r="AP137" s="731"/>
      <c r="AQ137" s="731"/>
      <c r="AR137" s="731"/>
      <c r="AS137" s="731"/>
      <c r="AT137" s="731"/>
      <c r="AU137" s="731"/>
      <c r="AV137" s="731"/>
    </row>
    <row r="138" spans="1:48">
      <c r="A138" s="426"/>
      <c r="B138" s="1095" t="s">
        <v>166</v>
      </c>
      <c r="C138" s="444" t="s">
        <v>732</v>
      </c>
      <c r="D138" s="67">
        <f t="shared" ref="D138:AK138" si="158">D134-D136</f>
        <v>9070</v>
      </c>
      <c r="E138" s="67">
        <f t="shared" si="158"/>
        <v>12913</v>
      </c>
      <c r="F138" s="67">
        <f t="shared" si="158"/>
        <v>13307</v>
      </c>
      <c r="G138" s="67">
        <f t="shared" si="158"/>
        <v>11255</v>
      </c>
      <c r="H138" s="67">
        <f t="shared" si="158"/>
        <v>11573</v>
      </c>
      <c r="I138" s="67">
        <f t="shared" si="158"/>
        <v>11771</v>
      </c>
      <c r="J138" s="67">
        <f t="shared" si="158"/>
        <v>13103</v>
      </c>
      <c r="K138" s="67">
        <f t="shared" si="158"/>
        <v>14754</v>
      </c>
      <c r="L138" s="254">
        <f t="shared" si="158"/>
        <v>15406</v>
      </c>
      <c r="M138" s="254">
        <f t="shared" si="158"/>
        <v>15671</v>
      </c>
      <c r="N138" s="254">
        <f t="shared" si="158"/>
        <v>14111</v>
      </c>
      <c r="O138" s="254">
        <f t="shared" si="158"/>
        <v>13603</v>
      </c>
      <c r="P138" s="254">
        <f t="shared" si="158"/>
        <v>13277</v>
      </c>
      <c r="Q138" s="254">
        <f t="shared" si="158"/>
        <v>13149</v>
      </c>
      <c r="R138" s="254">
        <f t="shared" si="158"/>
        <v>10521</v>
      </c>
      <c r="S138" s="254">
        <f t="shared" si="158"/>
        <v>13566</v>
      </c>
      <c r="T138" s="254">
        <f t="shared" si="158"/>
        <v>12459.008596325</v>
      </c>
      <c r="U138" s="254">
        <f t="shared" si="158"/>
        <v>15280</v>
      </c>
      <c r="V138" s="254">
        <f t="shared" si="158"/>
        <v>14739</v>
      </c>
      <c r="W138" s="254">
        <f t="shared" si="158"/>
        <v>14727</v>
      </c>
      <c r="X138" s="254">
        <f t="shared" si="158"/>
        <v>13546</v>
      </c>
      <c r="Y138" s="254">
        <f t="shared" si="158"/>
        <v>11958</v>
      </c>
      <c r="Z138" s="254">
        <f t="shared" si="158"/>
        <v>9433</v>
      </c>
      <c r="AA138" s="254">
        <f t="shared" si="158"/>
        <v>11602</v>
      </c>
      <c r="AB138" s="254">
        <f t="shared" si="158"/>
        <v>13077</v>
      </c>
      <c r="AC138" s="254">
        <f t="shared" ref="AC138" si="159">AC134-AC136</f>
        <v>13766</v>
      </c>
      <c r="AD138" s="254">
        <f t="shared" si="158"/>
        <v>14745.034413037571</v>
      </c>
      <c r="AE138" s="254">
        <f t="shared" si="158"/>
        <v>15094.209102262736</v>
      </c>
      <c r="AF138" s="254">
        <f t="shared" si="158"/>
        <v>15182.412023839803</v>
      </c>
      <c r="AG138" s="254">
        <f t="shared" si="158"/>
        <v>15252.252040153677</v>
      </c>
      <c r="AH138" s="254">
        <f t="shared" si="158"/>
        <v>15291.645188125329</v>
      </c>
      <c r="AI138" s="254">
        <f t="shared" si="158"/>
        <v>15294.944716154643</v>
      </c>
      <c r="AJ138" s="254">
        <f t="shared" si="158"/>
        <v>14949.738332978581</v>
      </c>
      <c r="AK138" s="254">
        <f t="shared" si="158"/>
        <v>14216.559011758127</v>
      </c>
      <c r="AL138" s="254">
        <f t="shared" ref="AL138" si="160">AL134-AL136</f>
        <v>13215.320016577167</v>
      </c>
      <c r="AM138" s="426"/>
      <c r="AN138" s="426"/>
      <c r="AO138" s="731"/>
      <c r="AP138" s="731"/>
      <c r="AQ138" s="731"/>
      <c r="AR138" s="731"/>
      <c r="AS138" s="731"/>
      <c r="AT138" s="731"/>
      <c r="AU138" s="731"/>
      <c r="AV138" s="731"/>
    </row>
    <row r="139" spans="1:48">
      <c r="A139" s="426"/>
      <c r="B139" s="1095" t="s">
        <v>167</v>
      </c>
      <c r="C139" s="444" t="s">
        <v>732</v>
      </c>
      <c r="D139" s="158"/>
      <c r="E139" s="158">
        <f t="shared" ref="E139:AK139" si="161">E135-E137</f>
        <v>10991.5</v>
      </c>
      <c r="F139" s="158">
        <f t="shared" si="161"/>
        <v>13110</v>
      </c>
      <c r="G139" s="158">
        <f t="shared" si="161"/>
        <v>12281</v>
      </c>
      <c r="H139" s="158">
        <f t="shared" si="161"/>
        <v>11414</v>
      </c>
      <c r="I139" s="158">
        <f t="shared" si="161"/>
        <v>11672</v>
      </c>
      <c r="J139" s="158">
        <f t="shared" si="161"/>
        <v>12437</v>
      </c>
      <c r="K139" s="158">
        <f t="shared" si="161"/>
        <v>13928.5</v>
      </c>
      <c r="L139" s="248">
        <f t="shared" si="161"/>
        <v>15080</v>
      </c>
      <c r="M139" s="248">
        <f t="shared" si="161"/>
        <v>15538.5</v>
      </c>
      <c r="N139" s="248">
        <f t="shared" si="161"/>
        <v>14891</v>
      </c>
      <c r="O139" s="248">
        <f t="shared" si="161"/>
        <v>13857</v>
      </c>
      <c r="P139" s="248">
        <f t="shared" si="161"/>
        <v>13440</v>
      </c>
      <c r="Q139" s="248">
        <f t="shared" si="161"/>
        <v>13213</v>
      </c>
      <c r="R139" s="248">
        <f t="shared" si="161"/>
        <v>11835</v>
      </c>
      <c r="S139" s="248">
        <f t="shared" si="161"/>
        <v>12043.5</v>
      </c>
      <c r="T139" s="248">
        <f t="shared" si="161"/>
        <v>13012.504298162501</v>
      </c>
      <c r="U139" s="248">
        <f t="shared" si="161"/>
        <v>13869.504298162501</v>
      </c>
      <c r="V139" s="248">
        <f t="shared" si="161"/>
        <v>15009.5</v>
      </c>
      <c r="W139" s="248">
        <f t="shared" si="161"/>
        <v>14733</v>
      </c>
      <c r="X139" s="248">
        <f t="shared" si="161"/>
        <v>14136.5</v>
      </c>
      <c r="Y139" s="248">
        <f t="shared" si="161"/>
        <v>12752</v>
      </c>
      <c r="Z139" s="248">
        <f t="shared" si="161"/>
        <v>10695.5</v>
      </c>
      <c r="AA139" s="248">
        <f t="shared" si="161"/>
        <v>10517.5</v>
      </c>
      <c r="AB139" s="248">
        <f t="shared" si="161"/>
        <v>12339.5</v>
      </c>
      <c r="AC139" s="248">
        <f t="shared" ref="AC139" si="162">AC135-AC137</f>
        <v>13421.5</v>
      </c>
      <c r="AD139" s="248">
        <f t="shared" si="161"/>
        <v>14255.517206518785</v>
      </c>
      <c r="AE139" s="248">
        <f t="shared" si="161"/>
        <v>14919.621757650153</v>
      </c>
      <c r="AF139" s="248">
        <f t="shared" si="161"/>
        <v>15138.310563051269</v>
      </c>
      <c r="AG139" s="248">
        <f t="shared" si="161"/>
        <v>15217.332031996739</v>
      </c>
      <c r="AH139" s="248">
        <f t="shared" si="161"/>
        <v>15271.948614139503</v>
      </c>
      <c r="AI139" s="248">
        <f t="shared" si="161"/>
        <v>15293.294952139986</v>
      </c>
      <c r="AJ139" s="248">
        <f t="shared" si="161"/>
        <v>15122.341524566611</v>
      </c>
      <c r="AK139" s="248">
        <f t="shared" si="161"/>
        <v>14583.148672368354</v>
      </c>
      <c r="AL139" s="248">
        <f t="shared" ref="AL139" si="163">AL135-AL137</f>
        <v>13715.939514167647</v>
      </c>
      <c r="AM139" s="426"/>
      <c r="AN139" s="426"/>
      <c r="AO139" s="731"/>
      <c r="AP139" s="731"/>
      <c r="AQ139" s="731"/>
      <c r="AR139" s="731"/>
      <c r="AS139" s="731"/>
      <c r="AT139" s="731"/>
      <c r="AU139" s="731"/>
      <c r="AV139" s="731"/>
    </row>
    <row r="140" spans="1:48">
      <c r="A140" s="426"/>
      <c r="B140" s="1095"/>
      <c r="C140" s="444"/>
      <c r="D140" s="158"/>
      <c r="E140" s="158"/>
      <c r="F140" s="158"/>
      <c r="G140" s="158"/>
      <c r="H140" s="158"/>
      <c r="I140" s="158"/>
      <c r="J140" s="158"/>
      <c r="K140" s="158"/>
      <c r="L140" s="248"/>
      <c r="M140" s="248"/>
      <c r="N140" s="248"/>
      <c r="O140" s="248"/>
      <c r="P140" s="248"/>
      <c r="Q140" s="248"/>
      <c r="R140" s="248"/>
      <c r="S140" s="248"/>
      <c r="T140" s="248"/>
      <c r="U140" s="248"/>
      <c r="V140" s="248"/>
      <c r="W140" s="248"/>
      <c r="X140" s="248"/>
      <c r="Y140" s="248"/>
      <c r="Z140" s="248"/>
      <c r="AA140" s="248"/>
      <c r="AB140" s="248"/>
      <c r="AC140" s="248"/>
      <c r="AD140" s="248"/>
      <c r="AE140" s="248"/>
      <c r="AF140" s="248"/>
      <c r="AG140" s="248"/>
      <c r="AH140" s="248"/>
      <c r="AI140" s="248"/>
      <c r="AJ140" s="248"/>
      <c r="AK140" s="248"/>
      <c r="AL140" s="248"/>
      <c r="AM140" s="426"/>
      <c r="AN140" s="426"/>
      <c r="AO140" s="731"/>
      <c r="AP140" s="731"/>
      <c r="AQ140" s="731"/>
      <c r="AR140" s="731"/>
      <c r="AS140" s="731"/>
      <c r="AT140" s="731"/>
      <c r="AU140" s="731"/>
      <c r="AV140" s="731"/>
    </row>
    <row r="141" spans="1:48">
      <c r="A141" s="426"/>
      <c r="B141" s="305" t="s">
        <v>1189</v>
      </c>
      <c r="C141" s="444"/>
      <c r="D141" s="1092"/>
      <c r="E141" s="1092"/>
      <c r="F141" s="1092"/>
      <c r="G141" s="1092"/>
      <c r="H141" s="1092"/>
      <c r="I141" s="1092"/>
      <c r="J141" s="1092"/>
      <c r="K141" s="1092"/>
      <c r="L141" s="1092"/>
      <c r="M141" s="1092"/>
      <c r="N141" s="1092"/>
      <c r="O141" s="1092"/>
      <c r="P141" s="1092"/>
      <c r="Q141" s="1092"/>
      <c r="R141" s="1092"/>
      <c r="S141" s="1092"/>
      <c r="T141" s="1092"/>
      <c r="U141" s="1092"/>
      <c r="V141" s="1092"/>
      <c r="W141" s="1092"/>
      <c r="X141" s="1092"/>
      <c r="Y141" s="1092"/>
      <c r="Z141" s="1092"/>
      <c r="AA141" s="1092"/>
      <c r="AB141" s="1092"/>
      <c r="AC141" s="1092"/>
      <c r="AD141" s="1092"/>
      <c r="AE141" s="1092"/>
      <c r="AF141" s="1092"/>
      <c r="AG141" s="1092"/>
      <c r="AH141" s="1092"/>
      <c r="AI141" s="1092"/>
      <c r="AJ141" s="1092"/>
      <c r="AK141" s="1092"/>
      <c r="AL141" s="1092"/>
      <c r="AM141" s="426"/>
      <c r="AN141" s="426"/>
      <c r="AO141" s="731"/>
      <c r="AP141" s="731"/>
      <c r="AQ141" s="731"/>
      <c r="AR141" s="731"/>
      <c r="AS141" s="731"/>
      <c r="AT141" s="731"/>
      <c r="AU141" s="731"/>
      <c r="AV141" s="731"/>
    </row>
    <row r="142" spans="1:48">
      <c r="A142" s="426"/>
      <c r="B142" s="304" t="s">
        <v>170</v>
      </c>
      <c r="C142" s="446" t="s">
        <v>732</v>
      </c>
      <c r="D142" s="1092"/>
      <c r="E142" s="1092"/>
      <c r="F142" s="1092"/>
      <c r="G142" s="1092"/>
      <c r="H142" s="1092"/>
      <c r="I142" s="1092"/>
      <c r="J142" s="1092"/>
      <c r="K142" s="1092"/>
      <c r="L142" s="1092"/>
      <c r="M142" s="1092"/>
      <c r="N142" s="1092"/>
      <c r="O142" s="1092"/>
      <c r="P142" s="1092"/>
      <c r="Q142" s="1092"/>
      <c r="R142" s="1092"/>
      <c r="S142" s="450">
        <f>+'P&amp;L'!S83</f>
        <v>157</v>
      </c>
      <c r="T142" s="450">
        <f>+'P&amp;L'!T83</f>
        <v>86</v>
      </c>
      <c r="U142" s="450">
        <f>+'P&amp;L'!U83</f>
        <v>138</v>
      </c>
      <c r="V142" s="450">
        <f>+'P&amp;L'!V83</f>
        <v>218</v>
      </c>
      <c r="W142" s="450">
        <f>+'P&amp;L'!W83</f>
        <v>238</v>
      </c>
      <c r="X142" s="450">
        <f>+'P&amp;L'!X83</f>
        <v>274</v>
      </c>
      <c r="Y142" s="450">
        <f>+'P&amp;L'!Y83</f>
        <v>103</v>
      </c>
      <c r="Z142" s="450">
        <f>+'P&amp;L'!Z83</f>
        <v>110</v>
      </c>
      <c r="AA142" s="450">
        <f>+'P&amp;L'!AA83</f>
        <v>101</v>
      </c>
      <c r="AB142" s="450">
        <f>+'P&amp;L'!AB83</f>
        <v>112</v>
      </c>
      <c r="AC142" s="450">
        <f>+'P&amp;L'!AC83</f>
        <v>103</v>
      </c>
      <c r="AD142" s="647">
        <v>120</v>
      </c>
      <c r="AE142" s="647">
        <v>120</v>
      </c>
      <c r="AF142" s="647">
        <v>120</v>
      </c>
      <c r="AG142" s="647">
        <v>120</v>
      </c>
      <c r="AH142" s="647">
        <v>120</v>
      </c>
      <c r="AI142" s="647">
        <v>120</v>
      </c>
      <c r="AJ142" s="647">
        <v>120</v>
      </c>
      <c r="AK142" s="647">
        <v>120</v>
      </c>
      <c r="AL142" s="647">
        <v>120</v>
      </c>
      <c r="AM142" s="426"/>
      <c r="AN142" s="426"/>
      <c r="AO142" s="731"/>
      <c r="AP142" s="731"/>
      <c r="AQ142" s="731"/>
      <c r="AR142" s="731"/>
      <c r="AS142" s="731"/>
      <c r="AT142" s="731"/>
      <c r="AU142" s="731"/>
      <c r="AV142" s="731"/>
    </row>
    <row r="143" spans="1:48">
      <c r="A143" s="426"/>
      <c r="B143" s="304" t="s">
        <v>171</v>
      </c>
      <c r="C143" s="446" t="s">
        <v>732</v>
      </c>
      <c r="D143" s="1092"/>
      <c r="E143" s="1092"/>
      <c r="F143" s="1092"/>
      <c r="G143" s="1092"/>
      <c r="H143" s="1092"/>
      <c r="I143" s="1092"/>
      <c r="J143" s="1092"/>
      <c r="K143" s="1092"/>
      <c r="L143" s="1092"/>
      <c r="M143" s="1092"/>
      <c r="N143" s="1092"/>
      <c r="O143" s="1092"/>
      <c r="P143" s="1092"/>
      <c r="Q143" s="1092"/>
      <c r="R143" s="1092"/>
      <c r="S143" s="450">
        <f>+'P&amp;L'!S84</f>
        <v>-846</v>
      </c>
      <c r="T143" s="450">
        <f>+'P&amp;L'!T84</f>
        <v>-796</v>
      </c>
      <c r="U143" s="450">
        <f>+'P&amp;L'!U84</f>
        <v>-729</v>
      </c>
      <c r="V143" s="450">
        <f>+'P&amp;L'!V84</f>
        <v>-806</v>
      </c>
      <c r="W143" s="450">
        <f>+'P&amp;L'!W84</f>
        <v>-932</v>
      </c>
      <c r="X143" s="450">
        <f>+'P&amp;L'!X84</f>
        <v>-1045</v>
      </c>
      <c r="Y143" s="450">
        <f>+'P&amp;L'!Y84</f>
        <v>-654</v>
      </c>
      <c r="Z143" s="450">
        <f>+'P&amp;L'!Z84</f>
        <v>-527</v>
      </c>
      <c r="AA143" s="450">
        <f>+'P&amp;L'!AA84</f>
        <v>-630</v>
      </c>
      <c r="AB143" s="450">
        <f>+'P&amp;L'!AB84</f>
        <v>-696</v>
      </c>
      <c r="AC143" s="450">
        <f>+'P&amp;L'!AC84</f>
        <v>-742</v>
      </c>
      <c r="AD143" s="1077">
        <f t="shared" ref="AD143:AK143" si="164">+AD148*-AD135</f>
        <v>-753.90000000000009</v>
      </c>
      <c r="AE143" s="1077">
        <f t="shared" si="164"/>
        <v>-783.90000000000009</v>
      </c>
      <c r="AF143" s="1077">
        <f t="shared" si="164"/>
        <v>-813.90000000000009</v>
      </c>
      <c r="AG143" s="1077">
        <f t="shared" si="164"/>
        <v>-843.90000000000009</v>
      </c>
      <c r="AH143" s="1077">
        <f t="shared" si="164"/>
        <v>-873.90000000000009</v>
      </c>
      <c r="AI143" s="1077">
        <f t="shared" si="164"/>
        <v>-903.90000000000009</v>
      </c>
      <c r="AJ143" s="1077">
        <f t="shared" si="164"/>
        <v>-933.90000000000009</v>
      </c>
      <c r="AK143" s="1077">
        <f t="shared" si="164"/>
        <v>-963.90000000000009</v>
      </c>
      <c r="AL143" s="1077">
        <f t="shared" ref="AL143" si="165">+AL148*-AL135</f>
        <v>-993.90000000000009</v>
      </c>
      <c r="AM143" s="426"/>
      <c r="AN143" s="426"/>
      <c r="AO143" s="731"/>
      <c r="AP143" s="731"/>
      <c r="AQ143" s="731"/>
      <c r="AR143" s="731"/>
      <c r="AS143" s="731"/>
      <c r="AT143" s="731"/>
      <c r="AU143" s="731"/>
      <c r="AV143" s="731"/>
    </row>
    <row r="144" spans="1:48">
      <c r="A144" s="426"/>
      <c r="B144" s="426"/>
      <c r="C144" s="444"/>
      <c r="D144" s="1092"/>
      <c r="E144" s="1092"/>
      <c r="F144" s="1092"/>
      <c r="G144" s="1092"/>
      <c r="H144" s="1092"/>
      <c r="I144" s="1092"/>
      <c r="J144" s="1092"/>
      <c r="K144" s="1092"/>
      <c r="L144" s="1092"/>
      <c r="M144" s="1092"/>
      <c r="N144" s="1092"/>
      <c r="O144" s="1092"/>
      <c r="P144" s="1092"/>
      <c r="Q144" s="1092"/>
      <c r="R144" s="1092"/>
      <c r="S144" s="1092"/>
      <c r="T144" s="1092"/>
      <c r="U144" s="1092"/>
      <c r="V144" s="1092"/>
      <c r="W144" s="1092"/>
      <c r="X144" s="1092"/>
      <c r="Y144" s="1092"/>
      <c r="Z144" s="1092"/>
      <c r="AA144" s="1092"/>
      <c r="AB144" s="1092"/>
      <c r="AC144" s="1092"/>
      <c r="AD144" s="1092"/>
      <c r="AE144" s="1092"/>
      <c r="AF144" s="1092"/>
      <c r="AG144" s="1092"/>
      <c r="AH144" s="1092"/>
      <c r="AI144" s="1092"/>
      <c r="AJ144" s="1092"/>
      <c r="AK144" s="1092"/>
      <c r="AL144" s="1092"/>
      <c r="AM144" s="426"/>
      <c r="AN144" s="426"/>
      <c r="AO144" s="731"/>
      <c r="AP144" s="731"/>
      <c r="AQ144" s="731"/>
      <c r="AR144" s="731"/>
      <c r="AS144" s="731"/>
      <c r="AT144" s="731"/>
      <c r="AU144" s="731"/>
      <c r="AV144" s="731"/>
    </row>
    <row r="145" spans="1:48">
      <c r="A145" s="426"/>
      <c r="B145" s="304" t="s">
        <v>1424</v>
      </c>
      <c r="C145" s="446" t="s">
        <v>732</v>
      </c>
      <c r="D145" s="1092"/>
      <c r="E145" s="1092"/>
      <c r="F145" s="1092"/>
      <c r="G145" s="1092"/>
      <c r="H145" s="1092"/>
      <c r="I145" s="1092"/>
      <c r="J145" s="1092"/>
      <c r="K145" s="1092"/>
      <c r="L145" s="1092"/>
      <c r="M145" s="1092"/>
      <c r="N145" s="1092"/>
      <c r="O145" s="1092"/>
      <c r="P145" s="1092"/>
      <c r="Q145" s="1092"/>
      <c r="R145" s="1092"/>
      <c r="S145" s="1092"/>
      <c r="T145" s="1092"/>
      <c r="U145" s="1092"/>
      <c r="V145" s="1092"/>
      <c r="W145" s="1092"/>
      <c r="X145" s="1092"/>
      <c r="Y145" s="1092"/>
      <c r="Z145" s="1092"/>
      <c r="AA145" s="1092"/>
      <c r="AB145" s="1092"/>
      <c r="AC145" s="1092"/>
      <c r="AD145" s="1092"/>
      <c r="AE145" s="1092"/>
      <c r="AF145" s="1092"/>
      <c r="AG145" s="1092"/>
      <c r="AH145" s="1092"/>
      <c r="AI145" s="1092"/>
      <c r="AJ145" s="1092"/>
      <c r="AK145" s="1092"/>
      <c r="AL145" s="1092"/>
      <c r="AM145" s="1092"/>
      <c r="AN145" s="1092"/>
      <c r="AO145" s="1092"/>
      <c r="AP145" s="731"/>
      <c r="AQ145" s="731"/>
      <c r="AR145" s="731"/>
      <c r="AS145" s="731"/>
      <c r="AT145" s="731"/>
      <c r="AU145" s="731"/>
      <c r="AV145" s="731"/>
    </row>
    <row r="146" spans="1:48">
      <c r="A146" s="426"/>
      <c r="B146" s="426"/>
      <c r="C146" s="444"/>
      <c r="D146" s="1092"/>
      <c r="E146" s="1092"/>
      <c r="F146" s="1092"/>
      <c r="G146" s="1092"/>
      <c r="H146" s="1092"/>
      <c r="I146" s="1092"/>
      <c r="J146" s="1092"/>
      <c r="K146" s="1092"/>
      <c r="L146" s="1092"/>
      <c r="M146" s="1092"/>
      <c r="N146" s="1092"/>
      <c r="O146" s="1092"/>
      <c r="P146" s="1092"/>
      <c r="Q146" s="1092"/>
      <c r="R146" s="1092"/>
      <c r="S146" s="1092"/>
      <c r="T146" s="1092"/>
      <c r="U146" s="1092"/>
      <c r="V146" s="1092"/>
      <c r="W146" s="1092"/>
      <c r="X146" s="1092"/>
      <c r="Y146" s="1092"/>
      <c r="Z146" s="1092"/>
      <c r="AA146" s="1092"/>
      <c r="AB146" s="1092"/>
      <c r="AC146" s="1092"/>
      <c r="AD146" s="1092"/>
      <c r="AE146" s="1092"/>
      <c r="AF146" s="1092"/>
      <c r="AG146" s="1092"/>
      <c r="AH146" s="1092"/>
      <c r="AI146" s="1092"/>
      <c r="AJ146" s="1092"/>
      <c r="AK146" s="1092"/>
      <c r="AL146" s="1092"/>
      <c r="AM146" s="426"/>
      <c r="AN146" s="426"/>
      <c r="AO146" s="731"/>
      <c r="AP146" s="731"/>
      <c r="AQ146" s="731"/>
      <c r="AR146" s="731"/>
      <c r="AS146" s="731"/>
      <c r="AT146" s="731"/>
      <c r="AU146" s="731"/>
      <c r="AV146" s="731"/>
    </row>
    <row r="147" spans="1:48" ht="12.6" customHeight="1">
      <c r="A147" s="312"/>
      <c r="B147" s="343" t="s">
        <v>1190</v>
      </c>
      <c r="C147" s="447" t="s">
        <v>733</v>
      </c>
      <c r="D147" s="344"/>
      <c r="E147" s="345"/>
      <c r="F147" s="345"/>
      <c r="G147" s="344"/>
      <c r="H147" s="344"/>
      <c r="I147" s="345"/>
      <c r="J147" s="344"/>
      <c r="K147" s="344"/>
      <c r="L147" s="344"/>
      <c r="M147" s="344"/>
      <c r="N147" s="344"/>
      <c r="O147" s="345"/>
      <c r="P147" s="345"/>
      <c r="Q147" s="344"/>
      <c r="R147" s="344"/>
      <c r="S147" s="345">
        <f t="shared" ref="S147:AB147" si="166">+S142/S137</f>
        <v>4.5356059511772351E-2</v>
      </c>
      <c r="T147" s="345">
        <f t="shared" si="166"/>
        <v>3.4775636664511701E-2</v>
      </c>
      <c r="U147" s="345">
        <f t="shared" si="166"/>
        <v>6.1497443995547074E-2</v>
      </c>
      <c r="V147" s="345">
        <f t="shared" si="166"/>
        <v>0.27823867262284618</v>
      </c>
      <c r="W147" s="345">
        <f t="shared" si="166"/>
        <v>0.38605028386050283</v>
      </c>
      <c r="X147" s="345">
        <f t="shared" si="166"/>
        <v>0.49682683590208521</v>
      </c>
      <c r="Y147" s="345">
        <f t="shared" si="166"/>
        <v>0.1268472906403941</v>
      </c>
      <c r="Z147" s="345">
        <f t="shared" si="166"/>
        <v>0.10161662817551963</v>
      </c>
      <c r="AA147" s="345">
        <f t="shared" si="166"/>
        <v>0.10243407707910751</v>
      </c>
      <c r="AB147" s="345">
        <f t="shared" si="166"/>
        <v>0.11324570273003033</v>
      </c>
      <c r="AC147" s="345">
        <f t="shared" ref="AC147" si="167">+AC142/AC137</f>
        <v>0.1000971817298348</v>
      </c>
      <c r="AD147" s="643">
        <f t="shared" ref="AD147:AL147" si="168">+AC147</f>
        <v>0.1000971817298348</v>
      </c>
      <c r="AE147" s="643">
        <f t="shared" si="168"/>
        <v>0.1000971817298348</v>
      </c>
      <c r="AF147" s="643">
        <f t="shared" si="168"/>
        <v>0.1000971817298348</v>
      </c>
      <c r="AG147" s="643">
        <f t="shared" si="168"/>
        <v>0.1000971817298348</v>
      </c>
      <c r="AH147" s="643">
        <f t="shared" si="168"/>
        <v>0.1000971817298348</v>
      </c>
      <c r="AI147" s="643">
        <f t="shared" si="168"/>
        <v>0.1000971817298348</v>
      </c>
      <c r="AJ147" s="643">
        <f t="shared" si="168"/>
        <v>0.1000971817298348</v>
      </c>
      <c r="AK147" s="643">
        <f t="shared" si="168"/>
        <v>0.1000971817298348</v>
      </c>
      <c r="AL147" s="643">
        <f t="shared" si="168"/>
        <v>0.1000971817298348</v>
      </c>
      <c r="AM147" s="312"/>
      <c r="AN147" s="312"/>
      <c r="AO147" s="731"/>
      <c r="AP147" s="731"/>
      <c r="AQ147" s="731"/>
      <c r="AR147" s="731"/>
      <c r="AS147" s="731"/>
      <c r="AT147" s="731"/>
      <c r="AU147" s="731"/>
      <c r="AV147" s="731"/>
    </row>
    <row r="148" spans="1:48">
      <c r="A148" s="312"/>
      <c r="B148" s="343" t="s">
        <v>228</v>
      </c>
      <c r="C148" s="447" t="s">
        <v>733</v>
      </c>
      <c r="D148" s="344"/>
      <c r="E148" s="345"/>
      <c r="F148" s="345"/>
      <c r="G148" s="344"/>
      <c r="H148" s="344"/>
      <c r="I148" s="345"/>
      <c r="J148" s="344"/>
      <c r="K148" s="344"/>
      <c r="L148" s="344"/>
      <c r="M148" s="344"/>
      <c r="N148" s="344"/>
      <c r="O148" s="345"/>
      <c r="P148" s="345"/>
      <c r="Q148" s="344"/>
      <c r="R148" s="344"/>
      <c r="S148" s="345">
        <f t="shared" ref="S148:AB148" si="169">-S143/S135</f>
        <v>5.4563044179296999E-2</v>
      </c>
      <c r="T148" s="345">
        <f t="shared" si="169"/>
        <v>5.140292531723225E-2</v>
      </c>
      <c r="U148" s="345">
        <f t="shared" si="169"/>
        <v>4.5241567629627333E-2</v>
      </c>
      <c r="V148" s="345">
        <f t="shared" si="169"/>
        <v>5.1035268789970237E-2</v>
      </c>
      <c r="W148" s="345">
        <f t="shared" si="169"/>
        <v>6.0718590182090623E-2</v>
      </c>
      <c r="X148" s="345">
        <f t="shared" si="169"/>
        <v>7.1146514161220045E-2</v>
      </c>
      <c r="Y148" s="345">
        <f t="shared" si="169"/>
        <v>4.8215865526393398E-2</v>
      </c>
      <c r="Z148" s="345">
        <f t="shared" si="169"/>
        <v>4.4744438784173883E-2</v>
      </c>
      <c r="AA148" s="345">
        <f t="shared" si="169"/>
        <v>5.4765940800625898E-2</v>
      </c>
      <c r="AB148" s="345">
        <f t="shared" si="169"/>
        <v>5.2218929361893686E-2</v>
      </c>
      <c r="AC148" s="345">
        <f t="shared" ref="AC148" si="170">-AC143/AC135</f>
        <v>5.1347704231687483E-2</v>
      </c>
      <c r="AD148" s="644">
        <v>0.05</v>
      </c>
      <c r="AE148" s="644">
        <v>0.05</v>
      </c>
      <c r="AF148" s="644">
        <v>0.05</v>
      </c>
      <c r="AG148" s="644">
        <v>0.05</v>
      </c>
      <c r="AH148" s="644">
        <v>0.05</v>
      </c>
      <c r="AI148" s="644">
        <v>0.05</v>
      </c>
      <c r="AJ148" s="644">
        <v>0.05</v>
      </c>
      <c r="AK148" s="644">
        <v>0.05</v>
      </c>
      <c r="AL148" s="644">
        <v>0.05</v>
      </c>
      <c r="AM148" s="312"/>
      <c r="AN148" s="312"/>
      <c r="AO148" s="731"/>
      <c r="AP148" s="731"/>
      <c r="AQ148" s="731"/>
      <c r="AR148" s="731"/>
      <c r="AS148" s="731"/>
      <c r="AT148" s="731"/>
      <c r="AU148" s="731"/>
      <c r="AV148" s="731"/>
    </row>
    <row r="149" spans="1:48">
      <c r="A149" s="426"/>
      <c r="B149" s="426"/>
      <c r="C149" s="444"/>
      <c r="D149" s="1092"/>
      <c r="E149" s="1092"/>
      <c r="F149" s="1092"/>
      <c r="G149" s="1092"/>
      <c r="H149" s="1092"/>
      <c r="I149" s="1092"/>
      <c r="J149" s="1092"/>
      <c r="K149" s="1092"/>
      <c r="L149" s="1092"/>
      <c r="M149" s="1092"/>
      <c r="N149" s="1092"/>
      <c r="O149" s="1092"/>
      <c r="P149" s="1092"/>
      <c r="Q149" s="1092"/>
      <c r="R149" s="1092"/>
      <c r="S149" s="1092"/>
      <c r="T149" s="1092"/>
      <c r="U149" s="1092"/>
      <c r="V149" s="1092"/>
      <c r="W149" s="1092"/>
      <c r="X149" s="1092"/>
      <c r="Y149" s="1092"/>
      <c r="Z149" s="1092"/>
      <c r="AA149" s="1111"/>
      <c r="AB149" s="1111"/>
      <c r="AC149" s="1111"/>
      <c r="AD149" s="1092"/>
      <c r="AE149" s="1092"/>
      <c r="AF149" s="1092"/>
      <c r="AG149" s="1092"/>
      <c r="AH149" s="1092"/>
      <c r="AI149" s="1092"/>
      <c r="AJ149" s="1092"/>
      <c r="AK149" s="1092"/>
      <c r="AL149" s="1092"/>
      <c r="AM149" s="426"/>
      <c r="AN149" s="426"/>
      <c r="AO149" s="731"/>
      <c r="AP149" s="731"/>
      <c r="AQ149" s="731"/>
      <c r="AR149" s="731"/>
      <c r="AS149" s="731"/>
      <c r="AT149" s="731"/>
      <c r="AU149" s="731"/>
      <c r="AV149" s="731"/>
    </row>
    <row r="150" spans="1:48" ht="15.6">
      <c r="A150" s="304"/>
      <c r="B150" s="1083" t="s">
        <v>381</v>
      </c>
      <c r="C150" s="443"/>
      <c r="D150" s="270"/>
      <c r="E150" s="270"/>
      <c r="F150" s="270"/>
      <c r="G150" s="270"/>
      <c r="H150" s="270"/>
      <c r="I150" s="270"/>
      <c r="J150" s="270"/>
      <c r="K150" s="270"/>
      <c r="L150" s="270"/>
      <c r="M150" s="270"/>
      <c r="N150" s="270"/>
      <c r="O150" s="270"/>
      <c r="P150" s="270"/>
      <c r="Q150" s="270"/>
      <c r="R150" s="270"/>
      <c r="S150" s="270"/>
      <c r="T150" s="270"/>
      <c r="U150" s="270"/>
      <c r="V150" s="270"/>
      <c r="W150" s="270"/>
      <c r="X150" s="270"/>
      <c r="Y150" s="270"/>
      <c r="Z150" s="270"/>
      <c r="AA150" s="270"/>
      <c r="AB150" s="270"/>
      <c r="AC150" s="270"/>
      <c r="AD150" s="270"/>
      <c r="AE150" s="270"/>
      <c r="AF150" s="270"/>
      <c r="AG150" s="270"/>
      <c r="AH150" s="270"/>
      <c r="AI150" s="271"/>
      <c r="AJ150" s="271"/>
      <c r="AK150" s="271"/>
      <c r="AL150" s="271"/>
      <c r="AM150" s="426"/>
      <c r="AN150" s="426"/>
      <c r="AO150" s="731"/>
      <c r="AP150" s="731"/>
      <c r="AQ150" s="731"/>
      <c r="AR150" s="731"/>
      <c r="AS150" s="731"/>
      <c r="AT150" s="731"/>
      <c r="AU150" s="731"/>
      <c r="AV150" s="731"/>
    </row>
    <row r="151" spans="1:48">
      <c r="A151" s="426"/>
      <c r="B151" s="426"/>
      <c r="C151" s="444"/>
      <c r="D151" s="1092"/>
      <c r="E151" s="1092"/>
      <c r="F151" s="1092"/>
      <c r="G151" s="1092"/>
      <c r="H151" s="1092"/>
      <c r="I151" s="1092"/>
      <c r="J151" s="1092"/>
      <c r="K151" s="1092"/>
      <c r="L151" s="1092"/>
      <c r="M151" s="1092"/>
      <c r="N151" s="1092"/>
      <c r="O151" s="1092"/>
      <c r="P151" s="1092"/>
      <c r="Q151" s="1092"/>
      <c r="R151" s="1092"/>
      <c r="S151" s="1092"/>
      <c r="T151" s="1092"/>
      <c r="U151" s="1092"/>
      <c r="V151" s="1092"/>
      <c r="W151" s="1092"/>
      <c r="X151" s="1092"/>
      <c r="Y151" s="1092"/>
      <c r="Z151" s="1092"/>
      <c r="AA151" s="1092"/>
      <c r="AB151" s="1092"/>
      <c r="AC151" s="1092"/>
      <c r="AD151" s="1092"/>
      <c r="AE151" s="1092"/>
      <c r="AF151" s="1092"/>
      <c r="AG151" s="1092"/>
      <c r="AH151" s="1092"/>
      <c r="AI151" s="1092"/>
      <c r="AJ151" s="1092"/>
      <c r="AK151" s="1092"/>
      <c r="AL151" s="1092"/>
      <c r="AM151" s="426"/>
      <c r="AN151" s="426"/>
      <c r="AO151" s="731"/>
      <c r="AP151" s="731"/>
      <c r="AQ151" s="731"/>
      <c r="AR151" s="731"/>
      <c r="AS151" s="731"/>
      <c r="AT151" s="731"/>
      <c r="AU151" s="731"/>
      <c r="AV151" s="731"/>
    </row>
    <row r="152" spans="1:48">
      <c r="A152" s="426"/>
      <c r="B152" s="426" t="s">
        <v>648</v>
      </c>
      <c r="C152" s="381" t="s">
        <v>733</v>
      </c>
      <c r="D152" s="612">
        <v>0.3</v>
      </c>
      <c r="E152" s="612">
        <v>0.3</v>
      </c>
      <c r="F152" s="612">
        <v>0.3</v>
      </c>
      <c r="G152" s="612">
        <v>0.3</v>
      </c>
      <c r="H152" s="612">
        <v>0.3</v>
      </c>
      <c r="I152" s="612">
        <v>0.3</v>
      </c>
      <c r="J152" s="612">
        <v>0.3</v>
      </c>
      <c r="K152" s="612">
        <v>0.3</v>
      </c>
      <c r="L152" s="612">
        <v>0.3</v>
      </c>
      <c r="M152" s="612">
        <v>0.3</v>
      </c>
      <c r="N152" s="511">
        <f>M152</f>
        <v>0.3</v>
      </c>
      <c r="O152" s="511">
        <f>N152</f>
        <v>0.3</v>
      </c>
      <c r="P152" s="511">
        <f>O152</f>
        <v>0.3</v>
      </c>
      <c r="Q152" s="511">
        <f>P152</f>
        <v>0.3</v>
      </c>
      <c r="R152" s="511">
        <f>Q152</f>
        <v>0.3</v>
      </c>
      <c r="S152" s="613">
        <v>0.3</v>
      </c>
      <c r="T152" s="613">
        <v>0.3</v>
      </c>
      <c r="U152" s="613">
        <v>0.3</v>
      </c>
      <c r="V152" s="613">
        <v>0.3</v>
      </c>
      <c r="W152" s="613">
        <v>0.3</v>
      </c>
      <c r="X152" s="613">
        <v>0.3</v>
      </c>
      <c r="Y152" s="613">
        <v>0.3</v>
      </c>
      <c r="Z152" s="613">
        <v>0.3</v>
      </c>
      <c r="AA152" s="613">
        <v>0.3</v>
      </c>
      <c r="AB152" s="613">
        <v>0.3</v>
      </c>
      <c r="AC152" s="613">
        <v>0.3</v>
      </c>
      <c r="AD152" s="613">
        <v>0.3</v>
      </c>
      <c r="AE152" s="613">
        <v>0.3</v>
      </c>
      <c r="AF152" s="613">
        <v>0.3</v>
      </c>
      <c r="AG152" s="613">
        <v>0.3</v>
      </c>
      <c r="AH152" s="613">
        <v>0.3</v>
      </c>
      <c r="AI152" s="613">
        <v>0.3</v>
      </c>
      <c r="AJ152" s="613">
        <v>0.3</v>
      </c>
      <c r="AK152" s="613">
        <v>0.3</v>
      </c>
      <c r="AL152" s="613">
        <v>0.3</v>
      </c>
      <c r="AM152" s="426"/>
      <c r="AN152" s="426"/>
      <c r="AO152" s="731"/>
      <c r="AP152" s="731"/>
      <c r="AQ152" s="731"/>
      <c r="AR152" s="731"/>
      <c r="AS152" s="731"/>
      <c r="AT152" s="731"/>
      <c r="AU152" s="731"/>
      <c r="AV152" s="731"/>
    </row>
    <row r="153" spans="1:48">
      <c r="A153" s="426"/>
      <c r="B153" s="1095" t="s">
        <v>649</v>
      </c>
      <c r="C153" s="381" t="s">
        <v>733</v>
      </c>
      <c r="D153" s="365">
        <f>-'P&amp;L'!D87/'P&amp;L'!D86</f>
        <v>0.31332959431669472</v>
      </c>
      <c r="E153" s="365">
        <f>-'P&amp;L'!E87/'P&amp;L'!E86</f>
        <v>0.35508972526599969</v>
      </c>
      <c r="F153" s="365">
        <f>-'P&amp;L'!F87/'P&amp;L'!F86</f>
        <v>0.32978332721263315</v>
      </c>
      <c r="G153" s="365">
        <f>-'P&amp;L'!G87/'P&amp;L'!G86</f>
        <v>0.31128246753246752</v>
      </c>
      <c r="H153" s="365">
        <f>-'P&amp;L'!H87/'P&amp;L'!H86</f>
        <v>0.2959986320109439</v>
      </c>
      <c r="I153" s="365">
        <f>-'P&amp;L'!I87/'P&amp;L'!I86</f>
        <v>0.28835672997522716</v>
      </c>
      <c r="J153" s="365">
        <f>-'P&amp;L'!J87/'P&amp;L'!J86</f>
        <v>0.30258545135845749</v>
      </c>
      <c r="K153" s="365">
        <f>-'P&amp;L'!K87/'P&amp;L'!K86</f>
        <v>0.30200341005967618</v>
      </c>
      <c r="L153" s="365">
        <f>-'P&amp;L'!L87/'P&amp;L'!L86</f>
        <v>0.27801556420233464</v>
      </c>
      <c r="M153" s="365">
        <f>-'P&amp;L'!M87/'P&amp;L'!M86</f>
        <v>0.27960410038882999</v>
      </c>
      <c r="N153" s="365">
        <f>-'P&amp;L'!N87/'P&amp;L'!N86</f>
        <v>0.28855182376309135</v>
      </c>
      <c r="O153" s="365">
        <f>-'P&amp;L'!O87/'P&amp;L'!O86</f>
        <v>0.28681149879306561</v>
      </c>
      <c r="P153" s="365">
        <f>-'P&amp;L'!P87/'P&amp;L'!P86</f>
        <v>0.30074784908804569</v>
      </c>
      <c r="Q153" s="365">
        <f>-'P&amp;L'!Q87/'P&amp;L'!Q86</f>
        <v>0.28936461741623204</v>
      </c>
      <c r="R153" s="365">
        <f>-'P&amp;L'!R87/'P&amp;L'!R86</f>
        <v>0.26931708881051619</v>
      </c>
      <c r="S153" s="365">
        <f>-'P&amp;L'!S87/'P&amp;L'!S86</f>
        <v>0.30442930153321979</v>
      </c>
      <c r="T153" s="365">
        <f>-'P&amp;L'!T87/'P&amp;L'!T86</f>
        <v>0.31605869939413977</v>
      </c>
      <c r="U153" s="365">
        <f>-'P&amp;L'!U87/'P&amp;L'!U86</f>
        <v>0.34078871925909876</v>
      </c>
      <c r="V153" s="365">
        <f>-'P&amp;L'!V87/'P&amp;L'!V86</f>
        <v>0.2871143375680581</v>
      </c>
      <c r="W153" s="365">
        <f>-'P&amp;L'!W87/'P&amp;L'!W86</f>
        <v>0.30019946808510639</v>
      </c>
      <c r="X153" s="365">
        <f>-'P&amp;L'!X87/'P&amp;L'!X86</f>
        <v>0.34227467811158796</v>
      </c>
      <c r="Y153" s="365">
        <f>-'P&amp;L'!Y87/'P&amp;L'!Y86</f>
        <v>0.22081114297419091</v>
      </c>
      <c r="Z153" s="365">
        <f>-'P&amp;L'!Z87/'P&amp;L'!Z86</f>
        <v>0.26884320838371623</v>
      </c>
      <c r="AA153" s="365">
        <f>-'P&amp;L'!AA87/'P&amp;L'!AA86</f>
        <v>0.28361858190709044</v>
      </c>
      <c r="AB153" s="365">
        <f>-'P&amp;L'!AB87/'P&amp;L'!AB86</f>
        <v>0.2746450304259635</v>
      </c>
      <c r="AC153" s="365">
        <f>-'P&amp;L'!AC87/'P&amp;L'!AC86</f>
        <v>0.28492983526540572</v>
      </c>
      <c r="AD153" s="641">
        <f t="shared" ref="AD153:AL153" si="171">AC153</f>
        <v>0.28492983526540572</v>
      </c>
      <c r="AE153" s="641">
        <f t="shared" si="171"/>
        <v>0.28492983526540572</v>
      </c>
      <c r="AF153" s="641">
        <f t="shared" si="171"/>
        <v>0.28492983526540572</v>
      </c>
      <c r="AG153" s="641">
        <f t="shared" si="171"/>
        <v>0.28492983526540572</v>
      </c>
      <c r="AH153" s="641">
        <f t="shared" si="171"/>
        <v>0.28492983526540572</v>
      </c>
      <c r="AI153" s="641">
        <f t="shared" si="171"/>
        <v>0.28492983526540572</v>
      </c>
      <c r="AJ153" s="641">
        <f t="shared" si="171"/>
        <v>0.28492983526540572</v>
      </c>
      <c r="AK153" s="641">
        <f t="shared" si="171"/>
        <v>0.28492983526540572</v>
      </c>
      <c r="AL153" s="641">
        <f t="shared" si="171"/>
        <v>0.28492983526540572</v>
      </c>
      <c r="AM153" s="426"/>
      <c r="AN153" s="426"/>
      <c r="AO153" s="731"/>
      <c r="AP153" s="731"/>
      <c r="AQ153" s="731"/>
      <c r="AR153" s="731"/>
      <c r="AS153" s="731"/>
      <c r="AT153" s="731"/>
      <c r="AU153" s="731"/>
      <c r="AV153" s="731"/>
    </row>
    <row r="154" spans="1:48">
      <c r="A154" s="426"/>
      <c r="B154" s="1095"/>
      <c r="C154" s="381"/>
      <c r="D154" s="96"/>
      <c r="E154" s="96"/>
      <c r="F154" s="96"/>
      <c r="G154" s="96"/>
      <c r="H154" s="96"/>
      <c r="I154" s="96"/>
      <c r="J154" s="96"/>
      <c r="K154" s="96"/>
      <c r="L154" s="96"/>
      <c r="M154" s="96"/>
      <c r="N154" s="96"/>
      <c r="O154" s="96"/>
      <c r="P154" s="426"/>
      <c r="Q154" s="426"/>
      <c r="R154" s="426"/>
      <c r="S154" s="426"/>
      <c r="T154" s="426"/>
      <c r="U154" s="426"/>
      <c r="V154" s="1096"/>
      <c r="W154" s="1096"/>
      <c r="X154" s="1096"/>
      <c r="Y154" s="704"/>
      <c r="Z154" s="704"/>
      <c r="AA154" s="704"/>
      <c r="AB154" s="1096"/>
      <c r="AC154" s="1096"/>
      <c r="AD154" s="1096"/>
      <c r="AE154" s="1096"/>
      <c r="AF154" s="1096"/>
      <c r="AG154" s="1096"/>
      <c r="AH154" s="1096"/>
      <c r="AI154" s="1096"/>
      <c r="AJ154" s="1096"/>
      <c r="AK154" s="1096"/>
      <c r="AL154" s="1096"/>
      <c r="AM154" s="426"/>
      <c r="AN154" s="426"/>
      <c r="AO154" s="731"/>
      <c r="AP154" s="731"/>
      <c r="AQ154" s="731"/>
      <c r="AR154" s="731"/>
      <c r="AS154" s="731"/>
      <c r="AT154" s="731"/>
      <c r="AU154" s="731"/>
      <c r="AV154" s="731"/>
    </row>
    <row r="155" spans="1:48" ht="15.6">
      <c r="A155" s="304"/>
      <c r="B155" s="1083" t="s">
        <v>656</v>
      </c>
      <c r="C155" s="443"/>
      <c r="D155" s="270"/>
      <c r="E155" s="270"/>
      <c r="F155" s="270"/>
      <c r="G155" s="270"/>
      <c r="H155" s="270"/>
      <c r="I155" s="270"/>
      <c r="J155" s="270"/>
      <c r="K155" s="270"/>
      <c r="L155" s="270"/>
      <c r="M155" s="270"/>
      <c r="N155" s="270"/>
      <c r="O155" s="270"/>
      <c r="P155" s="270"/>
      <c r="Q155" s="270"/>
      <c r="R155" s="270"/>
      <c r="S155" s="270"/>
      <c r="T155" s="270"/>
      <c r="U155" s="270"/>
      <c r="V155" s="270"/>
      <c r="W155" s="270"/>
      <c r="X155" s="270"/>
      <c r="Y155" s="270"/>
      <c r="Z155" s="270"/>
      <c r="AA155" s="270"/>
      <c r="AB155" s="270"/>
      <c r="AC155" s="270"/>
      <c r="AD155" s="270"/>
      <c r="AE155" s="270"/>
      <c r="AF155" s="270"/>
      <c r="AG155" s="270"/>
      <c r="AH155" s="270"/>
      <c r="AI155" s="271"/>
      <c r="AJ155" s="271"/>
      <c r="AK155" s="271"/>
      <c r="AL155" s="271"/>
      <c r="AM155" s="426"/>
      <c r="AN155" s="426"/>
      <c r="AO155" s="731"/>
      <c r="AP155" s="731"/>
      <c r="AQ155" s="731"/>
      <c r="AR155" s="731"/>
      <c r="AS155" s="731"/>
      <c r="AT155" s="731"/>
      <c r="AU155" s="731"/>
      <c r="AV155" s="731"/>
    </row>
    <row r="156" spans="1:48">
      <c r="A156" s="426"/>
      <c r="B156" s="426"/>
      <c r="C156" s="444"/>
      <c r="D156" s="1092"/>
      <c r="E156" s="1092"/>
      <c r="F156" s="1092"/>
      <c r="G156" s="1092"/>
      <c r="H156" s="1092"/>
      <c r="I156" s="1092"/>
      <c r="J156" s="1092"/>
      <c r="K156" s="1092"/>
      <c r="L156" s="1092"/>
      <c r="M156" s="1092"/>
      <c r="N156" s="1092"/>
      <c r="O156" s="1092"/>
      <c r="P156" s="1092"/>
      <c r="Q156" s="1092"/>
      <c r="R156" s="1092"/>
      <c r="S156" s="1092"/>
      <c r="T156" s="1092"/>
      <c r="U156" s="1092"/>
      <c r="V156" s="1092"/>
      <c r="W156" s="1092"/>
      <c r="X156" s="1092"/>
      <c r="Y156" s="1092"/>
      <c r="Z156" s="1092"/>
      <c r="AA156" s="1092"/>
      <c r="AB156" s="1092"/>
      <c r="AC156" s="1092"/>
      <c r="AD156" s="1092"/>
      <c r="AE156" s="1092"/>
      <c r="AF156" s="1092"/>
      <c r="AG156" s="1092"/>
      <c r="AH156" s="1092"/>
      <c r="AI156" s="1092"/>
      <c r="AJ156" s="1092"/>
      <c r="AK156" s="1092"/>
      <c r="AL156" s="1092"/>
      <c r="AM156" s="426"/>
      <c r="AN156" s="426"/>
      <c r="AO156" s="731"/>
      <c r="AP156" s="731"/>
      <c r="AQ156" s="731"/>
      <c r="AR156" s="731"/>
      <c r="AS156" s="731"/>
      <c r="AT156" s="731"/>
      <c r="AU156" s="731"/>
      <c r="AV156" s="731"/>
    </row>
    <row r="157" spans="1:48">
      <c r="A157" s="426"/>
      <c r="B157" s="1091" t="s">
        <v>650</v>
      </c>
      <c r="C157" s="298" t="s">
        <v>651</v>
      </c>
      <c r="D157" s="611">
        <v>18</v>
      </c>
      <c r="E157" s="611">
        <v>19</v>
      </c>
      <c r="F157" s="611">
        <v>22</v>
      </c>
      <c r="G157" s="611">
        <v>24</v>
      </c>
      <c r="H157" s="611">
        <v>26</v>
      </c>
      <c r="I157" s="442">
        <f t="shared" ref="I157:O157" si="172">I158+I159</f>
        <v>28</v>
      </c>
      <c r="J157" s="442">
        <f t="shared" si="172"/>
        <v>28</v>
      </c>
      <c r="K157" s="442">
        <f t="shared" si="172"/>
        <v>28</v>
      </c>
      <c r="L157" s="277">
        <f t="shared" si="172"/>
        <v>28</v>
      </c>
      <c r="M157" s="277">
        <f t="shared" si="172"/>
        <v>28</v>
      </c>
      <c r="N157" s="277">
        <f t="shared" si="172"/>
        <v>28</v>
      </c>
      <c r="O157" s="277">
        <f t="shared" si="172"/>
        <v>28</v>
      </c>
      <c r="P157" s="611">
        <v>28</v>
      </c>
      <c r="Q157" s="611">
        <v>28</v>
      </c>
      <c r="R157" s="611">
        <v>29.5</v>
      </c>
      <c r="S157" s="277">
        <f>S158+S159</f>
        <v>30.5</v>
      </c>
      <c r="T157" s="611">
        <v>31</v>
      </c>
      <c r="U157" s="611">
        <v>31</v>
      </c>
      <c r="V157" s="611">
        <v>22</v>
      </c>
      <c r="W157" s="611">
        <v>16</v>
      </c>
      <c r="X157" s="611">
        <v>16</v>
      </c>
      <c r="Y157" s="611">
        <v>16</v>
      </c>
      <c r="Z157" s="611">
        <v>16.5</v>
      </c>
      <c r="AA157" s="611">
        <v>17</v>
      </c>
      <c r="AB157" s="611">
        <v>18</v>
      </c>
      <c r="AC157" s="611">
        <v>19</v>
      </c>
      <c r="AD157" s="611">
        <v>21</v>
      </c>
      <c r="AE157" s="611">
        <f t="shared" ref="AE157:AL157" si="173">AD157+1</f>
        <v>22</v>
      </c>
      <c r="AF157" s="611">
        <f t="shared" si="173"/>
        <v>23</v>
      </c>
      <c r="AG157" s="611">
        <f t="shared" si="173"/>
        <v>24</v>
      </c>
      <c r="AH157" s="611">
        <f t="shared" si="173"/>
        <v>25</v>
      </c>
      <c r="AI157" s="611">
        <f t="shared" si="173"/>
        <v>26</v>
      </c>
      <c r="AJ157" s="611">
        <f t="shared" si="173"/>
        <v>27</v>
      </c>
      <c r="AK157" s="611">
        <f t="shared" si="173"/>
        <v>28</v>
      </c>
      <c r="AL157" s="611">
        <f t="shared" si="173"/>
        <v>29</v>
      </c>
      <c r="AM157" s="426"/>
      <c r="AN157" s="426"/>
      <c r="AO157" s="731"/>
      <c r="AP157" s="731"/>
      <c r="AQ157" s="731"/>
      <c r="AR157" s="731"/>
      <c r="AS157" s="731"/>
      <c r="AT157" s="731"/>
      <c r="AU157" s="731"/>
      <c r="AV157" s="731"/>
    </row>
    <row r="158" spans="1:48">
      <c r="A158" s="426"/>
      <c r="B158" s="426" t="s">
        <v>652</v>
      </c>
      <c r="C158" s="298" t="s">
        <v>651</v>
      </c>
      <c r="D158" s="256"/>
      <c r="E158" s="442"/>
      <c r="F158" s="442"/>
      <c r="G158" s="442"/>
      <c r="H158" s="442"/>
      <c r="I158" s="611">
        <v>14</v>
      </c>
      <c r="J158" s="611">
        <v>14</v>
      </c>
      <c r="K158" s="611">
        <v>14</v>
      </c>
      <c r="L158" s="611">
        <v>14</v>
      </c>
      <c r="M158" s="611">
        <v>14</v>
      </c>
      <c r="N158" s="611">
        <v>14</v>
      </c>
      <c r="O158" s="611">
        <v>14</v>
      </c>
      <c r="P158" s="614">
        <f>0.5*P157</f>
        <v>14</v>
      </c>
      <c r="Q158" s="614">
        <f>0.5*Q157</f>
        <v>14</v>
      </c>
      <c r="R158" s="611">
        <v>14.5</v>
      </c>
      <c r="S158" s="611">
        <v>15</v>
      </c>
      <c r="T158" s="614">
        <f>0.5*T157</f>
        <v>15.5</v>
      </c>
      <c r="U158" s="614">
        <f>0.5*U157</f>
        <v>15.5</v>
      </c>
      <c r="V158" s="614">
        <f>0.5*V157</f>
        <v>11</v>
      </c>
      <c r="W158" s="614">
        <v>8</v>
      </c>
      <c r="X158" s="614">
        <v>8</v>
      </c>
      <c r="Y158" s="614">
        <v>8</v>
      </c>
      <c r="Z158" s="614">
        <v>8</v>
      </c>
      <c r="AA158" s="614">
        <v>8.5</v>
      </c>
      <c r="AB158" s="614">
        <v>9</v>
      </c>
      <c r="AC158" s="614">
        <v>9.5</v>
      </c>
      <c r="AD158" s="256">
        <f t="shared" ref="AD158:AK158" si="174">0.5*AD157</f>
        <v>10.5</v>
      </c>
      <c r="AE158" s="256">
        <f t="shared" si="174"/>
        <v>11</v>
      </c>
      <c r="AF158" s="256">
        <f t="shared" si="174"/>
        <v>11.5</v>
      </c>
      <c r="AG158" s="256">
        <f t="shared" si="174"/>
        <v>12</v>
      </c>
      <c r="AH158" s="256">
        <f t="shared" si="174"/>
        <v>12.5</v>
      </c>
      <c r="AI158" s="256">
        <f t="shared" si="174"/>
        <v>13</v>
      </c>
      <c r="AJ158" s="256">
        <f t="shared" si="174"/>
        <v>13.5</v>
      </c>
      <c r="AK158" s="256">
        <f t="shared" si="174"/>
        <v>14</v>
      </c>
      <c r="AL158" s="256">
        <f t="shared" ref="AL158" si="175">0.5*AL157</f>
        <v>14.5</v>
      </c>
      <c r="AM158" s="426"/>
      <c r="AN158" s="426"/>
      <c r="AO158" s="731"/>
      <c r="AP158" s="731"/>
      <c r="AQ158" s="731"/>
      <c r="AR158" s="731"/>
      <c r="AS158" s="731"/>
      <c r="AT158" s="731"/>
      <c r="AU158" s="731"/>
      <c r="AV158" s="731"/>
    </row>
    <row r="159" spans="1:48">
      <c r="A159" s="426"/>
      <c r="B159" s="426" t="s">
        <v>653</v>
      </c>
      <c r="C159" s="298" t="s">
        <v>651</v>
      </c>
      <c r="D159" s="256"/>
      <c r="E159" s="442"/>
      <c r="F159" s="442"/>
      <c r="G159" s="442"/>
      <c r="H159" s="442"/>
      <c r="I159" s="611">
        <v>14</v>
      </c>
      <c r="J159" s="611">
        <v>14</v>
      </c>
      <c r="K159" s="611">
        <v>14</v>
      </c>
      <c r="L159" s="611">
        <v>14</v>
      </c>
      <c r="M159" s="611">
        <v>14</v>
      </c>
      <c r="N159" s="611">
        <v>14</v>
      </c>
      <c r="O159" s="611">
        <v>14</v>
      </c>
      <c r="P159" s="277">
        <f>P157-P158</f>
        <v>14</v>
      </c>
      <c r="Q159" s="256">
        <f>Q157-Q158</f>
        <v>14</v>
      </c>
      <c r="R159" s="611">
        <v>15</v>
      </c>
      <c r="S159" s="611">
        <v>15.5</v>
      </c>
      <c r="T159" s="256">
        <f t="shared" ref="T159:AA159" si="176">T157-T158</f>
        <v>15.5</v>
      </c>
      <c r="U159" s="256">
        <f t="shared" si="176"/>
        <v>15.5</v>
      </c>
      <c r="V159" s="256">
        <f t="shared" si="176"/>
        <v>11</v>
      </c>
      <c r="W159" s="256">
        <f t="shared" si="176"/>
        <v>8</v>
      </c>
      <c r="X159" s="256">
        <f t="shared" si="176"/>
        <v>8</v>
      </c>
      <c r="Y159" s="256">
        <f t="shared" si="176"/>
        <v>8</v>
      </c>
      <c r="Z159" s="256">
        <f t="shared" si="176"/>
        <v>8.5</v>
      </c>
      <c r="AA159" s="256">
        <f t="shared" si="176"/>
        <v>8.5</v>
      </c>
      <c r="AB159" s="614">
        <v>9</v>
      </c>
      <c r="AC159" s="614">
        <v>9.5</v>
      </c>
      <c r="AD159" s="256">
        <f t="shared" ref="AD159:AK159" si="177">AD157-AD158</f>
        <v>10.5</v>
      </c>
      <c r="AE159" s="256">
        <f t="shared" si="177"/>
        <v>11</v>
      </c>
      <c r="AF159" s="256">
        <f t="shared" si="177"/>
        <v>11.5</v>
      </c>
      <c r="AG159" s="256">
        <f t="shared" si="177"/>
        <v>12</v>
      </c>
      <c r="AH159" s="256">
        <f t="shared" si="177"/>
        <v>12.5</v>
      </c>
      <c r="AI159" s="256">
        <f t="shared" si="177"/>
        <v>13</v>
      </c>
      <c r="AJ159" s="256">
        <f t="shared" si="177"/>
        <v>13.5</v>
      </c>
      <c r="AK159" s="256">
        <f t="shared" si="177"/>
        <v>14</v>
      </c>
      <c r="AL159" s="256">
        <f t="shared" ref="AL159" si="178">AL157-AL158</f>
        <v>14.5</v>
      </c>
      <c r="AM159" s="426"/>
      <c r="AN159" s="426"/>
      <c r="AO159" s="731"/>
      <c r="AP159" s="731"/>
      <c r="AQ159" s="731"/>
      <c r="AR159" s="731"/>
      <c r="AS159" s="731"/>
      <c r="AT159" s="731"/>
      <c r="AU159" s="731"/>
      <c r="AV159" s="731"/>
    </row>
    <row r="160" spans="1:48">
      <c r="A160" s="426"/>
      <c r="B160" s="426" t="s">
        <v>807</v>
      </c>
      <c r="C160" s="298" t="s">
        <v>651</v>
      </c>
      <c r="D160" s="611">
        <v>0</v>
      </c>
      <c r="E160" s="611">
        <v>0</v>
      </c>
      <c r="F160" s="611">
        <v>0</v>
      </c>
      <c r="G160" s="611">
        <v>3</v>
      </c>
      <c r="H160" s="611">
        <v>0</v>
      </c>
      <c r="I160" s="611">
        <v>12</v>
      </c>
      <c r="J160" s="611">
        <v>6</v>
      </c>
      <c r="K160" s="611">
        <v>0</v>
      </c>
      <c r="L160" s="611">
        <v>0</v>
      </c>
      <c r="M160" s="611">
        <v>0</v>
      </c>
      <c r="N160" s="611">
        <v>0</v>
      </c>
      <c r="O160" s="611">
        <v>0</v>
      </c>
      <c r="P160" s="256"/>
      <c r="Q160" s="256"/>
      <c r="R160" s="256"/>
      <c r="S160" s="256"/>
      <c r="T160" s="256"/>
      <c r="U160" s="256"/>
      <c r="V160" s="256"/>
      <c r="W160" s="256"/>
      <c r="X160" s="256"/>
      <c r="Y160" s="256"/>
      <c r="Z160" s="256"/>
      <c r="AA160" s="256"/>
      <c r="AB160" s="256"/>
      <c r="AC160" s="256"/>
      <c r="AD160" s="256"/>
      <c r="AE160" s="256"/>
      <c r="AF160" s="256"/>
      <c r="AG160" s="256"/>
      <c r="AH160" s="256"/>
      <c r="AI160" s="256"/>
      <c r="AJ160" s="256"/>
      <c r="AK160" s="256"/>
      <c r="AL160" s="256"/>
      <c r="AM160" s="426"/>
      <c r="AN160" s="426"/>
      <c r="AO160" s="731"/>
      <c r="AP160" s="731"/>
      <c r="AQ160" s="731"/>
      <c r="AR160" s="731"/>
      <c r="AS160" s="731"/>
      <c r="AT160" s="731"/>
      <c r="AU160" s="731"/>
      <c r="AV160" s="731"/>
    </row>
    <row r="161" spans="1:48">
      <c r="A161" s="426"/>
      <c r="B161" s="1091" t="s">
        <v>654</v>
      </c>
      <c r="C161" s="381" t="s">
        <v>733</v>
      </c>
      <c r="D161" s="1080">
        <v>100</v>
      </c>
      <c r="E161" s="1080">
        <v>100</v>
      </c>
      <c r="F161" s="1080">
        <v>100</v>
      </c>
      <c r="G161" s="1080">
        <v>100</v>
      </c>
      <c r="H161" s="1080">
        <v>100</v>
      </c>
      <c r="I161" s="1080">
        <v>100</v>
      </c>
      <c r="J161" s="1080">
        <v>100</v>
      </c>
      <c r="K161" s="1080">
        <v>100</v>
      </c>
      <c r="L161" s="611">
        <v>100</v>
      </c>
      <c r="M161" s="611">
        <v>100</v>
      </c>
      <c r="N161" s="611">
        <v>100</v>
      </c>
      <c r="O161" s="611">
        <v>100</v>
      </c>
      <c r="P161" s="611">
        <v>100</v>
      </c>
      <c r="Q161" s="611">
        <v>100</v>
      </c>
      <c r="R161" s="611">
        <v>100</v>
      </c>
      <c r="S161" s="611">
        <v>100</v>
      </c>
      <c r="T161" s="611">
        <v>100</v>
      </c>
      <c r="U161" s="611">
        <v>100</v>
      </c>
      <c r="V161" s="611">
        <v>100</v>
      </c>
      <c r="W161" s="256">
        <f t="shared" ref="W161:AL161" si="179">V161</f>
        <v>100</v>
      </c>
      <c r="X161" s="256">
        <f t="shared" si="179"/>
        <v>100</v>
      </c>
      <c r="Y161" s="256">
        <f t="shared" si="179"/>
        <v>100</v>
      </c>
      <c r="Z161" s="256">
        <f t="shared" si="179"/>
        <v>100</v>
      </c>
      <c r="AA161" s="256">
        <f t="shared" si="179"/>
        <v>100</v>
      </c>
      <c r="AB161" s="256">
        <f t="shared" si="179"/>
        <v>100</v>
      </c>
      <c r="AC161" s="256">
        <f t="shared" si="179"/>
        <v>100</v>
      </c>
      <c r="AD161" s="256">
        <f t="shared" si="179"/>
        <v>100</v>
      </c>
      <c r="AE161" s="256">
        <f t="shared" si="179"/>
        <v>100</v>
      </c>
      <c r="AF161" s="256">
        <f t="shared" si="179"/>
        <v>100</v>
      </c>
      <c r="AG161" s="256">
        <f t="shared" si="179"/>
        <v>100</v>
      </c>
      <c r="AH161" s="256">
        <f t="shared" si="179"/>
        <v>100</v>
      </c>
      <c r="AI161" s="256">
        <f t="shared" si="179"/>
        <v>100</v>
      </c>
      <c r="AJ161" s="256">
        <f t="shared" si="179"/>
        <v>100</v>
      </c>
      <c r="AK161" s="256">
        <f t="shared" si="179"/>
        <v>100</v>
      </c>
      <c r="AL161" s="256">
        <f t="shared" si="179"/>
        <v>100</v>
      </c>
      <c r="AM161" s="426"/>
      <c r="AN161" s="426"/>
      <c r="AO161" s="731"/>
      <c r="AP161" s="731"/>
      <c r="AQ161" s="731"/>
      <c r="AR161" s="731"/>
      <c r="AS161" s="731"/>
      <c r="AT161" s="731"/>
      <c r="AU161" s="731"/>
      <c r="AV161" s="731"/>
    </row>
    <row r="162" spans="1:48">
      <c r="A162" s="426"/>
      <c r="B162" s="426" t="s">
        <v>655</v>
      </c>
      <c r="C162" s="410" t="s">
        <v>180</v>
      </c>
      <c r="D162" s="610">
        <v>12865</v>
      </c>
      <c r="E162" s="610">
        <v>12866</v>
      </c>
      <c r="F162" s="610">
        <v>12867</v>
      </c>
      <c r="G162" s="610">
        <v>12867</v>
      </c>
      <c r="H162" s="610">
        <v>12723</v>
      </c>
      <c r="I162" s="610">
        <v>12513</v>
      </c>
      <c r="J162" s="610">
        <v>12443</v>
      </c>
      <c r="K162" s="610">
        <v>12443</v>
      </c>
      <c r="L162" s="610">
        <v>12443</v>
      </c>
      <c r="M162" s="610">
        <v>12443</v>
      </c>
      <c r="N162" s="610">
        <v>12443</v>
      </c>
      <c r="O162" s="610">
        <v>12443</v>
      </c>
      <c r="P162" s="610">
        <v>12443</v>
      </c>
      <c r="Q162" s="610">
        <v>12443</v>
      </c>
      <c r="R162" s="610">
        <v>12443</v>
      </c>
      <c r="S162" s="610">
        <v>12284</v>
      </c>
      <c r="T162" s="248">
        <f>S162</f>
        <v>12284</v>
      </c>
      <c r="U162" s="610">
        <v>11893</v>
      </c>
      <c r="V162" s="248">
        <f>U162</f>
        <v>11893</v>
      </c>
      <c r="W162" s="248">
        <f>V162</f>
        <v>11893</v>
      </c>
      <c r="X162" s="248">
        <f>W162</f>
        <v>11893</v>
      </c>
      <c r="Y162" s="248">
        <f>X162</f>
        <v>11893</v>
      </c>
      <c r="Z162" s="610">
        <v>11554</v>
      </c>
      <c r="AA162" s="610">
        <v>11554</v>
      </c>
      <c r="AB162" s="610">
        <v>11553</v>
      </c>
      <c r="AC162" s="610">
        <v>11524</v>
      </c>
      <c r="AD162" s="248">
        <f>AC162+('Cash Flow Statement'!AD43/4)</f>
        <v>11274</v>
      </c>
      <c r="AE162" s="248">
        <f t="shared" ref="AE162:AL162" si="180">AD162</f>
        <v>11274</v>
      </c>
      <c r="AF162" s="248">
        <f t="shared" si="180"/>
        <v>11274</v>
      </c>
      <c r="AG162" s="248">
        <f t="shared" si="180"/>
        <v>11274</v>
      </c>
      <c r="AH162" s="248">
        <f t="shared" si="180"/>
        <v>11274</v>
      </c>
      <c r="AI162" s="248">
        <f t="shared" si="180"/>
        <v>11274</v>
      </c>
      <c r="AJ162" s="248">
        <f t="shared" si="180"/>
        <v>11274</v>
      </c>
      <c r="AK162" s="248">
        <f t="shared" si="180"/>
        <v>11274</v>
      </c>
      <c r="AL162" s="248">
        <f t="shared" si="180"/>
        <v>11274</v>
      </c>
      <c r="AM162" s="426"/>
      <c r="AN162" s="426"/>
      <c r="AO162" s="731"/>
      <c r="AP162" s="731"/>
      <c r="AQ162" s="731"/>
      <c r="AR162" s="731"/>
      <c r="AS162" s="731"/>
      <c r="AT162" s="731"/>
      <c r="AU162" s="731"/>
      <c r="AV162" s="731"/>
    </row>
    <row r="163" spans="1:48">
      <c r="A163" s="426"/>
      <c r="B163" s="426" t="s">
        <v>894</v>
      </c>
      <c r="C163" s="410" t="s">
        <v>180</v>
      </c>
      <c r="D163" s="252">
        <f t="shared" ref="D163:O163" si="181">D164-D162</f>
        <v>0</v>
      </c>
      <c r="E163" s="252">
        <f t="shared" si="181"/>
        <v>0</v>
      </c>
      <c r="F163" s="252">
        <f t="shared" si="181"/>
        <v>0</v>
      </c>
      <c r="G163" s="252">
        <f t="shared" si="181"/>
        <v>0</v>
      </c>
      <c r="H163" s="252">
        <f t="shared" si="181"/>
        <v>0</v>
      </c>
      <c r="I163" s="252">
        <f t="shared" si="181"/>
        <v>0</v>
      </c>
      <c r="J163" s="252">
        <f t="shared" si="181"/>
        <v>-77</v>
      </c>
      <c r="K163" s="252">
        <f t="shared" si="181"/>
        <v>-68</v>
      </c>
      <c r="L163" s="247">
        <f t="shared" si="181"/>
        <v>-78</v>
      </c>
      <c r="M163" s="247">
        <f t="shared" si="181"/>
        <v>-75</v>
      </c>
      <c r="N163" s="247">
        <f t="shared" si="181"/>
        <v>-70</v>
      </c>
      <c r="O163" s="247">
        <f t="shared" si="181"/>
        <v>-61</v>
      </c>
      <c r="P163" s="610">
        <v>-45</v>
      </c>
      <c r="Q163" s="610">
        <v>-37</v>
      </c>
      <c r="R163" s="610">
        <v>-25</v>
      </c>
      <c r="S163" s="610">
        <v>-20</v>
      </c>
      <c r="T163" s="248"/>
      <c r="U163" s="248"/>
      <c r="V163" s="248"/>
      <c r="W163" s="248"/>
      <c r="X163" s="248"/>
      <c r="Y163" s="248"/>
      <c r="Z163" s="248"/>
      <c r="AA163" s="248"/>
      <c r="AB163" s="248"/>
      <c r="AC163" s="248"/>
      <c r="AD163" s="248"/>
      <c r="AE163" s="248"/>
      <c r="AF163" s="248"/>
      <c r="AG163" s="248"/>
      <c r="AH163" s="248"/>
      <c r="AI163" s="248"/>
      <c r="AJ163" s="248"/>
      <c r="AK163" s="248"/>
      <c r="AL163" s="248"/>
      <c r="AM163" s="426"/>
      <c r="AN163" s="426"/>
      <c r="AO163" s="731"/>
      <c r="AP163" s="731"/>
      <c r="AQ163" s="731"/>
      <c r="AR163" s="731"/>
      <c r="AS163" s="731"/>
      <c r="AT163" s="731"/>
      <c r="AU163" s="731"/>
      <c r="AV163" s="731"/>
    </row>
    <row r="164" spans="1:48">
      <c r="A164" s="426"/>
      <c r="B164" s="426" t="s">
        <v>529</v>
      </c>
      <c r="C164" s="410" t="s">
        <v>180</v>
      </c>
      <c r="D164" s="610">
        <v>12865</v>
      </c>
      <c r="E164" s="610">
        <v>12866</v>
      </c>
      <c r="F164" s="610">
        <v>12867</v>
      </c>
      <c r="G164" s="610">
        <v>12867</v>
      </c>
      <c r="H164" s="610">
        <v>12723</v>
      </c>
      <c r="I164" s="610">
        <v>12513</v>
      </c>
      <c r="J164" s="610">
        <v>12366</v>
      </c>
      <c r="K164" s="610">
        <v>12375</v>
      </c>
      <c r="L164" s="610">
        <v>12365</v>
      </c>
      <c r="M164" s="610">
        <v>12368</v>
      </c>
      <c r="N164" s="610">
        <v>12373</v>
      </c>
      <c r="O164" s="610">
        <v>12382</v>
      </c>
      <c r="P164" s="610">
        <v>12398</v>
      </c>
      <c r="Q164" s="247">
        <f>Q162+Q163</f>
        <v>12406</v>
      </c>
      <c r="R164" s="610">
        <v>12418</v>
      </c>
      <c r="S164" s="610">
        <v>12264</v>
      </c>
      <c r="T164" s="610">
        <v>12202</v>
      </c>
      <c r="U164" s="610">
        <v>11968</v>
      </c>
      <c r="V164" s="610">
        <v>11880</v>
      </c>
      <c r="W164" s="610">
        <v>11880</v>
      </c>
      <c r="X164" s="610">
        <v>11880</v>
      </c>
      <c r="Y164" s="610">
        <v>11875</v>
      </c>
      <c r="Z164" s="610">
        <v>11755</v>
      </c>
      <c r="AA164" s="610">
        <v>11543</v>
      </c>
      <c r="AB164" s="610">
        <v>11543</v>
      </c>
      <c r="AC164" s="610">
        <v>11514</v>
      </c>
      <c r="AD164" s="248">
        <v>11254.9</v>
      </c>
      <c r="AE164" s="248">
        <f>AD164+('Cash Flow Statement'!AE43/4.9)</f>
        <v>11203.879591836734</v>
      </c>
      <c r="AF164" s="248">
        <f t="shared" ref="AF164:AL164" si="182">AE164</f>
        <v>11203.879591836734</v>
      </c>
      <c r="AG164" s="248">
        <f t="shared" si="182"/>
        <v>11203.879591836734</v>
      </c>
      <c r="AH164" s="248">
        <f t="shared" si="182"/>
        <v>11203.879591836734</v>
      </c>
      <c r="AI164" s="248">
        <f t="shared" si="182"/>
        <v>11203.879591836734</v>
      </c>
      <c r="AJ164" s="248">
        <f t="shared" si="182"/>
        <v>11203.879591836734</v>
      </c>
      <c r="AK164" s="248">
        <f t="shared" si="182"/>
        <v>11203.879591836734</v>
      </c>
      <c r="AL164" s="248">
        <f t="shared" si="182"/>
        <v>11203.879591836734</v>
      </c>
      <c r="AM164" s="426"/>
      <c r="AN164" s="426"/>
      <c r="AO164" s="731"/>
      <c r="AP164" s="731"/>
      <c r="AQ164" s="731"/>
      <c r="AR164" s="731"/>
      <c r="AS164" s="731"/>
      <c r="AT164" s="731"/>
      <c r="AU164" s="731"/>
      <c r="AV164" s="731"/>
    </row>
    <row r="165" spans="1:48">
      <c r="A165" s="426"/>
      <c r="B165" s="426" t="s">
        <v>530</v>
      </c>
      <c r="C165" s="410" t="s">
        <v>180</v>
      </c>
      <c r="D165" s="252">
        <f t="shared" ref="D165:O165" si="183">D166-D164</f>
        <v>0</v>
      </c>
      <c r="E165" s="252">
        <f t="shared" si="183"/>
        <v>0</v>
      </c>
      <c r="F165" s="252">
        <f t="shared" si="183"/>
        <v>0</v>
      </c>
      <c r="G165" s="252">
        <f t="shared" si="183"/>
        <v>0</v>
      </c>
      <c r="H165" s="252">
        <f t="shared" si="183"/>
        <v>0</v>
      </c>
      <c r="I165" s="252">
        <f t="shared" si="183"/>
        <v>0</v>
      </c>
      <c r="J165" s="252">
        <f t="shared" si="183"/>
        <v>35</v>
      </c>
      <c r="K165" s="252">
        <f t="shared" si="183"/>
        <v>32</v>
      </c>
      <c r="L165" s="252">
        <f t="shared" si="183"/>
        <v>34</v>
      </c>
      <c r="M165" s="252">
        <f t="shared" si="183"/>
        <v>28</v>
      </c>
      <c r="N165" s="252">
        <f t="shared" si="183"/>
        <v>24</v>
      </c>
      <c r="O165" s="252">
        <f t="shared" si="183"/>
        <v>15</v>
      </c>
      <c r="P165" s="610">
        <v>8</v>
      </c>
      <c r="Q165" s="610">
        <v>38</v>
      </c>
      <c r="R165" s="247">
        <f>R166-R164</f>
        <v>27</v>
      </c>
      <c r="S165" s="610">
        <v>16</v>
      </c>
      <c r="T165" s="610">
        <v>14</v>
      </c>
      <c r="U165" s="610">
        <v>11</v>
      </c>
      <c r="V165" s="248">
        <f t="shared" ref="V165:AK165" si="184">V166-V164</f>
        <v>4</v>
      </c>
      <c r="W165" s="248">
        <f t="shared" si="184"/>
        <v>20</v>
      </c>
      <c r="X165" s="248">
        <f t="shared" si="184"/>
        <v>15</v>
      </c>
      <c r="Y165" s="248">
        <f t="shared" si="184"/>
        <v>17</v>
      </c>
      <c r="Z165" s="248">
        <f t="shared" si="184"/>
        <v>9</v>
      </c>
      <c r="AA165" s="248">
        <f t="shared" si="184"/>
        <v>11</v>
      </c>
      <c r="AB165" s="248">
        <f t="shared" si="184"/>
        <v>10</v>
      </c>
      <c r="AC165" s="248">
        <f t="shared" ref="AC165" si="185">AC166-AC164</f>
        <v>10</v>
      </c>
      <c r="AD165" s="248">
        <f t="shared" si="184"/>
        <v>0</v>
      </c>
      <c r="AE165" s="248">
        <f t="shared" si="184"/>
        <v>51.020408163265529</v>
      </c>
      <c r="AF165" s="248">
        <f t="shared" si="184"/>
        <v>51.020408163265529</v>
      </c>
      <c r="AG165" s="248">
        <f t="shared" si="184"/>
        <v>51.020408163265529</v>
      </c>
      <c r="AH165" s="248">
        <f t="shared" si="184"/>
        <v>51.020408163265529</v>
      </c>
      <c r="AI165" s="248">
        <f t="shared" si="184"/>
        <v>51.020408163265529</v>
      </c>
      <c r="AJ165" s="248">
        <f t="shared" si="184"/>
        <v>51.020408163265529</v>
      </c>
      <c r="AK165" s="248">
        <f t="shared" si="184"/>
        <v>51.020408163265529</v>
      </c>
      <c r="AL165" s="248">
        <f t="shared" ref="AL165" si="186">AL166-AL164</f>
        <v>51.020408163265529</v>
      </c>
      <c r="AM165" s="426"/>
      <c r="AN165" s="426"/>
      <c r="AO165" s="731"/>
      <c r="AP165" s="731"/>
      <c r="AQ165" s="731"/>
      <c r="AR165" s="731"/>
      <c r="AS165" s="731"/>
      <c r="AT165" s="731"/>
      <c r="AU165" s="731"/>
      <c r="AV165" s="731"/>
    </row>
    <row r="166" spans="1:48">
      <c r="A166" s="426"/>
      <c r="B166" s="426" t="s">
        <v>531</v>
      </c>
      <c r="C166" s="410" t="s">
        <v>180</v>
      </c>
      <c r="D166" s="610">
        <v>12865</v>
      </c>
      <c r="E166" s="610">
        <v>12866</v>
      </c>
      <c r="F166" s="610">
        <v>12867</v>
      </c>
      <c r="G166" s="610">
        <v>12867</v>
      </c>
      <c r="H166" s="610">
        <v>12723</v>
      </c>
      <c r="I166" s="610">
        <v>12513</v>
      </c>
      <c r="J166" s="610">
        <v>12401</v>
      </c>
      <c r="K166" s="610">
        <v>12407</v>
      </c>
      <c r="L166" s="610">
        <v>12399</v>
      </c>
      <c r="M166" s="610">
        <v>12396</v>
      </c>
      <c r="N166" s="610">
        <v>12397</v>
      </c>
      <c r="O166" s="610">
        <v>12397</v>
      </c>
      <c r="P166" s="610">
        <v>12406</v>
      </c>
      <c r="Q166" s="247">
        <f>Q164+Q165</f>
        <v>12444</v>
      </c>
      <c r="R166" s="610">
        <v>12445</v>
      </c>
      <c r="S166" s="610">
        <v>12280</v>
      </c>
      <c r="T166" s="610">
        <v>12216</v>
      </c>
      <c r="U166" s="610">
        <v>11979</v>
      </c>
      <c r="V166" s="610">
        <v>11884</v>
      </c>
      <c r="W166" s="610">
        <v>11900</v>
      </c>
      <c r="X166" s="610">
        <v>11895</v>
      </c>
      <c r="Y166" s="610">
        <v>11892</v>
      </c>
      <c r="Z166" s="610">
        <v>11764</v>
      </c>
      <c r="AA166" s="610">
        <v>11554</v>
      </c>
      <c r="AB166" s="610">
        <v>11553</v>
      </c>
      <c r="AC166" s="610">
        <v>11524</v>
      </c>
      <c r="AD166" s="248">
        <f>AD164</f>
        <v>11254.9</v>
      </c>
      <c r="AE166" s="248">
        <f t="shared" ref="AE166:AL166" si="187">AD166</f>
        <v>11254.9</v>
      </c>
      <c r="AF166" s="248">
        <f t="shared" si="187"/>
        <v>11254.9</v>
      </c>
      <c r="AG166" s="248">
        <f t="shared" si="187"/>
        <v>11254.9</v>
      </c>
      <c r="AH166" s="248">
        <f t="shared" si="187"/>
        <v>11254.9</v>
      </c>
      <c r="AI166" s="248">
        <f t="shared" si="187"/>
        <v>11254.9</v>
      </c>
      <c r="AJ166" s="248">
        <f t="shared" si="187"/>
        <v>11254.9</v>
      </c>
      <c r="AK166" s="248">
        <f t="shared" si="187"/>
        <v>11254.9</v>
      </c>
      <c r="AL166" s="248">
        <f t="shared" si="187"/>
        <v>11254.9</v>
      </c>
      <c r="AM166" s="426"/>
      <c r="AN166" s="426"/>
      <c r="AO166" s="731"/>
      <c r="AP166" s="731"/>
      <c r="AQ166" s="731"/>
      <c r="AR166" s="731"/>
      <c r="AS166" s="731"/>
      <c r="AT166" s="731"/>
      <c r="AU166" s="731"/>
      <c r="AV166" s="731"/>
    </row>
    <row r="167" spans="1:48">
      <c r="A167" s="426"/>
      <c r="B167" s="1089" t="s">
        <v>513</v>
      </c>
      <c r="C167" s="444" t="s">
        <v>732</v>
      </c>
      <c r="D167" s="1090"/>
      <c r="E167" s="1092"/>
      <c r="F167" s="1092"/>
      <c r="G167" s="1092"/>
      <c r="H167" s="1092"/>
      <c r="I167" s="1092"/>
      <c r="J167" s="1092"/>
      <c r="K167" s="1093">
        <f>'Cash Flow Statement'!K48</f>
        <v>-3479</v>
      </c>
      <c r="L167" s="451">
        <f>'Cash Flow Statement'!L48</f>
        <v>-3498</v>
      </c>
      <c r="M167" s="451">
        <f>'Cash Flow Statement'!M48</f>
        <v>-3517</v>
      </c>
      <c r="N167" s="451">
        <f>'Cash Flow Statement'!N48</f>
        <v>-3494</v>
      </c>
      <c r="O167" s="451">
        <f>'Cash Flow Statement'!O48</f>
        <v>-3489</v>
      </c>
      <c r="P167" s="247">
        <f>-('Cost + BS Assumptions'!P157/100)*'Cost + BS Assumptions'!P164</f>
        <v>-3471.4400000000005</v>
      </c>
      <c r="Q167" s="247">
        <f>-('Cost + BS Assumptions'!Q157/100)*'Cost + BS Assumptions'!Q164</f>
        <v>-3473.6800000000003</v>
      </c>
      <c r="R167" s="247">
        <f>-('Cost + BS Assumptions'!R157/100)*'Cost + BS Assumptions'!R164</f>
        <v>-3663.31</v>
      </c>
      <c r="S167" s="247">
        <f>-('Cost + BS Assumptions'!S157/100)*'Cost + BS Assumptions'!S164</f>
        <v>-3740.52</v>
      </c>
      <c r="T167" s="279">
        <f>-('Cost + BS Assumptions'!T157/100)*'Cost + BS Assumptions'!T164</f>
        <v>-3782.62</v>
      </c>
      <c r="U167" s="279">
        <f>-('Cost + BS Assumptions'!U157/100)*'Cost + BS Assumptions'!U164</f>
        <v>-3710.08</v>
      </c>
      <c r="V167" s="279">
        <f>-('Cost + BS Assumptions'!V157/100)*'Cost + BS Assumptions'!V164</f>
        <v>-2613.6</v>
      </c>
      <c r="W167" s="279">
        <f>-('Cost + BS Assumptions'!W157/100)*'Cost + BS Assumptions'!W164</f>
        <v>-1900.8</v>
      </c>
      <c r="X167" s="279">
        <f>-('Cost + BS Assumptions'!X157/100)*'Cost + BS Assumptions'!X164</f>
        <v>-1900.8</v>
      </c>
      <c r="Y167" s="279">
        <f>-('Cost + BS Assumptions'!Y157/100)*'Cost + BS Assumptions'!Y164</f>
        <v>-1900</v>
      </c>
      <c r="Z167" s="279">
        <f>-('Cost + BS Assumptions'!Z157/100)*'Cost + BS Assumptions'!Z164</f>
        <v>-1939.575</v>
      </c>
      <c r="AA167" s="279">
        <f>-('Cost + BS Assumptions'!AA157/100)*'Cost + BS Assumptions'!AA164</f>
        <v>-1962.3100000000002</v>
      </c>
      <c r="AB167" s="279">
        <f>-('Cost + BS Assumptions'!AB157/100)*'Cost + BS Assumptions'!AB164</f>
        <v>-2077.7399999999998</v>
      </c>
      <c r="AC167" s="279">
        <f>-('Cost + BS Assumptions'!AC157/100)*'Cost + BS Assumptions'!AC164</f>
        <v>-2187.66</v>
      </c>
      <c r="AD167" s="279">
        <f>-('Cost + BS Assumptions'!AD157/100)*'Cost + BS Assumptions'!AD164</f>
        <v>-2363.529</v>
      </c>
      <c r="AE167" s="279">
        <f>-('Cost + BS Assumptions'!AE157/100)*'Cost + BS Assumptions'!AE164</f>
        <v>-2464.8535102040814</v>
      </c>
      <c r="AF167" s="279">
        <f>-('Cost + BS Assumptions'!AF157/100)*'Cost + BS Assumptions'!AF164</f>
        <v>-2576.8923061224491</v>
      </c>
      <c r="AG167" s="279">
        <f>-('Cost + BS Assumptions'!AG157/100)*'Cost + BS Assumptions'!AG164</f>
        <v>-2688.9311020408163</v>
      </c>
      <c r="AH167" s="279">
        <f>-('Cost + BS Assumptions'!AH157/100)*'Cost + BS Assumptions'!AH164</f>
        <v>-2800.9698979591835</v>
      </c>
      <c r="AI167" s="279">
        <f>-('Cost + BS Assumptions'!AI157/100)*'Cost + BS Assumptions'!AI164</f>
        <v>-2913.0086938775507</v>
      </c>
      <c r="AJ167" s="279">
        <f>-('Cost + BS Assumptions'!AJ157/100)*'Cost + BS Assumptions'!AJ164</f>
        <v>-3025.0474897959184</v>
      </c>
      <c r="AK167" s="279">
        <f>-('Cost + BS Assumptions'!AK157/100)*'Cost + BS Assumptions'!AK164</f>
        <v>-3137.0862857142856</v>
      </c>
      <c r="AL167" s="279">
        <f>-('Cost + BS Assumptions'!AL157/100)*'Cost + BS Assumptions'!AL164</f>
        <v>-3249.1250816326528</v>
      </c>
      <c r="AM167" s="426"/>
      <c r="AN167" s="426"/>
      <c r="AO167" s="731"/>
      <c r="AP167" s="731"/>
      <c r="AQ167" s="731"/>
      <c r="AR167" s="731"/>
      <c r="AS167" s="731"/>
      <c r="AT167" s="731"/>
      <c r="AU167" s="731"/>
      <c r="AV167" s="731"/>
    </row>
    <row r="168" spans="1:48">
      <c r="A168" s="426"/>
      <c r="B168" s="1089"/>
      <c r="C168" s="444"/>
      <c r="D168" s="1090"/>
      <c r="E168" s="1092"/>
      <c r="F168" s="1092"/>
      <c r="G168" s="1092"/>
      <c r="H168" s="1092"/>
      <c r="I168" s="1092"/>
      <c r="J168" s="1092"/>
      <c r="K168" s="1093"/>
      <c r="L168" s="451"/>
      <c r="M168" s="451"/>
      <c r="N168" s="451"/>
      <c r="O168" s="451"/>
      <c r="P168" s="247"/>
      <c r="Q168" s="247"/>
      <c r="R168" s="247"/>
      <c r="S168" s="247"/>
      <c r="T168" s="279"/>
      <c r="U168" s="279"/>
      <c r="V168" s="279"/>
      <c r="W168" s="279"/>
      <c r="X168" s="279"/>
      <c r="Y168" s="279"/>
      <c r="Z168" s="279"/>
      <c r="AA168" s="279"/>
      <c r="AB168" s="279"/>
      <c r="AC168" s="279"/>
      <c r="AD168" s="279"/>
      <c r="AE168" s="279"/>
      <c r="AF168" s="279"/>
      <c r="AG168" s="279"/>
      <c r="AH168" s="279"/>
      <c r="AI168" s="279"/>
      <c r="AJ168" s="279"/>
      <c r="AK168" s="279"/>
      <c r="AL168" s="279"/>
      <c r="AM168" s="426"/>
      <c r="AN168" s="426"/>
      <c r="AO168" s="731"/>
      <c r="AP168" s="731"/>
      <c r="AQ168" s="731"/>
      <c r="AR168" s="731"/>
      <c r="AS168" s="731"/>
      <c r="AT168" s="731"/>
      <c r="AU168" s="731"/>
      <c r="AV168" s="731"/>
    </row>
    <row r="169" spans="1:48" ht="15.6">
      <c r="A169" s="299"/>
      <c r="B169" s="1083" t="s">
        <v>1486</v>
      </c>
      <c r="C169" s="443"/>
      <c r="D169" s="270"/>
      <c r="E169" s="270"/>
      <c r="F169" s="270"/>
      <c r="G169" s="270"/>
      <c r="H169" s="270"/>
      <c r="I169" s="270"/>
      <c r="J169" s="270"/>
      <c r="K169" s="270"/>
      <c r="L169" s="270"/>
      <c r="M169" s="270"/>
      <c r="N169" s="270"/>
      <c r="O169" s="270"/>
      <c r="P169" s="270"/>
      <c r="Q169" s="270"/>
      <c r="R169" s="270"/>
      <c r="S169" s="270"/>
      <c r="T169" s="270"/>
      <c r="U169" s="270"/>
      <c r="V169" s="270"/>
      <c r="W169" s="270"/>
      <c r="X169" s="270"/>
      <c r="Y169" s="270"/>
      <c r="Z169" s="270"/>
      <c r="AA169" s="270"/>
      <c r="AB169" s="270"/>
      <c r="AC169" s="270"/>
      <c r="AD169" s="270"/>
      <c r="AE169" s="270"/>
      <c r="AF169" s="270"/>
      <c r="AG169" s="270"/>
      <c r="AH169" s="270"/>
      <c r="AI169" s="270"/>
      <c r="AJ169" s="270"/>
      <c r="AK169" s="270"/>
      <c r="AL169" s="270"/>
      <c r="AM169" s="426"/>
      <c r="AN169" s="426"/>
      <c r="AO169" s="731"/>
      <c r="AP169" s="731"/>
      <c r="AQ169" s="731"/>
      <c r="AR169" s="731"/>
      <c r="AS169" s="731"/>
      <c r="AT169" s="731"/>
      <c r="AU169" s="731"/>
      <c r="AV169" s="731"/>
    </row>
    <row r="170" spans="1:48">
      <c r="A170" s="426"/>
      <c r="B170" s="1094"/>
      <c r="C170" s="301"/>
      <c r="D170" s="409"/>
      <c r="E170" s="409"/>
      <c r="F170" s="409"/>
      <c r="G170" s="409"/>
      <c r="H170" s="409"/>
      <c r="I170" s="409"/>
      <c r="J170" s="409"/>
      <c r="K170" s="409"/>
      <c r="L170" s="409"/>
      <c r="M170" s="409"/>
      <c r="N170" s="409"/>
      <c r="O170" s="409"/>
      <c r="P170" s="409"/>
      <c r="Q170" s="409"/>
      <c r="R170" s="409"/>
      <c r="S170" s="409"/>
      <c r="T170" s="409"/>
      <c r="U170" s="409"/>
      <c r="V170" s="409"/>
      <c r="W170" s="409"/>
      <c r="X170" s="409"/>
      <c r="Y170" s="409"/>
      <c r="Z170" s="409"/>
      <c r="AA170" s="409"/>
      <c r="AB170" s="409"/>
      <c r="AC170" s="409"/>
      <c r="AD170" s="409">
        <f t="shared" ref="AD170:AK170" si="188">AD179</f>
        <v>-2.9377566532086803</v>
      </c>
      <c r="AE170" s="409">
        <f t="shared" si="188"/>
        <v>11.626527722428818</v>
      </c>
      <c r="AF170" s="409">
        <f t="shared" si="188"/>
        <v>12.457952985412248</v>
      </c>
      <c r="AG170" s="409">
        <f t="shared" si="188"/>
        <v>13.449094606645531</v>
      </c>
      <c r="AH170" s="409">
        <f t="shared" si="188"/>
        <v>18.412190985310417</v>
      </c>
      <c r="AI170" s="409">
        <f t="shared" si="188"/>
        <v>20.052882767651795</v>
      </c>
      <c r="AJ170" s="409">
        <f t="shared" si="188"/>
        <v>21.96078871040072</v>
      </c>
      <c r="AK170" s="409">
        <f t="shared" si="188"/>
        <v>24.182530551608352</v>
      </c>
      <c r="AL170" s="409">
        <f t="shared" ref="AL170" si="189">AL179</f>
        <v>25.839281632827465</v>
      </c>
      <c r="AM170" s="426"/>
      <c r="AN170" s="426"/>
      <c r="AO170" s="731"/>
      <c r="AP170" s="731"/>
      <c r="AQ170" s="731"/>
      <c r="AR170" s="731"/>
      <c r="AS170" s="731"/>
      <c r="AT170" s="731"/>
      <c r="AU170" s="731"/>
      <c r="AV170" s="731"/>
    </row>
    <row r="171" spans="1:48">
      <c r="A171" s="426"/>
      <c r="B171" s="426" t="s">
        <v>533</v>
      </c>
      <c r="C171" s="301"/>
      <c r="D171" s="409"/>
      <c r="E171" s="409"/>
      <c r="F171" s="409"/>
      <c r="G171" s="409"/>
      <c r="H171" s="409"/>
      <c r="I171" s="409"/>
      <c r="J171" s="409"/>
      <c r="K171" s="409"/>
      <c r="L171" s="409"/>
      <c r="M171" s="409"/>
      <c r="N171" s="409"/>
      <c r="O171" s="409"/>
      <c r="P171" s="409"/>
      <c r="Q171" s="409"/>
      <c r="R171" s="409"/>
      <c r="S171" s="409"/>
      <c r="T171" s="409"/>
      <c r="U171" s="409"/>
      <c r="V171" s="409"/>
      <c r="W171" s="409"/>
      <c r="X171" s="409"/>
      <c r="Y171" s="409"/>
      <c r="Z171" s="409"/>
      <c r="AA171" s="409"/>
      <c r="AB171" s="409"/>
      <c r="AC171" s="409"/>
      <c r="AD171" s="409"/>
      <c r="AE171" s="409"/>
      <c r="AF171" s="409"/>
      <c r="AG171" s="409"/>
      <c r="AH171" s="409"/>
      <c r="AI171" s="409"/>
      <c r="AJ171" s="409"/>
      <c r="AK171" s="409"/>
      <c r="AL171" s="409"/>
      <c r="AM171" s="426"/>
      <c r="AN171" s="426"/>
      <c r="AO171" s="731"/>
      <c r="AP171" s="731"/>
      <c r="AQ171" s="731"/>
      <c r="AR171" s="731"/>
      <c r="AS171" s="731"/>
      <c r="AT171" s="731"/>
      <c r="AU171" s="731"/>
      <c r="AV171" s="731"/>
    </row>
    <row r="172" spans="1:48">
      <c r="A172" s="426"/>
      <c r="B172" s="426" t="s">
        <v>534</v>
      </c>
      <c r="C172" s="298" t="s">
        <v>535</v>
      </c>
      <c r="D172" s="158">
        <f>AVERAGE('Balance Sheet'!D10:D10)/'P&amp;L'!D168*365</f>
        <v>70.356010532538008</v>
      </c>
      <c r="E172" s="158">
        <f>AVERAGE('Balance Sheet'!D10:E10)/'P&amp;L'!E168*365</f>
        <v>74.046823601973685</v>
      </c>
      <c r="F172" s="158">
        <f>AVERAGE('Balance Sheet'!E10:F10)/'P&amp;L'!F168*365</f>
        <v>75.631281873545575</v>
      </c>
      <c r="G172" s="158">
        <f>AVERAGE('Balance Sheet'!F10:G10)/'P&amp;L'!G168*365</f>
        <v>68.79121687929343</v>
      </c>
      <c r="H172" s="158">
        <f>AVERAGE('Balance Sheet'!G10:H10)/'P&amp;L'!H168*365</f>
        <v>64.738992784567813</v>
      </c>
      <c r="I172" s="158">
        <f>AVERAGE('Balance Sheet'!H10:I10)/'P&amp;L'!I168*365</f>
        <v>58.939240106493394</v>
      </c>
      <c r="J172" s="158">
        <f>AVERAGE('Balance Sheet'!I10:J10)/'P&amp;L'!J168*365</f>
        <v>58.417356463543506</v>
      </c>
      <c r="K172" s="158">
        <f>AVERAGE('Balance Sheet'!J10:K10)/'P&amp;L'!K168*365</f>
        <v>58.389515481772484</v>
      </c>
      <c r="L172" s="248">
        <f>AVERAGE('Balance Sheet'!K10:L10)/'P&amp;L'!L168*365</f>
        <v>57.785967722970057</v>
      </c>
      <c r="M172" s="248">
        <f>AVERAGE('Balance Sheet'!L10:M10)/'P&amp;L'!M168*365</f>
        <v>57.4784401827864</v>
      </c>
      <c r="N172" s="248">
        <f>AVERAGE('Balance Sheet'!M10:N10)/'P&amp;L'!N168*365</f>
        <v>58.989951794232915</v>
      </c>
      <c r="O172" s="248">
        <f>AVERAGE('Balance Sheet'!N10:O10)/'P&amp;L'!O168*365</f>
        <v>59.301799132648142</v>
      </c>
      <c r="P172" s="248">
        <f>AVERAGE('Balance Sheet'!O10:P10)/'P&amp;L'!P168*365</f>
        <v>61.356955875802861</v>
      </c>
      <c r="Q172" s="248">
        <f>AVERAGE('Balance Sheet'!P10:Q10)/'P&amp;L'!Q168*365</f>
        <v>63.743300614366802</v>
      </c>
      <c r="R172" s="248">
        <f>AVERAGE('Balance Sheet'!Q10:R10)/'P&amp;L'!R168*365</f>
        <v>63.712241710198256</v>
      </c>
      <c r="S172" s="248">
        <f>AVERAGE('Balance Sheet'!R10:S10)/'P&amp;L'!S168*365</f>
        <v>64.013768383029387</v>
      </c>
      <c r="T172" s="248">
        <f>AVERAGE('Balance Sheet'!S10:T10)/'P&amp;L'!T168*365</f>
        <v>66.847914479532051</v>
      </c>
      <c r="U172" s="248">
        <f>AVERAGE('Balance Sheet'!T10:U10)/'P&amp;L'!U168*365</f>
        <v>71.91893472440384</v>
      </c>
      <c r="V172" s="248">
        <f>AVERAGE('Balance Sheet'!U10:V10)/'P&amp;L'!V21*365</f>
        <v>69.403280052702755</v>
      </c>
      <c r="W172" s="248">
        <f>AVERAGE('Balance Sheet'!V10:W10)/'P&amp;L'!W21*365</f>
        <v>71.485237530118312</v>
      </c>
      <c r="X172" s="248">
        <f>AVERAGE('Balance Sheet'!W10:X10)/'P&amp;L'!X21*365</f>
        <v>73.972413926051587</v>
      </c>
      <c r="Y172" s="248">
        <f>AVERAGE('Balance Sheet'!X10:Y10)/'P&amp;L'!Y21*365</f>
        <v>76.512407055161674</v>
      </c>
      <c r="Z172" s="248">
        <f>AVERAGE('Balance Sheet'!Y10:Z10)/'P&amp;L'!Z21*365</f>
        <v>71.617486958493984</v>
      </c>
      <c r="AA172" s="248">
        <f>AVERAGE('Balance Sheet'!Z10:AA10)/'P&amp;L'!AA21*365</f>
        <v>65.086013296598551</v>
      </c>
      <c r="AB172" s="248">
        <f>AVERAGE('Balance Sheet'!AA10:AB10)/'P&amp;L'!AB21*365</f>
        <v>62.517247253215224</v>
      </c>
      <c r="AC172" s="248">
        <f>AVERAGE('Balance Sheet'!AB10:AC10)/'P&amp;L'!AC21*365</f>
        <v>58.011965268953837</v>
      </c>
      <c r="AD172" s="638">
        <f>AC172+1</f>
        <v>59.011965268953837</v>
      </c>
      <c r="AE172" s="638">
        <f t="shared" ref="AE172:AL172" si="190">AD172-1</f>
        <v>58.011965268953837</v>
      </c>
      <c r="AF172" s="638">
        <f t="shared" si="190"/>
        <v>57.011965268953837</v>
      </c>
      <c r="AG172" s="638">
        <f t="shared" si="190"/>
        <v>56.011965268953837</v>
      </c>
      <c r="AH172" s="638">
        <f t="shared" si="190"/>
        <v>55.011965268953837</v>
      </c>
      <c r="AI172" s="638">
        <f t="shared" si="190"/>
        <v>54.011965268953837</v>
      </c>
      <c r="AJ172" s="638">
        <f t="shared" si="190"/>
        <v>53.011965268953837</v>
      </c>
      <c r="AK172" s="638">
        <f t="shared" si="190"/>
        <v>52.011965268953837</v>
      </c>
      <c r="AL172" s="638">
        <f t="shared" si="190"/>
        <v>51.011965268953837</v>
      </c>
      <c r="AM172" s="426"/>
      <c r="AN172" s="426"/>
      <c r="AO172" s="731"/>
      <c r="AP172" s="731"/>
      <c r="AQ172" s="731"/>
      <c r="AR172" s="731"/>
      <c r="AS172" s="731"/>
      <c r="AT172" s="731"/>
      <c r="AU172" s="731"/>
      <c r="AV172" s="731"/>
    </row>
    <row r="173" spans="1:48">
      <c r="A173" s="426"/>
      <c r="B173" s="426" t="s">
        <v>536</v>
      </c>
      <c r="C173" s="298" t="s">
        <v>535</v>
      </c>
      <c r="D173" s="158">
        <f>AVERAGE('Balance Sheet'!D32:D32)/'P&amp;L'!D168*365</f>
        <v>49.584609597506585</v>
      </c>
      <c r="E173" s="158">
        <f>AVERAGE('Balance Sheet'!D32:E32)/'P&amp;L'!E168*365</f>
        <v>50.193128083881582</v>
      </c>
      <c r="F173" s="158">
        <f>AVERAGE('Balance Sheet'!E32:F32)/'P&amp;L'!F168*365</f>
        <v>50.466034559588053</v>
      </c>
      <c r="G173" s="158">
        <f>AVERAGE('Balance Sheet'!F32:G32)/'P&amp;L'!G168*365</f>
        <v>47.344332679097157</v>
      </c>
      <c r="H173" s="158">
        <f>AVERAGE('Balance Sheet'!G32:H32)/'P&amp;L'!H168*365</f>
        <v>43.562435576498309</v>
      </c>
      <c r="I173" s="158">
        <f>AVERAGE('Balance Sheet'!H32:I32)/'P&amp;L'!I168*365</f>
        <v>42.370041965615272</v>
      </c>
      <c r="J173" s="158">
        <f>AVERAGE('Balance Sheet'!I32:J32)/'P&amp;L'!J168*365</f>
        <v>51.241744452271924</v>
      </c>
      <c r="K173" s="158">
        <f>AVERAGE('Balance Sheet'!J32:K32)/'P&amp;L'!K168*365</f>
        <v>60.062412875427697</v>
      </c>
      <c r="L173" s="248">
        <f>AVERAGE('Balance Sheet'!K32:L32)/'P&amp;L'!L168*365</f>
        <v>60.34765187827405</v>
      </c>
      <c r="M173" s="248">
        <f>AVERAGE('Balance Sheet'!L32:M32)/'P&amp;L'!M168*365</f>
        <v>55.126362853319364</v>
      </c>
      <c r="N173" s="248">
        <f>AVERAGE('Balance Sheet'!M32:N32)/'P&amp;L'!N168*365</f>
        <v>55.731529269938008</v>
      </c>
      <c r="O173" s="248">
        <f>AVERAGE('Balance Sheet'!N32:O32)/'P&amp;L'!O168*365</f>
        <v>57.972293411763452</v>
      </c>
      <c r="P173" s="248">
        <f>AVERAGE('Balance Sheet'!O32:P32)/'P&amp;L'!P168*365</f>
        <v>59.483626679547655</v>
      </c>
      <c r="Q173" s="248">
        <f>AVERAGE('Balance Sheet'!P32:Q32)/'P&amp;L'!Q168*365</f>
        <v>59.941470599065362</v>
      </c>
      <c r="R173" s="248">
        <f>AVERAGE('Balance Sheet'!Q32:R32)/'P&amp;L'!R168*365</f>
        <v>58.938750350538534</v>
      </c>
      <c r="S173" s="248">
        <f>AVERAGE('Balance Sheet'!R32:S32)/'P&amp;L'!S168*365</f>
        <v>56.71477353985027</v>
      </c>
      <c r="T173" s="248">
        <f>AVERAGE('Balance Sheet'!S32:T32)/'P&amp;L'!T168*365</f>
        <v>56.493484926506618</v>
      </c>
      <c r="U173" s="248">
        <f>AVERAGE('Balance Sheet'!T32:U32)/'P&amp;L'!U168*365</f>
        <v>57.344867403476144</v>
      </c>
      <c r="V173" s="248">
        <f>AVERAGE('Balance Sheet'!U32:V32)/'P&amp;L'!V21*365</f>
        <v>55.159408480981931</v>
      </c>
      <c r="W173" s="248">
        <f>AVERAGE('Balance Sheet'!V32:W32)/'P&amp;L'!W21*365</f>
        <v>59.435393965548244</v>
      </c>
      <c r="X173" s="248">
        <f>AVERAGE('Balance Sheet'!W32:X32)/'P&amp;L'!X21*365</f>
        <v>59.864672090064388</v>
      </c>
      <c r="Y173" s="248">
        <f>AVERAGE('Balance Sheet'!X32:Y32)/'P&amp;L'!Y21*365</f>
        <v>61.112095798028712</v>
      </c>
      <c r="Z173" s="248">
        <f>AVERAGE('Balance Sheet'!Y32:Z32)/'P&amp;L'!Z21*365</f>
        <v>65.855636198684508</v>
      </c>
      <c r="AA173" s="248">
        <f>AVERAGE('Balance Sheet'!Z32:AA32)/'P&amp;L'!AA21*365</f>
        <v>67.158716253209164</v>
      </c>
      <c r="AB173" s="248">
        <f>AVERAGE('Balance Sheet'!AA32:AB32)/'P&amp;L'!AB21*365</f>
        <v>69.877246401499022</v>
      </c>
      <c r="AC173" s="248">
        <f>AVERAGE('Balance Sheet'!AB32:AC32)/'P&amp;L'!AC21*365</f>
        <v>68.315756035578147</v>
      </c>
      <c r="AD173" s="638">
        <f>AC173-0.35</f>
        <v>67.965756035578153</v>
      </c>
      <c r="AE173" s="638">
        <f>AD173-0.35</f>
        <v>67.615756035578158</v>
      </c>
      <c r="AF173" s="638">
        <f>AE173-0.35</f>
        <v>67.265756035578164</v>
      </c>
      <c r="AG173" s="638">
        <f>AF173-0.35</f>
        <v>66.91575603557817</v>
      </c>
      <c r="AH173" s="638">
        <f>AG173-0.3</f>
        <v>66.615756035578173</v>
      </c>
      <c r="AI173" s="638">
        <f>AH173-0.3</f>
        <v>66.315756035578175</v>
      </c>
      <c r="AJ173" s="638">
        <f>AI173-0.3</f>
        <v>66.015756035578178</v>
      </c>
      <c r="AK173" s="638">
        <f>AJ173-0.3</f>
        <v>65.715756035578181</v>
      </c>
      <c r="AL173" s="638">
        <f>AK173-0.3</f>
        <v>65.415756035578184</v>
      </c>
      <c r="AM173" s="426"/>
      <c r="AN173" s="426"/>
      <c r="AO173" s="731"/>
      <c r="AP173" s="731"/>
      <c r="AQ173" s="731"/>
      <c r="AR173" s="731"/>
      <c r="AS173" s="731"/>
      <c r="AT173" s="731"/>
      <c r="AU173" s="731"/>
      <c r="AV173" s="731"/>
    </row>
    <row r="174" spans="1:48">
      <c r="A174" s="426"/>
      <c r="B174" s="426" t="s">
        <v>895</v>
      </c>
      <c r="C174" s="298" t="s">
        <v>535</v>
      </c>
      <c r="D174" s="158">
        <f>AVERAGE('Balance Sheet'!D11:D11)/'P&amp;L'!D168*365</f>
        <v>5.7861787307216934</v>
      </c>
      <c r="E174" s="158">
        <f>AVERAGE('Balance Sheet'!D11:E11)/'P&amp;L'!E168*365</f>
        <v>5.7687859786184212</v>
      </c>
      <c r="F174" s="158">
        <f>AVERAGE('Balance Sheet'!E11:F11)/'P&amp;L'!F168*365</f>
        <v>4.7348616131108576</v>
      </c>
      <c r="G174" s="158">
        <f>AVERAGE('Balance Sheet'!F11:G11)/'P&amp;L'!G168*365</f>
        <v>4.1550539744847885</v>
      </c>
      <c r="H174" s="158">
        <f>AVERAGE('Balance Sheet'!G11:H11)/'P&amp;L'!H168*365</f>
        <v>4.3804299808570164</v>
      </c>
      <c r="I174" s="158">
        <f>AVERAGE('Balance Sheet'!H11:I11)/'P&amp;L'!I168*365</f>
        <v>3.7964216416226706</v>
      </c>
      <c r="J174" s="158">
        <f>AVERAGE('Balance Sheet'!I11:J11)/'P&amp;L'!J168*365</f>
        <v>3.6641423036280383</v>
      </c>
      <c r="K174" s="158">
        <f>AVERAGE('Balance Sheet'!J11:K11)/'P&amp;L'!K168*365</f>
        <v>4.1783888818485195</v>
      </c>
      <c r="L174" s="248">
        <f>AVERAGE('Balance Sheet'!K11:L11)/'P&amp;L'!L168*365</f>
        <v>4.6421270675595423</v>
      </c>
      <c r="M174" s="248">
        <f>AVERAGE('Balance Sheet'!L11:M11)/'P&amp;L'!M168*365</f>
        <v>3.9417075735411022</v>
      </c>
      <c r="N174" s="248">
        <f>AVERAGE('Balance Sheet'!M11:N11)/'P&amp;L'!N168*365</f>
        <v>3.9277598825586511</v>
      </c>
      <c r="O174" s="248">
        <f>AVERAGE('Balance Sheet'!N11:O11)/'P&amp;L'!O168*365</f>
        <v>4.2222764102821673</v>
      </c>
      <c r="P174" s="248">
        <f>AVERAGE('Balance Sheet'!O11:P11)/'P&amp;L'!P168*365</f>
        <v>3.9274816740022342</v>
      </c>
      <c r="Q174" s="248">
        <f>AVERAGE('Balance Sheet'!P11:Q11)/'P&amp;L'!Q168*365</f>
        <v>4.9473908485372871</v>
      </c>
      <c r="R174" s="248">
        <f>AVERAGE('Balance Sheet'!Q11:R11)/'P&amp;L'!R168*365</f>
        <v>5.7880407464987078</v>
      </c>
      <c r="S174" s="248">
        <f>AVERAGE('Balance Sheet'!R11:S11)/'P&amp;L'!S168*365</f>
        <v>6.1400814607808458</v>
      </c>
      <c r="T174" s="248">
        <f>AVERAGE('Balance Sheet'!S11:T11)/'P&amp;L'!T168*365</f>
        <v>7.4071277621642606</v>
      </c>
      <c r="U174" s="248">
        <f>AVERAGE('Balance Sheet'!T11:U11)/'P&amp;L'!U168*365</f>
        <v>10.218760935853558</v>
      </c>
      <c r="V174" s="248">
        <f>AVERAGE('Balance Sheet'!U11:V11)/'P&amp;L'!V21*365</f>
        <v>8.7639991678513223</v>
      </c>
      <c r="W174" s="248">
        <f>AVERAGE('Balance Sheet'!V11:W11)/'P&amp;L'!W21*365</f>
        <v>6.1693098859999278</v>
      </c>
      <c r="X174" s="248">
        <f>AVERAGE('Balance Sheet'!W11:X11)/'P&amp;L'!X21*365</f>
        <v>6.0934186683116787</v>
      </c>
      <c r="Y174" s="248">
        <f>AVERAGE('Balance Sheet'!X11:Y11)/'P&amp;L'!Y21*365</f>
        <v>6.3352714853882066</v>
      </c>
      <c r="Z174" s="248">
        <f>AVERAGE('Balance Sheet'!Y11:Z11)/'P&amp;L'!Z21*365</f>
        <v>7.1278067589022456</v>
      </c>
      <c r="AA174" s="248">
        <f>AVERAGE('Balance Sheet'!Z11:AA11)/'P&amp;L'!AA21*365</f>
        <v>8.0238728093032226</v>
      </c>
      <c r="AB174" s="248">
        <f>AVERAGE('Balance Sheet'!AA11:AB11)/'P&amp;L'!AB21*365</f>
        <v>8.2693126650200153</v>
      </c>
      <c r="AC174" s="248">
        <f>AVERAGE('Balance Sheet'!AB11:AC11)/'P&amp;L'!AC21*365</f>
        <v>7.7529648454044899</v>
      </c>
      <c r="AD174" s="638">
        <f t="shared" ref="AD174:AL174" si="191">AC174+0.5</f>
        <v>8.2529648454044899</v>
      </c>
      <c r="AE174" s="638">
        <f t="shared" si="191"/>
        <v>8.7529648454044899</v>
      </c>
      <c r="AF174" s="638">
        <f t="shared" si="191"/>
        <v>9.2529648454044899</v>
      </c>
      <c r="AG174" s="638">
        <f t="shared" si="191"/>
        <v>9.7529648454044899</v>
      </c>
      <c r="AH174" s="638">
        <f t="shared" si="191"/>
        <v>10.25296484540449</v>
      </c>
      <c r="AI174" s="638">
        <f t="shared" si="191"/>
        <v>10.75296484540449</v>
      </c>
      <c r="AJ174" s="638">
        <f t="shared" si="191"/>
        <v>11.25296484540449</v>
      </c>
      <c r="AK174" s="638">
        <f t="shared" si="191"/>
        <v>11.75296484540449</v>
      </c>
      <c r="AL174" s="638">
        <f t="shared" si="191"/>
        <v>12.25296484540449</v>
      </c>
      <c r="AM174" s="426"/>
      <c r="AN174" s="426"/>
      <c r="AO174" s="731"/>
      <c r="AP174" s="731"/>
      <c r="AQ174" s="731"/>
      <c r="AR174" s="731"/>
      <c r="AS174" s="731"/>
      <c r="AT174" s="731"/>
      <c r="AU174" s="731"/>
      <c r="AV174" s="731"/>
    </row>
    <row r="175" spans="1:48">
      <c r="A175" s="426"/>
      <c r="B175" s="426"/>
      <c r="C175" s="298"/>
      <c r="D175" s="334"/>
      <c r="E175" s="334"/>
      <c r="F175" s="334"/>
      <c r="G175" s="334"/>
      <c r="H175" s="334"/>
      <c r="I175" s="334"/>
      <c r="J175" s="334"/>
      <c r="K175" s="334"/>
      <c r="L175" s="334"/>
      <c r="M175" s="334"/>
      <c r="N175" s="334"/>
      <c r="O175" s="334"/>
      <c r="P175" s="334"/>
      <c r="Q175" s="334"/>
      <c r="R175" s="334"/>
      <c r="S175" s="334"/>
      <c r="T175" s="334"/>
      <c r="U175" s="334"/>
      <c r="V175" s="334"/>
      <c r="W175" s="334"/>
      <c r="X175" s="334"/>
      <c r="Y175" s="334"/>
      <c r="Z175" s="334"/>
      <c r="AA175" s="334"/>
      <c r="AB175" s="334"/>
      <c r="AC175" s="334"/>
      <c r="AD175" s="334"/>
      <c r="AE175" s="334"/>
      <c r="AF175" s="334"/>
      <c r="AG175" s="334"/>
      <c r="AH175" s="334"/>
      <c r="AI175" s="334"/>
      <c r="AJ175" s="334"/>
      <c r="AK175" s="334"/>
      <c r="AL175" s="334"/>
      <c r="AM175" s="426"/>
      <c r="AN175" s="426"/>
      <c r="AO175" s="731"/>
      <c r="AP175" s="731"/>
      <c r="AQ175" s="731"/>
      <c r="AR175" s="731"/>
      <c r="AS175" s="731"/>
      <c r="AT175" s="731"/>
      <c r="AU175" s="731"/>
      <c r="AV175" s="731"/>
    </row>
    <row r="176" spans="1:48">
      <c r="A176" s="426"/>
      <c r="B176" s="426" t="s">
        <v>537</v>
      </c>
      <c r="C176" s="444" t="s">
        <v>732</v>
      </c>
      <c r="D176" s="158"/>
      <c r="E176" s="158">
        <f>-('Balance Sheet'!E10-'Balance Sheet'!D10)</f>
        <v>-720</v>
      </c>
      <c r="F176" s="158">
        <f>-('Balance Sheet'!F10-'Balance Sheet'!E10)</f>
        <v>244</v>
      </c>
      <c r="G176" s="158">
        <f>-('Balance Sheet'!G10-'Balance Sheet'!F10)</f>
        <v>444</v>
      </c>
      <c r="H176" s="158">
        <f>-('Balance Sheet'!H10-'Balance Sheet'!G10)</f>
        <v>11</v>
      </c>
      <c r="I176" s="158">
        <f>-('Balance Sheet'!I10-'Balance Sheet'!H10)</f>
        <v>59</v>
      </c>
      <c r="J176" s="158">
        <f>-('Balance Sheet'!J10-'Balance Sheet'!I10)</f>
        <v>-172</v>
      </c>
      <c r="K176" s="158">
        <f>-('Balance Sheet'!K10-'Balance Sheet'!J10)</f>
        <v>-132</v>
      </c>
      <c r="L176" s="248">
        <f>-('Balance Sheet'!L10-'Balance Sheet'!K10)</f>
        <v>-99</v>
      </c>
      <c r="M176" s="248">
        <f>-('Balance Sheet'!M10-'Balance Sheet'!L10)</f>
        <v>-87</v>
      </c>
      <c r="N176" s="248">
        <f>-('Balance Sheet'!N10-'Balance Sheet'!M10)</f>
        <v>58</v>
      </c>
      <c r="O176" s="248">
        <f>-('Balance Sheet'!O10-'Balance Sheet'!N10)</f>
        <v>-156</v>
      </c>
      <c r="P176" s="248">
        <f>-('Balance Sheet'!P10-'Balance Sheet'!O10)</f>
        <v>-209</v>
      </c>
      <c r="Q176" s="248">
        <f>-('Balance Sheet'!Q10-'Balance Sheet'!P10)</f>
        <v>-211</v>
      </c>
      <c r="R176" s="248">
        <f>-('Balance Sheet'!R10-'Balance Sheet'!Q10)</f>
        <v>385</v>
      </c>
      <c r="S176" s="248">
        <f>-('Balance Sheet'!S10-'Balance Sheet'!R10)</f>
        <v>-549</v>
      </c>
      <c r="T176" s="248">
        <f>-('Balance Sheet'!T10-'Balance Sheet'!S10)</f>
        <v>-16</v>
      </c>
      <c r="U176" s="248">
        <f>-('Balance Sheet'!U10-'Balance Sheet'!T10)</f>
        <v>-731</v>
      </c>
      <c r="V176" s="248">
        <f>-('Balance Sheet'!V10-'Balance Sheet'!U10)</f>
        <v>-32</v>
      </c>
      <c r="W176" s="248">
        <f>-('Balance Sheet'!W10-'Balance Sheet'!V10)</f>
        <v>108</v>
      </c>
      <c r="X176" s="248">
        <f>-('Balance Sheet'!X10-'Balance Sheet'!W10)</f>
        <v>271</v>
      </c>
      <c r="Y176" s="248">
        <f>-('Balance Sheet'!Y10-'Balance Sheet'!X10)</f>
        <v>544</v>
      </c>
      <c r="Z176" s="248">
        <f>-('Balance Sheet'!Z10-'Balance Sheet'!Y10)</f>
        <v>503</v>
      </c>
      <c r="AA176" s="248">
        <f>-('Balance Sheet'!AA10-'Balance Sheet'!Z10)</f>
        <v>-142</v>
      </c>
      <c r="AB176" s="248">
        <f>-('Balance Sheet'!AB10-'Balance Sheet'!AA10)</f>
        <v>388</v>
      </c>
      <c r="AC176" s="248">
        <f>-('Balance Sheet'!AC10-'Balance Sheet'!AB10)</f>
        <v>151</v>
      </c>
      <c r="AD176" s="248">
        <f>-('Balance Sheet'!AD10-'Balance Sheet'!AC10)</f>
        <v>-285.80358041829459</v>
      </c>
      <c r="AE176" s="248">
        <f>-('Balance Sheet'!AE10-'Balance Sheet'!AD10)</f>
        <v>-38.77989750858751</v>
      </c>
      <c r="AF176" s="248">
        <f>-('Balance Sheet'!AF10-'Balance Sheet'!AE10)</f>
        <v>-51.283733844285052</v>
      </c>
      <c r="AG176" s="248">
        <f>-('Balance Sheet'!AG10-'Balance Sheet'!AF10)</f>
        <v>-64.504468327639643</v>
      </c>
      <c r="AH176" s="248">
        <f>-('Balance Sheet'!AH10-'Balance Sheet'!AG10)</f>
        <v>-77.597456993958076</v>
      </c>
      <c r="AI176" s="248">
        <f>-('Balance Sheet'!AI10-'Balance Sheet'!AH10)</f>
        <v>-90.979760263914613</v>
      </c>
      <c r="AJ176" s="248">
        <f>-('Balance Sheet'!AJ10-'Balance Sheet'!AI10)</f>
        <v>-105.05550225169191</v>
      </c>
      <c r="AK176" s="248">
        <f>-('Balance Sheet'!AK10-'Balance Sheet'!AJ10)</f>
        <v>-120.23542211940185</v>
      </c>
      <c r="AL176" s="248">
        <f>-('Balance Sheet'!AL10-'Balance Sheet'!AK10)</f>
        <v>-114.68169449379275</v>
      </c>
      <c r="AM176" s="426"/>
      <c r="AN176" s="426"/>
      <c r="AO176" s="731"/>
      <c r="AP176" s="731"/>
      <c r="AQ176" s="731"/>
      <c r="AR176" s="731"/>
      <c r="AS176" s="731"/>
      <c r="AT176" s="731"/>
      <c r="AU176" s="731"/>
      <c r="AV176" s="731"/>
    </row>
    <row r="177" spans="1:48">
      <c r="A177" s="426"/>
      <c r="B177" s="426" t="s">
        <v>538</v>
      </c>
      <c r="C177" s="444" t="s">
        <v>732</v>
      </c>
      <c r="D177" s="452"/>
      <c r="E177" s="452">
        <f>'Balance Sheet'!E32-'Balance Sheet'!D32</f>
        <v>295</v>
      </c>
      <c r="F177" s="452">
        <f>'Balance Sheet'!F32-'Balance Sheet'!E32</f>
        <v>-61</v>
      </c>
      <c r="G177" s="452">
        <f>'Balance Sheet'!G32-'Balance Sheet'!F32</f>
        <v>-237</v>
      </c>
      <c r="H177" s="452">
        <f>'Balance Sheet'!H32-'Balance Sheet'!G32</f>
        <v>-187</v>
      </c>
      <c r="I177" s="452">
        <f>'Balance Sheet'!I32-'Balance Sheet'!H32</f>
        <v>469</v>
      </c>
      <c r="J177" s="452">
        <f>'Balance Sheet'!J32-'Balance Sheet'!I32</f>
        <v>763</v>
      </c>
      <c r="K177" s="452">
        <f>'Balance Sheet'!K32-'Balance Sheet'!J32</f>
        <v>651</v>
      </c>
      <c r="L177" s="451">
        <f>'Balance Sheet'!L32-'Balance Sheet'!K32</f>
        <v>-291</v>
      </c>
      <c r="M177" s="451">
        <f>'Balance Sheet'!M32-'Balance Sheet'!L32</f>
        <v>-196</v>
      </c>
      <c r="N177" s="451">
        <f>'Balance Sheet'!N32-'Balance Sheet'!M32</f>
        <v>109</v>
      </c>
      <c r="O177" s="451">
        <f>'Balance Sheet'!O32-'Balance Sheet'!N32</f>
        <v>250</v>
      </c>
      <c r="P177" s="451">
        <f>'Balance Sheet'!P32-'Balance Sheet'!O32</f>
        <v>38</v>
      </c>
      <c r="Q177" s="451">
        <f>'Balance Sheet'!Q32-'Balance Sheet'!P32</f>
        <v>110</v>
      </c>
      <c r="R177" s="451">
        <f>'Balance Sheet'!R32-'Balance Sheet'!Q32</f>
        <v>-407</v>
      </c>
      <c r="S177" s="451">
        <f>'Balance Sheet'!S32-'Balance Sheet'!R32</f>
        <v>211</v>
      </c>
      <c r="T177" s="451">
        <f>'Balance Sheet'!T32-'Balance Sheet'!S32</f>
        <v>-97</v>
      </c>
      <c r="U177" s="451">
        <f>'Balance Sheet'!U32-'Balance Sheet'!T32</f>
        <v>241</v>
      </c>
      <c r="V177" s="451">
        <f>'Balance Sheet'!V32-'Balance Sheet'!U32</f>
        <v>339</v>
      </c>
      <c r="W177" s="451">
        <f>'Balance Sheet'!W32-'Balance Sheet'!V32</f>
        <v>0</v>
      </c>
      <c r="X177" s="451">
        <f>'Balance Sheet'!X32-'Balance Sheet'!W32</f>
        <v>-548</v>
      </c>
      <c r="Y177" s="451">
        <f>'Balance Sheet'!Y32-'Balance Sheet'!X32</f>
        <v>-214</v>
      </c>
      <c r="Z177" s="451">
        <f>'Balance Sheet'!Z32-'Balance Sheet'!Y32</f>
        <v>423</v>
      </c>
      <c r="AA177" s="451">
        <f>'Balance Sheet'!AA32-'Balance Sheet'!Z32</f>
        <v>176</v>
      </c>
      <c r="AB177" s="451">
        <f>'Balance Sheet'!AB32-'Balance Sheet'!AA32</f>
        <v>261</v>
      </c>
      <c r="AC177" s="451">
        <f>'Balance Sheet'!AC32-'Balance Sheet'!AB32</f>
        <v>-414</v>
      </c>
      <c r="AD177" s="451">
        <f>'Balance Sheet'!AD32-'Balance Sheet'!AC32</f>
        <v>352.07340674218176</v>
      </c>
      <c r="AE177" s="451">
        <f>'Balance Sheet'!AE32-'Balance Sheet'!AD32</f>
        <v>99.966002112407295</v>
      </c>
      <c r="AF177" s="451">
        <f>'Balance Sheet'!AF32-'Balance Sheet'!AE32</f>
        <v>117.74939329444715</v>
      </c>
      <c r="AG177" s="451">
        <f>'Balance Sheet'!AG32-'Balance Sheet'!AF32</f>
        <v>137.10732174760597</v>
      </c>
      <c r="AH177" s="451">
        <f>'Balance Sheet'!AH32-'Balance Sheet'!AG32</f>
        <v>160.92677003404515</v>
      </c>
      <c r="AI177" s="451">
        <f>'Balance Sheet'!AI32-'Balance Sheet'!AH32</f>
        <v>182.45445596301124</v>
      </c>
      <c r="AJ177" s="451">
        <f>'Balance Sheet'!AJ32-'Balance Sheet'!AI32</f>
        <v>205.83675840291744</v>
      </c>
      <c r="AK177" s="451">
        <f>'Balance Sheet'!AK32-'Balance Sheet'!AJ32</f>
        <v>231.71926676728526</v>
      </c>
      <c r="AL177" s="451">
        <f>'Balance Sheet'!AL32-'Balance Sheet'!AK32</f>
        <v>232.26807896596165</v>
      </c>
      <c r="AM177" s="426"/>
      <c r="AN177" s="426"/>
      <c r="AO177" s="731"/>
      <c r="AP177" s="731"/>
      <c r="AQ177" s="731"/>
      <c r="AR177" s="731"/>
      <c r="AS177" s="731"/>
      <c r="AT177" s="731"/>
      <c r="AU177" s="731"/>
      <c r="AV177" s="731"/>
    </row>
    <row r="178" spans="1:48">
      <c r="A178" s="426"/>
      <c r="B178" s="426" t="s">
        <v>896</v>
      </c>
      <c r="C178" s="444" t="s">
        <v>732</v>
      </c>
      <c r="D178" s="158"/>
      <c r="E178" s="158">
        <f>-('Balance Sheet'!E11-'Balance Sheet'!D11)</f>
        <v>-25</v>
      </c>
      <c r="F178" s="158">
        <f>-('Balance Sheet'!F11-'Balance Sheet'!E11)</f>
        <v>116</v>
      </c>
      <c r="G178" s="158">
        <f>-('Balance Sheet'!G11-'Balance Sheet'!F11)</f>
        <v>-56</v>
      </c>
      <c r="H178" s="158">
        <f>-('Balance Sheet'!H11-'Balance Sheet'!G11)</f>
        <v>31</v>
      </c>
      <c r="I178" s="158">
        <f>-('Balance Sheet'!I11-'Balance Sheet'!H11)</f>
        <v>-3</v>
      </c>
      <c r="J178" s="158">
        <f>-('Balance Sheet'!J11-'Balance Sheet'!I11)</f>
        <v>8</v>
      </c>
      <c r="K178" s="158">
        <f>-('Balance Sheet'!K11-'Balance Sheet'!J11)</f>
        <v>-94</v>
      </c>
      <c r="L178" s="248">
        <f>-('Balance Sheet'!L11-'Balance Sheet'!K11)</f>
        <v>9</v>
      </c>
      <c r="M178" s="248">
        <f>-('Balance Sheet'!M11-'Balance Sheet'!L11)</f>
        <v>70</v>
      </c>
      <c r="N178" s="248">
        <f>-('Balance Sheet'!N11-'Balance Sheet'!M11)</f>
        <v>-56</v>
      </c>
      <c r="O178" s="248">
        <f>-('Balance Sheet'!O11-'Balance Sheet'!N11)</f>
        <v>12</v>
      </c>
      <c r="P178" s="248">
        <f>-('Balance Sheet'!P11-'Balance Sheet'!O11)</f>
        <v>23</v>
      </c>
      <c r="Q178" s="248">
        <f>-('Balance Sheet'!Q11-'Balance Sheet'!P11)</f>
        <v>-171</v>
      </c>
      <c r="R178" s="248">
        <f>-('Balance Sheet'!R11-'Balance Sheet'!Q11)</f>
        <v>69</v>
      </c>
      <c r="S178" s="248">
        <f>-('Balance Sheet'!S11-'Balance Sheet'!R11)</f>
        <v>-129</v>
      </c>
      <c r="T178" s="248">
        <f>-('Balance Sheet'!T11-'Balance Sheet'!S11)</f>
        <v>-66</v>
      </c>
      <c r="U178" s="248">
        <f>-('Balance Sheet'!U11-'Balance Sheet'!T11)</f>
        <v>-336</v>
      </c>
      <c r="V178" s="248">
        <f>-('Balance Sheet'!V11-'Balance Sheet'!U11)</f>
        <v>401</v>
      </c>
      <c r="W178" s="248">
        <f>-('Balance Sheet'!W11-'Balance Sheet'!V11)</f>
        <v>44</v>
      </c>
      <c r="X178" s="248">
        <f>-('Balance Sheet'!X11-'Balance Sheet'!W11)</f>
        <v>30</v>
      </c>
      <c r="Y178" s="248">
        <f>-('Balance Sheet'!Y11-'Balance Sheet'!X11)</f>
        <v>33</v>
      </c>
      <c r="Z178" s="248">
        <f>-('Balance Sheet'!Z11-'Balance Sheet'!Y11)</f>
        <v>-91</v>
      </c>
      <c r="AA178" s="248">
        <f>-('Balance Sheet'!AA11-'Balance Sheet'!Z11)</f>
        <v>-70</v>
      </c>
      <c r="AB178" s="248">
        <f>-('Balance Sheet'!AB11-'Balance Sheet'!AA11)</f>
        <v>28</v>
      </c>
      <c r="AC178" s="248">
        <f>-('Balance Sheet'!AC11-'Balance Sheet'!AB11)</f>
        <v>33</v>
      </c>
      <c r="AD178" s="248">
        <f>-('Balance Sheet'!AD11-'Balance Sheet'!AC11)</f>
        <v>-69.207582977095853</v>
      </c>
      <c r="AE178" s="248">
        <f>-('Balance Sheet'!AE11-'Balance Sheet'!AD11)</f>
        <v>-49.559576881390967</v>
      </c>
      <c r="AF178" s="248">
        <f>-('Balance Sheet'!AF11-'Balance Sheet'!AE11)</f>
        <v>-54.007706464749845</v>
      </c>
      <c r="AG178" s="248">
        <f>-('Balance Sheet'!AG11-'Balance Sheet'!AF11)</f>
        <v>-59.153758813320792</v>
      </c>
      <c r="AH178" s="248">
        <f>-('Balance Sheet'!AH11-'Balance Sheet'!AG11)</f>
        <v>-64.917122054776655</v>
      </c>
      <c r="AI178" s="248">
        <f>-('Balance Sheet'!AI11-'Balance Sheet'!AH11)</f>
        <v>-71.421812931444833</v>
      </c>
      <c r="AJ178" s="248">
        <f>-('Balance Sheet'!AJ11-'Balance Sheet'!AI11)</f>
        <v>-78.820467440824814</v>
      </c>
      <c r="AK178" s="248">
        <f>-('Balance Sheet'!AK11-'Balance Sheet'!AJ11)</f>
        <v>-87.301314096275064</v>
      </c>
      <c r="AL178" s="248">
        <f>-('Balance Sheet'!AL11-'Balance Sheet'!AK11)</f>
        <v>-91.747102839341437</v>
      </c>
      <c r="AM178" s="426"/>
      <c r="AN178" s="426"/>
      <c r="AO178" s="731"/>
      <c r="AP178" s="731"/>
      <c r="AQ178" s="731"/>
      <c r="AR178" s="731"/>
      <c r="AS178" s="731"/>
      <c r="AT178" s="731"/>
      <c r="AU178" s="731"/>
      <c r="AV178" s="731"/>
    </row>
    <row r="179" spans="1:48">
      <c r="A179" s="426"/>
      <c r="B179" s="426" t="s">
        <v>540</v>
      </c>
      <c r="C179" s="444" t="s">
        <v>732</v>
      </c>
      <c r="D179" s="158"/>
      <c r="E179" s="158">
        <f t="shared" ref="E179:AK179" si="192">SUM(E176:E178)</f>
        <v>-450</v>
      </c>
      <c r="F179" s="158">
        <f t="shared" si="192"/>
        <v>299</v>
      </c>
      <c r="G179" s="158">
        <f t="shared" si="192"/>
        <v>151</v>
      </c>
      <c r="H179" s="158">
        <f t="shared" si="192"/>
        <v>-145</v>
      </c>
      <c r="I179" s="158">
        <f t="shared" si="192"/>
        <v>525</v>
      </c>
      <c r="J179" s="158">
        <f t="shared" si="192"/>
        <v>599</v>
      </c>
      <c r="K179" s="158">
        <f t="shared" si="192"/>
        <v>425</v>
      </c>
      <c r="L179" s="248">
        <f t="shared" si="192"/>
        <v>-381</v>
      </c>
      <c r="M179" s="248">
        <f t="shared" si="192"/>
        <v>-213</v>
      </c>
      <c r="N179" s="248">
        <f t="shared" si="192"/>
        <v>111</v>
      </c>
      <c r="O179" s="248">
        <f t="shared" si="192"/>
        <v>106</v>
      </c>
      <c r="P179" s="248">
        <f t="shared" si="192"/>
        <v>-148</v>
      </c>
      <c r="Q179" s="248">
        <f t="shared" si="192"/>
        <v>-272</v>
      </c>
      <c r="R179" s="248">
        <f t="shared" si="192"/>
        <v>47</v>
      </c>
      <c r="S179" s="248">
        <f t="shared" si="192"/>
        <v>-467</v>
      </c>
      <c r="T179" s="248">
        <f t="shared" si="192"/>
        <v>-179</v>
      </c>
      <c r="U179" s="248">
        <f t="shared" si="192"/>
        <v>-826</v>
      </c>
      <c r="V179" s="248">
        <f t="shared" si="192"/>
        <v>708</v>
      </c>
      <c r="W179" s="248">
        <f t="shared" si="192"/>
        <v>152</v>
      </c>
      <c r="X179" s="248">
        <f t="shared" si="192"/>
        <v>-247</v>
      </c>
      <c r="Y179" s="248">
        <f t="shared" si="192"/>
        <v>363</v>
      </c>
      <c r="Z179" s="248">
        <f t="shared" si="192"/>
        <v>835</v>
      </c>
      <c r="AA179" s="248">
        <f t="shared" si="192"/>
        <v>-36</v>
      </c>
      <c r="AB179" s="248">
        <f t="shared" si="192"/>
        <v>677</v>
      </c>
      <c r="AC179" s="248">
        <f t="shared" ref="AC179" si="193">SUM(AC176:AC178)</f>
        <v>-230</v>
      </c>
      <c r="AD179" s="248">
        <f t="shared" si="192"/>
        <v>-2.9377566532086803</v>
      </c>
      <c r="AE179" s="248">
        <f t="shared" si="192"/>
        <v>11.626527722428818</v>
      </c>
      <c r="AF179" s="248">
        <f t="shared" si="192"/>
        <v>12.457952985412248</v>
      </c>
      <c r="AG179" s="248">
        <f t="shared" si="192"/>
        <v>13.449094606645531</v>
      </c>
      <c r="AH179" s="248">
        <f t="shared" si="192"/>
        <v>18.412190985310417</v>
      </c>
      <c r="AI179" s="248">
        <f t="shared" si="192"/>
        <v>20.052882767651795</v>
      </c>
      <c r="AJ179" s="248">
        <f t="shared" si="192"/>
        <v>21.96078871040072</v>
      </c>
      <c r="AK179" s="248">
        <f t="shared" si="192"/>
        <v>24.182530551608352</v>
      </c>
      <c r="AL179" s="248">
        <f t="shared" ref="AL179" si="194">SUM(AL176:AL178)</f>
        <v>25.839281632827465</v>
      </c>
      <c r="AM179" s="426"/>
      <c r="AN179" s="426"/>
      <c r="AO179" s="731"/>
      <c r="AP179" s="731"/>
      <c r="AQ179" s="731"/>
      <c r="AR179" s="731"/>
      <c r="AS179" s="731"/>
      <c r="AT179" s="731"/>
      <c r="AU179" s="731"/>
      <c r="AV179" s="731"/>
    </row>
    <row r="180" spans="1:48">
      <c r="A180" s="426"/>
      <c r="B180" s="426" t="s">
        <v>539</v>
      </c>
      <c r="C180" s="444" t="s">
        <v>732</v>
      </c>
      <c r="D180" s="452">
        <f>'Balance Sheet'!D10+'Balance Sheet'!D11-'Balance Sheet'!D32</f>
        <v>1354</v>
      </c>
      <c r="E180" s="452">
        <f>'Balance Sheet'!E10+'Balance Sheet'!E11-'Balance Sheet'!E32</f>
        <v>1804</v>
      </c>
      <c r="F180" s="452">
        <f>'Balance Sheet'!F10+'Balance Sheet'!F11-'Balance Sheet'!F32</f>
        <v>1505</v>
      </c>
      <c r="G180" s="452">
        <f>'Balance Sheet'!G10+'Balance Sheet'!G11-'Balance Sheet'!G32</f>
        <v>1354</v>
      </c>
      <c r="H180" s="452">
        <f>'Balance Sheet'!H10+'Balance Sheet'!H11-'Balance Sheet'!H32</f>
        <v>1499</v>
      </c>
      <c r="I180" s="452">
        <f>'Balance Sheet'!I10+'Balance Sheet'!I11-'Balance Sheet'!I32</f>
        <v>974</v>
      </c>
      <c r="J180" s="452">
        <f>'Balance Sheet'!J10+'Balance Sheet'!J11-'Balance Sheet'!J32</f>
        <v>375</v>
      </c>
      <c r="K180" s="452">
        <f>'Balance Sheet'!K10+'Balance Sheet'!K11-'Balance Sheet'!K32</f>
        <v>-50</v>
      </c>
      <c r="L180" s="451">
        <f>'Balance Sheet'!L10+'Balance Sheet'!L11-'Balance Sheet'!L32</f>
        <v>331</v>
      </c>
      <c r="M180" s="451">
        <f>'Balance Sheet'!M10+'Balance Sheet'!M11-'Balance Sheet'!M32</f>
        <v>544</v>
      </c>
      <c r="N180" s="451">
        <f>'Balance Sheet'!N10+'Balance Sheet'!N11-'Balance Sheet'!N32</f>
        <v>433</v>
      </c>
      <c r="O180" s="451">
        <f>'Balance Sheet'!O10+'Balance Sheet'!O11-'Balance Sheet'!O32</f>
        <v>327</v>
      </c>
      <c r="P180" s="451">
        <f>'Balance Sheet'!P10+'Balance Sheet'!P11-'Balance Sheet'!P32</f>
        <v>475</v>
      </c>
      <c r="Q180" s="451">
        <f>'Balance Sheet'!Q10+'Balance Sheet'!Q11-'Balance Sheet'!Q32</f>
        <v>747</v>
      </c>
      <c r="R180" s="451">
        <f>'Balance Sheet'!R10+'Balance Sheet'!R11-'Balance Sheet'!R32</f>
        <v>700</v>
      </c>
      <c r="S180" s="451">
        <f>'Balance Sheet'!S10+'Balance Sheet'!S11-'Balance Sheet'!S32</f>
        <v>1167</v>
      </c>
      <c r="T180" s="451">
        <f>'Balance Sheet'!T10+'Balance Sheet'!T11-'Balance Sheet'!T32</f>
        <v>1346</v>
      </c>
      <c r="U180" s="451">
        <f>'Balance Sheet'!U10+'Balance Sheet'!U11-'Balance Sheet'!U32</f>
        <v>2172</v>
      </c>
      <c r="V180" s="451">
        <f>'Balance Sheet'!V10+'Balance Sheet'!V11-'Balance Sheet'!V32</f>
        <v>1464</v>
      </c>
      <c r="W180" s="451">
        <f>'Balance Sheet'!W10+'Balance Sheet'!W11-'Balance Sheet'!W32</f>
        <v>1312</v>
      </c>
      <c r="X180" s="451">
        <f>'Balance Sheet'!X10+'Balance Sheet'!X11-'Balance Sheet'!X32</f>
        <v>1559</v>
      </c>
      <c r="Y180" s="451">
        <f>'Balance Sheet'!Y10+'Balance Sheet'!Y11-'Balance Sheet'!Y32</f>
        <v>1196</v>
      </c>
      <c r="Z180" s="451">
        <f>'Balance Sheet'!Z10+'Balance Sheet'!Z11-'Balance Sheet'!Z32</f>
        <v>361</v>
      </c>
      <c r="AA180" s="451">
        <f>'Balance Sheet'!AA10+'Balance Sheet'!AA11-'Balance Sheet'!AA32</f>
        <v>397</v>
      </c>
      <c r="AB180" s="451">
        <f>'Balance Sheet'!AB10+'Balance Sheet'!AB11-'Balance Sheet'!AB32</f>
        <v>-280</v>
      </c>
      <c r="AC180" s="451">
        <f>'Balance Sheet'!AC10+'Balance Sheet'!AC11-'Balance Sheet'!AC32</f>
        <v>-50</v>
      </c>
      <c r="AD180" s="451">
        <f>'Balance Sheet'!AD10+'Balance Sheet'!AD11-'Balance Sheet'!AD32</f>
        <v>-47.062243346791547</v>
      </c>
      <c r="AE180" s="451">
        <f>'Balance Sheet'!AE10+'Balance Sheet'!AE11-'Balance Sheet'!AE32</f>
        <v>-58.688771069219911</v>
      </c>
      <c r="AF180" s="451">
        <f>'Balance Sheet'!AF10+'Balance Sheet'!AF11-'Balance Sheet'!AF32</f>
        <v>-71.146724054632614</v>
      </c>
      <c r="AG180" s="451">
        <f>'Balance Sheet'!AG10+'Balance Sheet'!AG11-'Balance Sheet'!AG32</f>
        <v>-84.595818661277917</v>
      </c>
      <c r="AH180" s="451">
        <f>'Balance Sheet'!AH10+'Balance Sheet'!AH11-'Balance Sheet'!AH32</f>
        <v>-103.00800964658811</v>
      </c>
      <c r="AI180" s="451">
        <f>'Balance Sheet'!AI10+'Balance Sheet'!AI11-'Balance Sheet'!AI32</f>
        <v>-123.06089241423979</v>
      </c>
      <c r="AJ180" s="451">
        <f>'Balance Sheet'!AJ10+'Balance Sheet'!AJ11-'Balance Sheet'!AJ32</f>
        <v>-145.02168112464096</v>
      </c>
      <c r="AK180" s="451">
        <f>'Balance Sheet'!AK10+'Balance Sheet'!AK11-'Balance Sheet'!AK32</f>
        <v>-169.20421167624954</v>
      </c>
      <c r="AL180" s="451">
        <f>'Balance Sheet'!AL10+'Balance Sheet'!AL11-'Balance Sheet'!AL32</f>
        <v>-195.04349330907644</v>
      </c>
      <c r="AM180" s="426"/>
      <c r="AN180" s="426"/>
      <c r="AO180" s="731"/>
      <c r="AP180" s="731"/>
      <c r="AQ180" s="731"/>
      <c r="AR180" s="731"/>
      <c r="AS180" s="731"/>
      <c r="AT180" s="731"/>
      <c r="AU180" s="731"/>
      <c r="AV180" s="731"/>
    </row>
    <row r="181" spans="1:48">
      <c r="A181" s="426"/>
      <c r="B181" s="426" t="s">
        <v>540</v>
      </c>
      <c r="C181" s="444" t="s">
        <v>732</v>
      </c>
      <c r="D181" s="158"/>
      <c r="E181" s="158">
        <f t="shared" ref="E181:AL181" si="195">E180-D180</f>
        <v>450</v>
      </c>
      <c r="F181" s="158">
        <f t="shared" si="195"/>
        <v>-299</v>
      </c>
      <c r="G181" s="158">
        <f t="shared" si="195"/>
        <v>-151</v>
      </c>
      <c r="H181" s="158">
        <f t="shared" si="195"/>
        <v>145</v>
      </c>
      <c r="I181" s="158">
        <f t="shared" si="195"/>
        <v>-525</v>
      </c>
      <c r="J181" s="158">
        <f t="shared" si="195"/>
        <v>-599</v>
      </c>
      <c r="K181" s="158">
        <f t="shared" si="195"/>
        <v>-425</v>
      </c>
      <c r="L181" s="248">
        <f t="shared" si="195"/>
        <v>381</v>
      </c>
      <c r="M181" s="248">
        <f t="shared" si="195"/>
        <v>213</v>
      </c>
      <c r="N181" s="248">
        <f t="shared" si="195"/>
        <v>-111</v>
      </c>
      <c r="O181" s="248">
        <f t="shared" si="195"/>
        <v>-106</v>
      </c>
      <c r="P181" s="248">
        <f t="shared" si="195"/>
        <v>148</v>
      </c>
      <c r="Q181" s="248">
        <f t="shared" si="195"/>
        <v>272</v>
      </c>
      <c r="R181" s="248">
        <f t="shared" si="195"/>
        <v>-47</v>
      </c>
      <c r="S181" s="248">
        <f t="shared" si="195"/>
        <v>467</v>
      </c>
      <c r="T181" s="248">
        <f t="shared" si="195"/>
        <v>179</v>
      </c>
      <c r="U181" s="248">
        <f t="shared" si="195"/>
        <v>826</v>
      </c>
      <c r="V181" s="248">
        <f t="shared" si="195"/>
        <v>-708</v>
      </c>
      <c r="W181" s="248">
        <f t="shared" si="195"/>
        <v>-152</v>
      </c>
      <c r="X181" s="248">
        <f t="shared" si="195"/>
        <v>247</v>
      </c>
      <c r="Y181" s="248">
        <f t="shared" si="195"/>
        <v>-363</v>
      </c>
      <c r="Z181" s="248">
        <f t="shared" si="195"/>
        <v>-835</v>
      </c>
      <c r="AA181" s="248">
        <f t="shared" si="195"/>
        <v>36</v>
      </c>
      <c r="AB181" s="248">
        <f t="shared" si="195"/>
        <v>-677</v>
      </c>
      <c r="AC181" s="248">
        <f t="shared" si="195"/>
        <v>230</v>
      </c>
      <c r="AD181" s="248">
        <f t="shared" si="195"/>
        <v>2.9377566532084529</v>
      </c>
      <c r="AE181" s="248">
        <f t="shared" si="195"/>
        <v>-11.626527722428364</v>
      </c>
      <c r="AF181" s="248">
        <f t="shared" si="195"/>
        <v>-12.457952985412703</v>
      </c>
      <c r="AG181" s="248">
        <f t="shared" si="195"/>
        <v>-13.449094606645303</v>
      </c>
      <c r="AH181" s="248">
        <f t="shared" si="195"/>
        <v>-18.41219098531019</v>
      </c>
      <c r="AI181" s="248">
        <f t="shared" si="195"/>
        <v>-20.052882767651681</v>
      </c>
      <c r="AJ181" s="248">
        <f t="shared" si="195"/>
        <v>-21.960788710401175</v>
      </c>
      <c r="AK181" s="248">
        <f t="shared" si="195"/>
        <v>-24.182530551608579</v>
      </c>
      <c r="AL181" s="248">
        <f t="shared" si="195"/>
        <v>-25.839281632826896</v>
      </c>
      <c r="AM181" s="426"/>
      <c r="AN181" s="426"/>
      <c r="AO181" s="731"/>
      <c r="AP181" s="731"/>
      <c r="AQ181" s="731"/>
      <c r="AR181" s="731"/>
      <c r="AS181" s="731"/>
      <c r="AT181" s="731"/>
      <c r="AU181" s="731"/>
      <c r="AV181" s="731"/>
    </row>
    <row r="182" spans="1:48">
      <c r="A182" s="426"/>
      <c r="B182" s="426" t="s">
        <v>540</v>
      </c>
      <c r="C182" s="381" t="s">
        <v>733</v>
      </c>
      <c r="D182" s="29"/>
      <c r="E182" s="29">
        <f t="shared" ref="E182:AL182" si="196">IF(ISNUMBER((E180-D180)/D180),(E180-D180)/D180,0)</f>
        <v>0.33234859675036926</v>
      </c>
      <c r="F182" s="29">
        <f t="shared" si="196"/>
        <v>-0.16574279379157428</v>
      </c>
      <c r="G182" s="29">
        <f t="shared" si="196"/>
        <v>-0.10033222591362126</v>
      </c>
      <c r="H182" s="29">
        <f t="shared" si="196"/>
        <v>0.10709010339734121</v>
      </c>
      <c r="I182" s="29">
        <f t="shared" si="196"/>
        <v>-0.35023348899266177</v>
      </c>
      <c r="J182" s="29">
        <f t="shared" si="196"/>
        <v>-0.61498973305954829</v>
      </c>
      <c r="K182" s="29">
        <f t="shared" si="196"/>
        <v>-1.1333333333333333</v>
      </c>
      <c r="L182" s="29">
        <f t="shared" si="196"/>
        <v>-7.62</v>
      </c>
      <c r="M182" s="29">
        <f t="shared" si="196"/>
        <v>0.64350453172205435</v>
      </c>
      <c r="N182" s="29">
        <f t="shared" si="196"/>
        <v>-0.20404411764705882</v>
      </c>
      <c r="O182" s="29">
        <f t="shared" si="196"/>
        <v>-0.24480369515011546</v>
      </c>
      <c r="P182" s="29">
        <f t="shared" si="196"/>
        <v>0.45259938837920488</v>
      </c>
      <c r="Q182" s="29">
        <f t="shared" si="196"/>
        <v>0.57263157894736838</v>
      </c>
      <c r="R182" s="29">
        <f t="shared" si="196"/>
        <v>-6.2918340026773767E-2</v>
      </c>
      <c r="S182" s="29">
        <f t="shared" si="196"/>
        <v>0.66714285714285715</v>
      </c>
      <c r="T182" s="29">
        <f t="shared" si="196"/>
        <v>0.15338474721508141</v>
      </c>
      <c r="U182" s="29">
        <f t="shared" si="196"/>
        <v>0.61367013372956913</v>
      </c>
      <c r="V182" s="29">
        <f t="shared" si="196"/>
        <v>-0.32596685082872928</v>
      </c>
      <c r="W182" s="29">
        <f t="shared" si="196"/>
        <v>-0.10382513661202186</v>
      </c>
      <c r="X182" s="29">
        <f t="shared" si="196"/>
        <v>0.18826219512195122</v>
      </c>
      <c r="Y182" s="29">
        <f t="shared" si="196"/>
        <v>-0.23284156510583706</v>
      </c>
      <c r="Z182" s="29">
        <f t="shared" si="196"/>
        <v>-0.69816053511705689</v>
      </c>
      <c r="AA182" s="29">
        <f t="shared" si="196"/>
        <v>9.9722991689750698E-2</v>
      </c>
      <c r="AB182" s="29">
        <f t="shared" si="196"/>
        <v>-1.7052896725440807</v>
      </c>
      <c r="AC182" s="29">
        <f t="shared" si="196"/>
        <v>-0.8214285714285714</v>
      </c>
      <c r="AD182" s="29">
        <f t="shared" si="196"/>
        <v>-5.875513306416906E-2</v>
      </c>
      <c r="AE182" s="29">
        <f t="shared" si="196"/>
        <v>0.2470457610096268</v>
      </c>
      <c r="AF182" s="29">
        <f t="shared" si="196"/>
        <v>0.21227149177683904</v>
      </c>
      <c r="AG182" s="29">
        <f t="shared" si="196"/>
        <v>0.18903322374081377</v>
      </c>
      <c r="AH182" s="29">
        <f t="shared" si="196"/>
        <v>0.21764894857312858</v>
      </c>
      <c r="AI182" s="29">
        <f t="shared" si="196"/>
        <v>0.19467304374146679</v>
      </c>
      <c r="AJ182" s="29">
        <f t="shared" si="196"/>
        <v>0.17845465183592329</v>
      </c>
      <c r="AK182" s="29">
        <f t="shared" si="196"/>
        <v>0.16675113930602251</v>
      </c>
      <c r="AL182" s="29">
        <f t="shared" si="196"/>
        <v>0.15271062922634002</v>
      </c>
      <c r="AM182" s="426"/>
      <c r="AN182" s="426"/>
      <c r="AO182" s="731"/>
      <c r="AP182" s="731"/>
      <c r="AQ182" s="731"/>
      <c r="AR182" s="731"/>
      <c r="AS182" s="731"/>
      <c r="AT182" s="731"/>
      <c r="AU182" s="731"/>
      <c r="AV182" s="731"/>
    </row>
    <row r="183" spans="1:48">
      <c r="A183" s="9"/>
      <c r="B183" s="9"/>
      <c r="C183" s="48"/>
      <c r="D183" s="9"/>
      <c r="E183" s="9"/>
      <c r="F183" s="9"/>
      <c r="G183" s="9"/>
      <c r="H183" s="9"/>
      <c r="I183" s="9"/>
      <c r="J183" s="9"/>
      <c r="K183" s="9"/>
      <c r="L183" s="9"/>
      <c r="M183" s="9"/>
      <c r="N183" s="9"/>
      <c r="O183" s="9"/>
      <c r="P183" s="9"/>
      <c r="Q183" s="9"/>
      <c r="R183" s="9"/>
      <c r="S183" s="9"/>
      <c r="T183" s="875"/>
      <c r="U183" s="9"/>
      <c r="V183" s="9"/>
      <c r="W183" s="877"/>
      <c r="X183" s="877"/>
      <c r="Y183" s="877"/>
      <c r="Z183" s="877"/>
      <c r="AA183" s="877"/>
      <c r="AB183" s="877"/>
      <c r="AC183" s="877"/>
      <c r="AD183" s="877"/>
      <c r="AE183" s="877"/>
      <c r="AF183" s="877"/>
      <c r="AG183" s="877"/>
      <c r="AH183" s="877"/>
      <c r="AI183" s="877"/>
      <c r="AJ183" s="877"/>
      <c r="AK183" s="877"/>
      <c r="AL183" s="877"/>
      <c r="AM183" s="9"/>
      <c r="AN183" s="9"/>
    </row>
    <row r="184" spans="1:48">
      <c r="A184" s="9"/>
      <c r="B184" s="9"/>
      <c r="C184" s="48"/>
      <c r="D184" s="9"/>
      <c r="E184" s="9"/>
      <c r="F184" s="9"/>
      <c r="G184" s="9"/>
      <c r="H184" s="9"/>
      <c r="I184" s="9"/>
      <c r="J184" s="9"/>
      <c r="K184" s="9"/>
      <c r="L184" s="9"/>
      <c r="M184" s="9"/>
      <c r="N184" s="9"/>
      <c r="O184" s="9"/>
      <c r="P184" s="9"/>
      <c r="Q184" s="9"/>
      <c r="R184" s="9"/>
      <c r="S184" s="9"/>
      <c r="T184" s="875"/>
      <c r="U184" s="9"/>
      <c r="V184" s="9"/>
      <c r="W184" s="877"/>
      <c r="X184" s="877"/>
      <c r="Y184" s="877"/>
      <c r="Z184" s="877"/>
      <c r="AA184" s="877"/>
      <c r="AB184" s="877"/>
      <c r="AC184" s="877"/>
      <c r="AD184" s="877"/>
      <c r="AE184" s="877"/>
      <c r="AF184" s="877"/>
      <c r="AG184" s="877"/>
      <c r="AH184" s="877"/>
      <c r="AI184" s="877"/>
      <c r="AJ184" s="877"/>
      <c r="AK184" s="877"/>
      <c r="AL184" s="877"/>
      <c r="AM184" s="9"/>
      <c r="AN184" s="9"/>
    </row>
    <row r="185" spans="1:48">
      <c r="A185" s="9"/>
      <c r="B185" s="9"/>
      <c r="C185" s="48"/>
      <c r="D185" s="9"/>
      <c r="E185" s="9"/>
      <c r="F185" s="9"/>
      <c r="G185" s="9"/>
      <c r="H185" s="9"/>
      <c r="I185" s="9"/>
      <c r="J185" s="9"/>
      <c r="K185" s="9"/>
      <c r="L185" s="9"/>
      <c r="M185" s="9"/>
      <c r="N185" s="9"/>
      <c r="O185" s="9"/>
      <c r="P185" s="9"/>
      <c r="Q185" s="9"/>
      <c r="R185" s="9"/>
      <c r="S185" s="9"/>
      <c r="T185" s="875"/>
      <c r="U185" s="9"/>
      <c r="V185" s="9"/>
      <c r="W185" s="877"/>
      <c r="X185" s="877"/>
      <c r="Y185" s="877"/>
      <c r="Z185" s="877"/>
      <c r="AA185" s="877"/>
      <c r="AB185" s="877"/>
      <c r="AC185" s="877"/>
      <c r="AD185" s="877"/>
      <c r="AE185" s="877"/>
      <c r="AF185" s="877"/>
      <c r="AG185" s="877"/>
      <c r="AH185" s="877"/>
      <c r="AI185" s="877"/>
      <c r="AJ185" s="877"/>
      <c r="AK185" s="877"/>
      <c r="AL185" s="877"/>
      <c r="AM185" s="9"/>
      <c r="AN185" s="9"/>
    </row>
    <row r="186" spans="1:48">
      <c r="A186" s="2"/>
      <c r="B186" s="2"/>
      <c r="C186" s="18"/>
      <c r="D186" s="6"/>
      <c r="E186" s="6"/>
      <c r="F186" s="6"/>
      <c r="G186" s="6"/>
      <c r="H186" s="6"/>
      <c r="I186" s="6"/>
      <c r="J186" s="6"/>
      <c r="K186" s="6"/>
      <c r="L186" s="6"/>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row>
    <row r="187" spans="1:48" outlineLevel="1">
      <c r="A187" s="2"/>
      <c r="B187" s="1073" t="s">
        <v>1014</v>
      </c>
      <c r="C187" s="1073"/>
      <c r="D187" s="1073"/>
      <c r="E187" s="1073"/>
      <c r="F187" s="1073"/>
      <c r="G187" s="1073"/>
      <c r="H187" s="1073"/>
      <c r="I187" s="1073"/>
      <c r="J187" s="1073"/>
      <c r="K187" s="1073"/>
      <c r="L187" s="1073"/>
      <c r="M187" s="1073"/>
      <c r="N187" s="1073"/>
      <c r="O187" s="1073"/>
      <c r="P187" s="1073"/>
      <c r="Q187" s="1073"/>
      <c r="R187" s="1073"/>
      <c r="S187" s="1073"/>
      <c r="T187" s="1073"/>
      <c r="U187" s="1073"/>
      <c r="V187" s="1073"/>
      <c r="W187" s="1073"/>
      <c r="X187" s="1073"/>
      <c r="Y187" s="1073"/>
      <c r="Z187" s="1073"/>
      <c r="AA187" s="1073"/>
      <c r="AB187" s="1073"/>
      <c r="AC187" s="1073"/>
      <c r="AD187" s="1073"/>
      <c r="AE187" s="1073"/>
      <c r="AF187" s="1073"/>
      <c r="AG187" s="1073"/>
      <c r="AH187" s="1073"/>
      <c r="AI187" s="1073"/>
      <c r="AJ187" s="1073"/>
      <c r="AK187" s="1073"/>
      <c r="AL187" s="1073"/>
      <c r="AM187" s="2"/>
      <c r="AN187" s="2"/>
    </row>
    <row r="188" spans="1:48" outlineLevel="1">
      <c r="A188" s="2"/>
      <c r="B188" s="2"/>
      <c r="C188" s="18"/>
      <c r="D188" s="6"/>
      <c r="E188" s="6"/>
      <c r="F188" s="6"/>
      <c r="G188" s="6"/>
      <c r="H188" s="6"/>
      <c r="I188" s="6"/>
      <c r="J188" s="6"/>
      <c r="K188" s="6"/>
      <c r="L188" s="6"/>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row>
    <row r="189" spans="1:48" ht="15.6" outlineLevel="1">
      <c r="A189" s="2"/>
      <c r="B189" s="737" t="s">
        <v>1099</v>
      </c>
      <c r="C189" s="283"/>
      <c r="D189" s="284"/>
      <c r="E189" s="284"/>
      <c r="F189" s="284"/>
      <c r="G189" s="285"/>
      <c r="H189" s="285"/>
      <c r="I189" s="285"/>
      <c r="J189" s="285"/>
      <c r="K189" s="285"/>
      <c r="L189" s="285"/>
      <c r="M189" s="285"/>
      <c r="N189" s="284"/>
      <c r="O189" s="286"/>
      <c r="P189" s="286"/>
      <c r="Q189" s="286"/>
      <c r="R189" s="286"/>
      <c r="S189" s="286"/>
      <c r="T189" s="286"/>
      <c r="U189" s="286"/>
      <c r="V189" s="285"/>
      <c r="W189" s="285"/>
      <c r="X189" s="285"/>
      <c r="Y189" s="285"/>
      <c r="Z189" s="285"/>
      <c r="AA189" s="286"/>
      <c r="AB189" s="286"/>
      <c r="AC189" s="286"/>
      <c r="AD189" s="286"/>
      <c r="AE189" s="286"/>
      <c r="AF189" s="286"/>
      <c r="AG189" s="286"/>
      <c r="AH189" s="286"/>
      <c r="AI189" s="286"/>
      <c r="AJ189" s="286"/>
      <c r="AK189" s="286"/>
      <c r="AL189" s="286"/>
      <c r="AM189" s="2"/>
      <c r="AN189" s="2"/>
    </row>
    <row r="190" spans="1:48" outlineLevel="1">
      <c r="A190" s="2"/>
      <c r="B190" s="55"/>
      <c r="C190" s="18"/>
      <c r="D190" s="6"/>
      <c r="E190" s="2"/>
      <c r="F190" s="2"/>
      <c r="G190" s="2"/>
      <c r="H190" s="2"/>
      <c r="I190" s="2"/>
      <c r="J190" s="2"/>
      <c r="K190" s="2"/>
      <c r="L190" s="263"/>
      <c r="M190" s="263"/>
      <c r="N190" s="263"/>
      <c r="O190" s="263"/>
      <c r="P190" s="263"/>
      <c r="Q190" s="263"/>
      <c r="R190" s="263"/>
      <c r="S190" s="263"/>
      <c r="T190" s="263"/>
      <c r="U190" s="263"/>
      <c r="V190" s="263"/>
      <c r="W190" s="263"/>
      <c r="X190" s="263"/>
      <c r="Y190" s="263"/>
      <c r="Z190" s="263"/>
      <c r="AA190" s="263"/>
      <c r="AB190" s="263"/>
      <c r="AC190" s="263"/>
      <c r="AD190" s="263"/>
      <c r="AE190" s="263"/>
      <c r="AF190" s="263"/>
      <c r="AG190" s="263"/>
      <c r="AH190" s="263"/>
      <c r="AI190" s="263"/>
      <c r="AJ190" s="263"/>
      <c r="AK190" s="263"/>
      <c r="AL190" s="263"/>
      <c r="AM190" s="2"/>
      <c r="AN190" s="2"/>
    </row>
    <row r="191" spans="1:48" outlineLevel="1">
      <c r="A191" s="2"/>
      <c r="B191" s="55" t="s">
        <v>1017</v>
      </c>
      <c r="C191" s="18" t="s">
        <v>733</v>
      </c>
      <c r="D191" s="6"/>
      <c r="E191" s="2">
        <f t="shared" ref="E191:AL191" si="197">E14/D14-1</f>
        <v>-0.17842105263157892</v>
      </c>
      <c r="F191" s="2">
        <f t="shared" si="197"/>
        <v>3.7796284433055716E-2</v>
      </c>
      <c r="G191" s="2">
        <f t="shared" si="197"/>
        <v>-1.1111111111111072E-2</v>
      </c>
      <c r="H191" s="2">
        <f t="shared" si="197"/>
        <v>4.3695380774031456E-3</v>
      </c>
      <c r="I191" s="2">
        <f t="shared" si="197"/>
        <v>0.19888129272840271</v>
      </c>
      <c r="J191" s="2">
        <f t="shared" si="197"/>
        <v>0.13115603939865217</v>
      </c>
      <c r="K191" s="2">
        <f t="shared" si="197"/>
        <v>-7.951420714940427E-2</v>
      </c>
      <c r="L191" s="263">
        <f t="shared" si="197"/>
        <v>0.29773462783171523</v>
      </c>
      <c r="M191" s="263">
        <f t="shared" si="197"/>
        <v>-1.0166890466142386E-2</v>
      </c>
      <c r="N191" s="263">
        <f t="shared" si="197"/>
        <v>-0.10077519379844957</v>
      </c>
      <c r="O191" s="263">
        <f t="shared" si="197"/>
        <v>6.7672413793103514E-2</v>
      </c>
      <c r="P191" s="263">
        <f t="shared" si="197"/>
        <v>2.8259991925716488E-3</v>
      </c>
      <c r="Q191" s="263">
        <f t="shared" si="197"/>
        <v>-3.3212560386473466E-2</v>
      </c>
      <c r="R191" s="263">
        <f t="shared" si="197"/>
        <v>-1.4782427649385754E-2</v>
      </c>
      <c r="S191" s="263">
        <f t="shared" si="197"/>
        <v>1.0566356720202785E-2</v>
      </c>
      <c r="T191" s="263">
        <f t="shared" si="197"/>
        <v>5.4161438728565381E-2</v>
      </c>
      <c r="U191" s="263">
        <f t="shared" si="197"/>
        <v>6.744693513191824E-2</v>
      </c>
      <c r="V191" s="263">
        <f t="shared" si="197"/>
        <v>-3.233599702657497E-2</v>
      </c>
      <c r="W191" s="263">
        <f t="shared" si="197"/>
        <v>1.3827539850201687E-2</v>
      </c>
      <c r="X191" s="263">
        <f t="shared" si="197"/>
        <v>-0.23129380564500857</v>
      </c>
      <c r="Y191" s="263">
        <f t="shared" si="197"/>
        <v>-1.1335633316904903E-2</v>
      </c>
      <c r="Z191" s="263">
        <f t="shared" si="197"/>
        <v>-9.7706879361914245E-2</v>
      </c>
      <c r="AA191" s="263">
        <f t="shared" si="197"/>
        <v>9.5856353591160293E-2</v>
      </c>
      <c r="AB191" s="263">
        <f t="shared" si="197"/>
        <v>8.1673808923619973E-2</v>
      </c>
      <c r="AC191" s="263">
        <f t="shared" si="197"/>
        <v>-7.0146818923327858E-2</v>
      </c>
      <c r="AD191" s="263">
        <f t="shared" si="197"/>
        <v>1.0000000000000009E-2</v>
      </c>
      <c r="AE191" s="263">
        <f t="shared" si="197"/>
        <v>1.0000000000000009E-2</v>
      </c>
      <c r="AF191" s="263">
        <f t="shared" si="197"/>
        <v>1.4252050805002137E-2</v>
      </c>
      <c r="AG191" s="263">
        <f t="shared" si="197"/>
        <v>1.4259047879565445E-2</v>
      </c>
      <c r="AH191" s="263">
        <f t="shared" si="197"/>
        <v>1.4265949972089187E-2</v>
      </c>
      <c r="AI191" s="263">
        <f t="shared" si="197"/>
        <v>1.4272758278611297E-2</v>
      </c>
      <c r="AJ191" s="263">
        <f t="shared" si="197"/>
        <v>1.427947398271967E-2</v>
      </c>
      <c r="AK191" s="263">
        <f t="shared" si="197"/>
        <v>1.4286098255609225E-2</v>
      </c>
      <c r="AL191" s="263">
        <f t="shared" si="197"/>
        <v>1.4286098255609225E-2</v>
      </c>
      <c r="AM191" s="2"/>
      <c r="AN191" s="2"/>
    </row>
    <row r="192" spans="1:48" outlineLevel="1">
      <c r="A192" s="2"/>
      <c r="B192" s="55" t="s">
        <v>1124</v>
      </c>
      <c r="C192" s="18" t="s">
        <v>733</v>
      </c>
      <c r="D192" s="6"/>
      <c r="E192" s="2">
        <f t="shared" ref="E192:AL192" si="198">E16/D16-1</f>
        <v>0.11324722138780419</v>
      </c>
      <c r="F192" s="2">
        <f t="shared" si="198"/>
        <v>6.1252023745277828E-2</v>
      </c>
      <c r="G192" s="2">
        <f t="shared" si="198"/>
        <v>-8.0854309687261594E-2</v>
      </c>
      <c r="H192" s="2">
        <f t="shared" si="198"/>
        <v>-1.6874135546334768E-2</v>
      </c>
      <c r="I192" s="2">
        <f t="shared" si="198"/>
        <v>0.18486212718064143</v>
      </c>
      <c r="J192" s="2">
        <f t="shared" si="198"/>
        <v>0.11636190928520551</v>
      </c>
      <c r="K192" s="2">
        <f t="shared" si="198"/>
        <v>9.5724313975749764E-2</v>
      </c>
      <c r="L192" s="263">
        <f t="shared" si="198"/>
        <v>5.8241118229469535E-3</v>
      </c>
      <c r="M192" s="263">
        <f t="shared" si="198"/>
        <v>2.5477707006369421E-2</v>
      </c>
      <c r="N192" s="263">
        <f t="shared" si="198"/>
        <v>8.8462262375306189E-3</v>
      </c>
      <c r="O192" s="263">
        <f t="shared" si="198"/>
        <v>0.15354477611940309</v>
      </c>
      <c r="P192" s="263">
        <f t="shared" si="198"/>
        <v>-6.4693514475178127E-4</v>
      </c>
      <c r="Q192" s="263">
        <f t="shared" si="198"/>
        <v>3.3986081890273523E-2</v>
      </c>
      <c r="R192" s="263">
        <f t="shared" si="198"/>
        <v>1.189544529660358E-2</v>
      </c>
      <c r="S192" s="263">
        <f t="shared" si="198"/>
        <v>5.8778035576179333E-2</v>
      </c>
      <c r="T192" s="263">
        <f t="shared" si="198"/>
        <v>5.8436815193571912E-2</v>
      </c>
      <c r="U192" s="263">
        <f t="shared" si="198"/>
        <v>5.8799171842650155E-2</v>
      </c>
      <c r="V192" s="263">
        <f t="shared" si="198"/>
        <v>8.6950853865206623E-2</v>
      </c>
      <c r="W192" s="263">
        <f t="shared" si="198"/>
        <v>9.5946270088750341E-2</v>
      </c>
      <c r="X192" s="263">
        <f t="shared" si="198"/>
        <v>-3.3924272269643119E-3</v>
      </c>
      <c r="Y192" s="263">
        <f t="shared" si="198"/>
        <v>-8.6636653123970619E-2</v>
      </c>
      <c r="Z192" s="263">
        <f t="shared" si="198"/>
        <v>-1.0819908631882647E-2</v>
      </c>
      <c r="AA192" s="263">
        <f t="shared" si="198"/>
        <v>3.4394749635391353E-2</v>
      </c>
      <c r="AB192" s="263">
        <f t="shared" si="198"/>
        <v>-8.224650452355764E-3</v>
      </c>
      <c r="AC192" s="263">
        <f t="shared" si="198"/>
        <v>-2.7129487027603316E-2</v>
      </c>
      <c r="AD192" s="263">
        <f t="shared" si="198"/>
        <v>6.8539992459550891E-2</v>
      </c>
      <c r="AE192" s="263">
        <f t="shared" si="198"/>
        <v>2.6497613233553041E-2</v>
      </c>
      <c r="AF192" s="263">
        <f t="shared" si="198"/>
        <v>3.0334122550951692E-2</v>
      </c>
      <c r="AG192" s="263">
        <f t="shared" si="198"/>
        <v>3.4109683273908287E-2</v>
      </c>
      <c r="AH192" s="263">
        <f t="shared" si="198"/>
        <v>3.7726677946688492E-2</v>
      </c>
      <c r="AI192" s="263">
        <f t="shared" si="198"/>
        <v>4.1267813532850584E-2</v>
      </c>
      <c r="AJ192" s="263">
        <f t="shared" si="198"/>
        <v>4.4807118643571453E-2</v>
      </c>
      <c r="AK192" s="263">
        <f t="shared" si="198"/>
        <v>4.8411668309190414E-2</v>
      </c>
      <c r="AL192" s="263">
        <f t="shared" si="198"/>
        <v>4.5522909583033622E-2</v>
      </c>
      <c r="AM192" s="2"/>
      <c r="AN192" s="2"/>
    </row>
    <row r="193" spans="1:40" outlineLevel="1">
      <c r="A193" s="2"/>
      <c r="B193" s="57" t="s">
        <v>1125</v>
      </c>
      <c r="C193" s="22" t="s">
        <v>733</v>
      </c>
      <c r="D193" s="25"/>
      <c r="E193" s="23">
        <f t="shared" ref="E193:AL193" si="199">E21/D21-1</f>
        <v>0.66319702602230479</v>
      </c>
      <c r="F193" s="23">
        <f t="shared" si="199"/>
        <v>-0.39427805096110857</v>
      </c>
      <c r="G193" s="23">
        <f t="shared" si="199"/>
        <v>0.13210332103321032</v>
      </c>
      <c r="H193" s="23">
        <f t="shared" si="199"/>
        <v>-7.5401999130812691E-2</v>
      </c>
      <c r="I193" s="23">
        <f t="shared" si="199"/>
        <v>-0.10340775558166859</v>
      </c>
      <c r="J193" s="23">
        <f t="shared" si="199"/>
        <v>0.16041939711664477</v>
      </c>
      <c r="K193" s="23">
        <f t="shared" si="199"/>
        <v>0.11226564264739092</v>
      </c>
      <c r="L193" s="856">
        <f t="shared" si="199"/>
        <v>-0.14865962632006502</v>
      </c>
      <c r="M193" s="856">
        <f t="shared" si="199"/>
        <v>7.1564885496178121E-4</v>
      </c>
      <c r="N193" s="856">
        <f t="shared" si="199"/>
        <v>-2.6221692491060766E-3</v>
      </c>
      <c r="O193" s="856">
        <f t="shared" si="199"/>
        <v>-3.9913957934990418E-2</v>
      </c>
      <c r="P193" s="856">
        <f t="shared" si="199"/>
        <v>2.6138909634055185E-2</v>
      </c>
      <c r="Q193" s="856">
        <f t="shared" si="199"/>
        <v>8.733624454148492E-3</v>
      </c>
      <c r="R193" s="856">
        <f t="shared" si="199"/>
        <v>-4.0885040885040858E-2</v>
      </c>
      <c r="S193" s="856">
        <f t="shared" si="199"/>
        <v>-4.2627883650953047E-3</v>
      </c>
      <c r="T193" s="856">
        <f t="shared" si="199"/>
        <v>8.637622765046582E-2</v>
      </c>
      <c r="U193" s="856">
        <f t="shared" si="199"/>
        <v>4.4506258692628586E-2</v>
      </c>
      <c r="V193" s="856">
        <f t="shared" si="199"/>
        <v>8.4553928095872255E-2</v>
      </c>
      <c r="W193" s="856">
        <f t="shared" si="199"/>
        <v>-2.1076324943728242E-2</v>
      </c>
      <c r="X193" s="856">
        <f t="shared" si="199"/>
        <v>-0.25083612040133785</v>
      </c>
      <c r="Y193" s="856">
        <f t="shared" si="199"/>
        <v>-0.1685267857142857</v>
      </c>
      <c r="Z193" s="856">
        <f t="shared" si="199"/>
        <v>-5.6375838926174482E-2</v>
      </c>
      <c r="AA193" s="856">
        <f t="shared" si="199"/>
        <v>-8.5348506401138335E-3</v>
      </c>
      <c r="AB193" s="856">
        <f t="shared" si="199"/>
        <v>0.11692969870875181</v>
      </c>
      <c r="AC193" s="856">
        <f t="shared" si="199"/>
        <v>-0.14386640976236353</v>
      </c>
      <c r="AD193" s="856">
        <f t="shared" si="199"/>
        <v>8.3764774344905479E-3</v>
      </c>
      <c r="AE193" s="856">
        <f t="shared" si="199"/>
        <v>9.1026578604036512E-3</v>
      </c>
      <c r="AF193" s="856">
        <f t="shared" si="199"/>
        <v>9.224040121907251E-3</v>
      </c>
      <c r="AG193" s="856">
        <f t="shared" si="199"/>
        <v>1.0644480649544708E-2</v>
      </c>
      <c r="AH193" s="856">
        <f t="shared" si="199"/>
        <v>1.2092265053920137E-2</v>
      </c>
      <c r="AI193" s="856">
        <f t="shared" si="199"/>
        <v>1.3584787383691399E-2</v>
      </c>
      <c r="AJ193" s="856">
        <f t="shared" si="199"/>
        <v>1.5140227318803712E-2</v>
      </c>
      <c r="AK193" s="856">
        <f t="shared" si="199"/>
        <v>1.6777670026390856E-2</v>
      </c>
      <c r="AL193" s="856">
        <f t="shared" si="199"/>
        <v>1.6777670026390856E-2</v>
      </c>
      <c r="AM193" s="2"/>
      <c r="AN193" s="2"/>
    </row>
    <row r="194" spans="1:40" outlineLevel="1">
      <c r="A194" s="6"/>
      <c r="B194" s="6" t="s">
        <v>214</v>
      </c>
      <c r="C194" s="21" t="s">
        <v>733</v>
      </c>
      <c r="D194" s="6"/>
      <c r="E194" s="6">
        <f t="shared" ref="E194:AL194" si="200">E24/D24-1</f>
        <v>0.21273737011823712</v>
      </c>
      <c r="F194" s="6">
        <f t="shared" si="200"/>
        <v>-0.16995346775980502</v>
      </c>
      <c r="G194" s="6">
        <f t="shared" si="200"/>
        <v>1.6284036305392435E-2</v>
      </c>
      <c r="H194" s="6">
        <f t="shared" si="200"/>
        <v>-3.4497854828824059E-2</v>
      </c>
      <c r="I194" s="6">
        <f t="shared" si="200"/>
        <v>7.7718327740999404E-2</v>
      </c>
      <c r="J194" s="6">
        <f t="shared" si="200"/>
        <v>0.13530797711208353</v>
      </c>
      <c r="K194" s="6">
        <f t="shared" si="200"/>
        <v>4.4470797509635229E-2</v>
      </c>
      <c r="L194" s="857">
        <f t="shared" si="200"/>
        <v>3.5055350553505615E-2</v>
      </c>
      <c r="M194" s="857">
        <f t="shared" si="200"/>
        <v>5.6218291512408758E-3</v>
      </c>
      <c r="N194" s="857">
        <f t="shared" si="200"/>
        <v>-3.299700027270247E-2</v>
      </c>
      <c r="O194" s="857">
        <f t="shared" si="200"/>
        <v>6.8386914833615364E-2</v>
      </c>
      <c r="P194" s="857">
        <f t="shared" si="200"/>
        <v>7.588755444107198E-3</v>
      </c>
      <c r="Q194" s="857">
        <f t="shared" si="200"/>
        <v>5.3048660685048876E-3</v>
      </c>
      <c r="R194" s="857">
        <f t="shared" si="200"/>
        <v>-1.0749185667752403E-2</v>
      </c>
      <c r="S194" s="857">
        <f t="shared" si="200"/>
        <v>2.7197892657227607E-2</v>
      </c>
      <c r="T194" s="857">
        <f t="shared" si="200"/>
        <v>6.4239005000641169E-2</v>
      </c>
      <c r="U194" s="857">
        <f t="shared" si="200"/>
        <v>5.7710843373494081E-2</v>
      </c>
      <c r="V194" s="857">
        <f t="shared" si="200"/>
        <v>6.0599157079394006E-2</v>
      </c>
      <c r="W194" s="857">
        <f t="shared" si="200"/>
        <v>4.0973042637740376E-2</v>
      </c>
      <c r="X194" s="857">
        <f t="shared" si="200"/>
        <v>-0.12556100077379417</v>
      </c>
      <c r="Y194" s="857">
        <f t="shared" si="200"/>
        <v>-8.7369476727036766E-2</v>
      </c>
      <c r="Z194" s="857">
        <f t="shared" si="200"/>
        <v>-4.6024563671622443E-2</v>
      </c>
      <c r="AA194" s="857">
        <f t="shared" si="200"/>
        <v>4.0520395717576818E-2</v>
      </c>
      <c r="AB194" s="857">
        <f t="shared" si="200"/>
        <v>3.7900494920552141E-2</v>
      </c>
      <c r="AC194" s="857">
        <f t="shared" si="200"/>
        <v>-5.9731459405195086E-2</v>
      </c>
      <c r="AD194" s="857">
        <f t="shared" si="200"/>
        <v>4.1735627121388674E-2</v>
      </c>
      <c r="AE194" s="857">
        <f t="shared" si="200"/>
        <v>1.9042581688549998E-2</v>
      </c>
      <c r="AF194" s="857">
        <f t="shared" si="200"/>
        <v>2.2394386543588052E-2</v>
      </c>
      <c r="AG194" s="857">
        <f t="shared" si="200"/>
        <v>2.4873360287287483E-2</v>
      </c>
      <c r="AH194" s="857">
        <f t="shared" si="200"/>
        <v>2.7310867570456088E-2</v>
      </c>
      <c r="AI194" s="857">
        <f t="shared" si="200"/>
        <v>2.9761023978330581E-2</v>
      </c>
      <c r="AJ194" s="857">
        <f t="shared" si="200"/>
        <v>3.2274423883640768E-2</v>
      </c>
      <c r="AK194" s="857">
        <f t="shared" si="200"/>
        <v>3.4899305536359781E-2</v>
      </c>
      <c r="AL194" s="857">
        <f t="shared" si="200"/>
        <v>3.3418859387155386E-2</v>
      </c>
      <c r="AM194" s="6"/>
      <c r="AN194" s="6"/>
    </row>
    <row r="195" spans="1:40" ht="14.4" outlineLevel="1" thickBot="1">
      <c r="A195" s="2"/>
      <c r="B195" s="76"/>
      <c r="C195" s="78"/>
      <c r="D195" s="218"/>
      <c r="E195" s="218"/>
      <c r="F195" s="218"/>
      <c r="G195" s="218"/>
      <c r="H195" s="218"/>
      <c r="I195" s="218"/>
      <c r="J195" s="218"/>
      <c r="K195" s="218"/>
      <c r="L195" s="218"/>
      <c r="M195" s="76"/>
      <c r="N195" s="76"/>
      <c r="O195" s="76"/>
      <c r="P195" s="76"/>
      <c r="Q195" s="76"/>
      <c r="R195" s="76"/>
      <c r="S195" s="76"/>
      <c r="T195" s="76"/>
      <c r="U195" s="76"/>
      <c r="V195" s="76"/>
      <c r="W195" s="76"/>
      <c r="X195" s="76"/>
      <c r="Y195" s="76"/>
      <c r="Z195" s="76"/>
      <c r="AA195" s="76"/>
      <c r="AB195" s="76"/>
      <c r="AC195" s="76"/>
      <c r="AD195" s="76"/>
      <c r="AE195" s="76"/>
      <c r="AF195" s="76"/>
      <c r="AG195" s="76"/>
      <c r="AH195" s="76"/>
      <c r="AI195" s="76"/>
      <c r="AJ195" s="76"/>
      <c r="AK195" s="76"/>
      <c r="AL195" s="76"/>
      <c r="AM195" s="2"/>
      <c r="AN195" s="2"/>
    </row>
    <row r="196" spans="1:40" outlineLevel="1">
      <c r="A196" s="2"/>
      <c r="B196" s="2"/>
      <c r="C196" s="18"/>
      <c r="D196" s="6"/>
      <c r="E196" s="6"/>
      <c r="F196" s="6"/>
      <c r="G196" s="6"/>
      <c r="H196" s="6"/>
      <c r="I196" s="6"/>
      <c r="J196" s="6"/>
      <c r="K196" s="6"/>
      <c r="L196" s="6"/>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row>
    <row r="197" spans="1:40" ht="15.6" outlineLevel="1">
      <c r="A197" s="2"/>
      <c r="B197" s="237" t="s">
        <v>328</v>
      </c>
      <c r="C197" s="238"/>
      <c r="D197" s="239"/>
      <c r="E197" s="239"/>
      <c r="F197" s="239"/>
      <c r="G197" s="239"/>
      <c r="H197" s="239"/>
      <c r="I197" s="239"/>
      <c r="J197" s="239"/>
      <c r="K197" s="239"/>
      <c r="L197" s="239"/>
      <c r="M197" s="239"/>
      <c r="N197" s="239"/>
      <c r="O197" s="239"/>
      <c r="P197" s="239"/>
      <c r="Q197" s="239"/>
      <c r="R197" s="239"/>
      <c r="S197" s="239"/>
      <c r="T197" s="239"/>
      <c r="U197" s="239"/>
      <c r="V197" s="239"/>
      <c r="W197" s="239"/>
      <c r="X197" s="239"/>
      <c r="Y197" s="239"/>
      <c r="Z197" s="239"/>
      <c r="AA197" s="239"/>
      <c r="AB197" s="239"/>
      <c r="AC197" s="239"/>
      <c r="AD197" s="239"/>
      <c r="AE197" s="239"/>
      <c r="AF197" s="239"/>
      <c r="AG197" s="239"/>
      <c r="AH197" s="270"/>
      <c r="AI197" s="240"/>
      <c r="AJ197" s="240"/>
      <c r="AK197" s="240"/>
      <c r="AL197" s="240"/>
      <c r="AM197" s="2"/>
      <c r="AN197" s="2"/>
    </row>
    <row r="198" spans="1:40" outlineLevel="1">
      <c r="A198" s="2"/>
      <c r="B198" s="2"/>
      <c r="C198" s="18"/>
      <c r="D198" s="6"/>
      <c r="E198" s="6"/>
      <c r="F198" s="6"/>
      <c r="G198" s="6"/>
      <c r="H198" s="6"/>
      <c r="I198" s="6"/>
      <c r="J198" s="6"/>
      <c r="K198" s="6"/>
      <c r="L198" s="6"/>
      <c r="M198" s="2"/>
      <c r="N198" s="2"/>
      <c r="O198" s="2"/>
      <c r="P198" s="113"/>
      <c r="Q198" s="2"/>
      <c r="R198" s="2"/>
      <c r="S198" s="2"/>
      <c r="T198" s="2"/>
      <c r="U198" s="2"/>
      <c r="V198" s="2"/>
      <c r="W198" s="2"/>
      <c r="X198" s="2"/>
      <c r="Y198" s="2"/>
      <c r="Z198" s="2"/>
      <c r="AA198" s="2"/>
      <c r="AB198" s="2"/>
      <c r="AC198" s="2"/>
      <c r="AD198" s="2"/>
      <c r="AE198" s="2"/>
      <c r="AF198" s="2"/>
      <c r="AG198" s="2"/>
      <c r="AH198" s="2"/>
      <c r="AI198" s="2"/>
      <c r="AJ198" s="2"/>
      <c r="AK198" s="2"/>
      <c r="AL198" s="2"/>
      <c r="AM198" s="2"/>
      <c r="AN198" s="2"/>
    </row>
    <row r="199" spans="1:40" outlineLevel="1">
      <c r="A199" s="2"/>
      <c r="B199" s="2" t="s">
        <v>60</v>
      </c>
      <c r="C199" s="18" t="s">
        <v>1108</v>
      </c>
      <c r="D199" s="601">
        <v>50761</v>
      </c>
      <c r="E199" s="601">
        <v>46610</v>
      </c>
      <c r="F199" s="601">
        <v>44977</v>
      </c>
      <c r="G199" s="601">
        <v>42064</v>
      </c>
      <c r="H199" s="601">
        <v>41941</v>
      </c>
      <c r="I199" s="601">
        <v>46227</v>
      </c>
      <c r="J199" s="601">
        <v>44452</v>
      </c>
      <c r="K199" s="601">
        <v>43411</v>
      </c>
      <c r="L199" s="602">
        <v>42784</v>
      </c>
      <c r="M199" s="602">
        <v>39464</v>
      </c>
      <c r="N199" s="602">
        <v>41690</v>
      </c>
      <c r="O199" s="602">
        <v>35790</v>
      </c>
      <c r="P199" s="739">
        <v>39972</v>
      </c>
      <c r="Q199" s="739">
        <v>32038</v>
      </c>
      <c r="R199" s="739">
        <v>31931</v>
      </c>
      <c r="S199" s="739">
        <v>36165</v>
      </c>
      <c r="T199" s="739">
        <v>33482</v>
      </c>
      <c r="U199" s="739">
        <v>32293</v>
      </c>
      <c r="V199" s="739">
        <v>34624</v>
      </c>
      <c r="W199" s="739">
        <v>29769</v>
      </c>
      <c r="X199" s="739">
        <v>28959</v>
      </c>
      <c r="Y199" s="739">
        <v>27015</v>
      </c>
      <c r="Z199" s="739">
        <v>28889</v>
      </c>
      <c r="AA199" s="739">
        <v>31761</v>
      </c>
      <c r="AB199" s="739">
        <v>31762</v>
      </c>
      <c r="AC199" s="254">
        <f t="shared" ref="AC199:AI199" si="201">AB199*(1+AC201)</f>
        <v>31763.000031485157</v>
      </c>
      <c r="AD199" s="254">
        <f t="shared" si="201"/>
        <v>31445.370031170303</v>
      </c>
      <c r="AE199" s="254">
        <f t="shared" si="201"/>
        <v>31130.916330858599</v>
      </c>
      <c r="AF199" s="254">
        <f t="shared" si="201"/>
        <v>30819.607167550013</v>
      </c>
      <c r="AG199" s="254">
        <f t="shared" si="201"/>
        <v>30511.411095874511</v>
      </c>
      <c r="AH199" s="254">
        <f t="shared" si="201"/>
        <v>30206.296984915767</v>
      </c>
      <c r="AI199" s="254">
        <f t="shared" si="201"/>
        <v>29904.23401506661</v>
      </c>
      <c r="AJ199" s="254">
        <f t="shared" ref="AJ199" si="202">AI199*(1+AJ201)</f>
        <v>29605.191674915943</v>
      </c>
      <c r="AK199" s="254">
        <f t="shared" ref="AK199:AL199" si="203">AJ199*(1+AK201)</f>
        <v>29309.139758166784</v>
      </c>
      <c r="AL199" s="254">
        <f t="shared" si="203"/>
        <v>29016.048360585115</v>
      </c>
      <c r="AM199" s="2"/>
      <c r="AN199" s="2"/>
    </row>
    <row r="200" spans="1:40" outlineLevel="1">
      <c r="A200" s="2"/>
      <c r="B200" s="407" t="s">
        <v>1314</v>
      </c>
      <c r="C200" s="18" t="s">
        <v>1108</v>
      </c>
      <c r="D200" s="154"/>
      <c r="E200" s="156">
        <f t="shared" ref="E200:AB200" si="204">E199-D199</f>
        <v>-4151</v>
      </c>
      <c r="F200" s="156">
        <f t="shared" si="204"/>
        <v>-1633</v>
      </c>
      <c r="G200" s="156">
        <f t="shared" si="204"/>
        <v>-2913</v>
      </c>
      <c r="H200" s="156">
        <f t="shared" si="204"/>
        <v>-123</v>
      </c>
      <c r="I200" s="156">
        <f t="shared" si="204"/>
        <v>4286</v>
      </c>
      <c r="J200" s="156">
        <f t="shared" si="204"/>
        <v>-1775</v>
      </c>
      <c r="K200" s="156">
        <f t="shared" si="204"/>
        <v>-1041</v>
      </c>
      <c r="L200" s="260">
        <f t="shared" si="204"/>
        <v>-627</v>
      </c>
      <c r="M200" s="260">
        <f t="shared" si="204"/>
        <v>-3320</v>
      </c>
      <c r="N200" s="260">
        <f t="shared" si="204"/>
        <v>2226</v>
      </c>
      <c r="O200" s="260">
        <f t="shared" si="204"/>
        <v>-5900</v>
      </c>
      <c r="P200" s="260">
        <f t="shared" si="204"/>
        <v>4182</v>
      </c>
      <c r="Q200" s="260">
        <f t="shared" si="204"/>
        <v>-7934</v>
      </c>
      <c r="R200" s="260">
        <f t="shared" si="204"/>
        <v>-107</v>
      </c>
      <c r="S200" s="260">
        <f t="shared" si="204"/>
        <v>4234</v>
      </c>
      <c r="T200" s="260">
        <f t="shared" si="204"/>
        <v>-2683</v>
      </c>
      <c r="U200" s="260">
        <f t="shared" si="204"/>
        <v>-1189</v>
      </c>
      <c r="V200" s="260">
        <f t="shared" si="204"/>
        <v>2331</v>
      </c>
      <c r="W200" s="260">
        <f t="shared" si="204"/>
        <v>-4855</v>
      </c>
      <c r="X200" s="260">
        <f t="shared" si="204"/>
        <v>-810</v>
      </c>
      <c r="Y200" s="260">
        <f t="shared" si="204"/>
        <v>-1944</v>
      </c>
      <c r="Z200" s="260">
        <f t="shared" si="204"/>
        <v>1874</v>
      </c>
      <c r="AA200" s="260">
        <f t="shared" si="204"/>
        <v>2872</v>
      </c>
      <c r="AB200" s="260">
        <f t="shared" si="204"/>
        <v>1</v>
      </c>
      <c r="AC200" s="260">
        <f t="shared" ref="AC200:AI200" si="205">AC199-AB199</f>
        <v>1.0000314851567964</v>
      </c>
      <c r="AD200" s="260">
        <f t="shared" si="205"/>
        <v>-317.63000031485353</v>
      </c>
      <c r="AE200" s="260">
        <f t="shared" si="205"/>
        <v>-314.45370031170387</v>
      </c>
      <c r="AF200" s="260">
        <f t="shared" si="205"/>
        <v>-311.30916330858599</v>
      </c>
      <c r="AG200" s="260">
        <f t="shared" si="205"/>
        <v>-308.19607167550203</v>
      </c>
      <c r="AH200" s="260">
        <f t="shared" si="205"/>
        <v>-305.11411095874428</v>
      </c>
      <c r="AI200" s="260">
        <f t="shared" si="205"/>
        <v>-302.06296984915753</v>
      </c>
      <c r="AJ200" s="260">
        <f t="shared" ref="AJ200" si="206">AJ199-AI199</f>
        <v>-299.04234015066686</v>
      </c>
      <c r="AK200" s="260">
        <f t="shared" ref="AK200:AL200" si="207">AK199-AJ199</f>
        <v>-296.05191674915841</v>
      </c>
      <c r="AL200" s="260">
        <f t="shared" si="207"/>
        <v>-293.0913975816693</v>
      </c>
      <c r="AM200" s="2"/>
      <c r="AN200" s="2"/>
    </row>
    <row r="201" spans="1:40" outlineLevel="1">
      <c r="A201" s="2"/>
      <c r="B201" s="241" t="s">
        <v>1099</v>
      </c>
      <c r="C201" s="18" t="s">
        <v>733</v>
      </c>
      <c r="D201" s="6"/>
      <c r="E201" s="2">
        <f t="shared" ref="E201:V201" si="208">E199/D199-1</f>
        <v>-8.1775378735643556E-2</v>
      </c>
      <c r="F201" s="2">
        <f t="shared" si="208"/>
        <v>-3.5035400128727745E-2</v>
      </c>
      <c r="G201" s="2">
        <f t="shared" si="208"/>
        <v>-6.4766436178491205E-2</v>
      </c>
      <c r="H201" s="2">
        <f t="shared" si="208"/>
        <v>-2.9241156333206231E-3</v>
      </c>
      <c r="I201" s="2">
        <f t="shared" si="208"/>
        <v>0.1021911733148948</v>
      </c>
      <c r="J201" s="2">
        <f t="shared" si="208"/>
        <v>-3.8397473338092403E-2</v>
      </c>
      <c r="K201" s="2">
        <f t="shared" si="208"/>
        <v>-2.3418518851795245E-2</v>
      </c>
      <c r="L201" s="263">
        <f t="shared" si="208"/>
        <v>-1.4443343852940549E-2</v>
      </c>
      <c r="M201" s="263">
        <f t="shared" si="208"/>
        <v>-7.7599102468212444E-2</v>
      </c>
      <c r="N201" s="263">
        <f t="shared" si="208"/>
        <v>5.6405838232312933E-2</v>
      </c>
      <c r="O201" s="263">
        <f t="shared" si="208"/>
        <v>-0.14152074838090667</v>
      </c>
      <c r="P201" s="263">
        <f t="shared" si="208"/>
        <v>0.11684828164291705</v>
      </c>
      <c r="Q201" s="263">
        <f t="shared" si="208"/>
        <v>-0.19848894225958169</v>
      </c>
      <c r="R201" s="263">
        <f t="shared" si="208"/>
        <v>-3.3397840064922635E-3</v>
      </c>
      <c r="S201" s="263">
        <f t="shared" si="208"/>
        <v>0.13259841533306194</v>
      </c>
      <c r="T201" s="263">
        <f t="shared" si="208"/>
        <v>-7.4187750587584644E-2</v>
      </c>
      <c r="U201" s="263">
        <f t="shared" si="208"/>
        <v>-3.551161818290427E-2</v>
      </c>
      <c r="V201" s="263">
        <f t="shared" si="208"/>
        <v>7.218282599944259E-2</v>
      </c>
      <c r="W201" s="263">
        <f t="shared" ref="W201:AB201" si="209">W199/V199-1</f>
        <v>-0.14022065619223656</v>
      </c>
      <c r="X201" s="263">
        <f t="shared" si="209"/>
        <v>-2.7209513252040685E-2</v>
      </c>
      <c r="Y201" s="263">
        <f t="shared" si="209"/>
        <v>-6.7129389826996788E-2</v>
      </c>
      <c r="Z201" s="263">
        <f t="shared" si="209"/>
        <v>6.9368869146770207E-2</v>
      </c>
      <c r="AA201" s="263">
        <f t="shared" si="209"/>
        <v>9.9415002249991336E-2</v>
      </c>
      <c r="AB201" s="263">
        <f t="shared" si="209"/>
        <v>3.1485154749599786E-5</v>
      </c>
      <c r="AC201" s="639">
        <f t="shared" ref="AC201:AI201" si="210">AB201</f>
        <v>3.1485154749599786E-5</v>
      </c>
      <c r="AD201" s="639">
        <v>-0.01</v>
      </c>
      <c r="AE201" s="639">
        <f t="shared" si="210"/>
        <v>-0.01</v>
      </c>
      <c r="AF201" s="639">
        <f>AE201</f>
        <v>-0.01</v>
      </c>
      <c r="AG201" s="639">
        <f t="shared" si="210"/>
        <v>-0.01</v>
      </c>
      <c r="AH201" s="639">
        <f t="shared" si="210"/>
        <v>-0.01</v>
      </c>
      <c r="AI201" s="639">
        <f t="shared" si="210"/>
        <v>-0.01</v>
      </c>
      <c r="AJ201" s="639">
        <f t="shared" ref="AJ201" si="211">AI201</f>
        <v>-0.01</v>
      </c>
      <c r="AK201" s="639">
        <f t="shared" ref="AK201:AL201" si="212">AJ201</f>
        <v>-0.01</v>
      </c>
      <c r="AL201" s="639">
        <f t="shared" si="212"/>
        <v>-0.01</v>
      </c>
      <c r="AM201" s="2"/>
      <c r="AN201" s="2"/>
    </row>
    <row r="202" spans="1:40" outlineLevel="1">
      <c r="A202" s="2"/>
      <c r="B202" s="2" t="s">
        <v>61</v>
      </c>
      <c r="C202" s="18" t="s">
        <v>1108</v>
      </c>
      <c r="D202" s="168">
        <f t="shared" ref="D202:AB202" si="213">AVERAGE(C199:D199)</f>
        <v>50761</v>
      </c>
      <c r="E202" s="168">
        <f t="shared" si="213"/>
        <v>48685.5</v>
      </c>
      <c r="F202" s="168">
        <f t="shared" si="213"/>
        <v>45793.5</v>
      </c>
      <c r="G202" s="168">
        <f t="shared" si="213"/>
        <v>43520.5</v>
      </c>
      <c r="H202" s="168">
        <f t="shared" si="213"/>
        <v>42002.5</v>
      </c>
      <c r="I202" s="168">
        <f t="shared" si="213"/>
        <v>44084</v>
      </c>
      <c r="J202" s="168">
        <f t="shared" si="213"/>
        <v>45339.5</v>
      </c>
      <c r="K202" s="168">
        <f t="shared" si="213"/>
        <v>43931.5</v>
      </c>
      <c r="L202" s="254">
        <f t="shared" si="213"/>
        <v>43097.5</v>
      </c>
      <c r="M202" s="254">
        <f t="shared" si="213"/>
        <v>41124</v>
      </c>
      <c r="N202" s="254">
        <f t="shared" si="213"/>
        <v>40577</v>
      </c>
      <c r="O202" s="254">
        <f t="shared" si="213"/>
        <v>38740</v>
      </c>
      <c r="P202" s="254">
        <f t="shared" si="213"/>
        <v>37881</v>
      </c>
      <c r="Q202" s="254">
        <f t="shared" si="213"/>
        <v>36005</v>
      </c>
      <c r="R202" s="254">
        <f t="shared" si="213"/>
        <v>31984.5</v>
      </c>
      <c r="S202" s="254">
        <f t="shared" si="213"/>
        <v>34048</v>
      </c>
      <c r="T202" s="254">
        <f t="shared" si="213"/>
        <v>34823.5</v>
      </c>
      <c r="U202" s="254">
        <f t="shared" si="213"/>
        <v>32887.5</v>
      </c>
      <c r="V202" s="254">
        <f t="shared" si="213"/>
        <v>33458.5</v>
      </c>
      <c r="W202" s="254">
        <f t="shared" si="213"/>
        <v>32196.5</v>
      </c>
      <c r="X202" s="254">
        <f t="shared" si="213"/>
        <v>29364</v>
      </c>
      <c r="Y202" s="254">
        <f t="shared" si="213"/>
        <v>27987</v>
      </c>
      <c r="Z202" s="254">
        <f t="shared" si="213"/>
        <v>27952</v>
      </c>
      <c r="AA202" s="254">
        <f t="shared" si="213"/>
        <v>30325</v>
      </c>
      <c r="AB202" s="254">
        <f t="shared" si="213"/>
        <v>31761.5</v>
      </c>
      <c r="AC202" s="254">
        <f t="shared" ref="AC202:AI202" si="214">AVERAGE(AB199:AC199)</f>
        <v>31762.500015742578</v>
      </c>
      <c r="AD202" s="254">
        <f t="shared" si="214"/>
        <v>31604.185031327732</v>
      </c>
      <c r="AE202" s="254">
        <f t="shared" si="214"/>
        <v>31288.14318101445</v>
      </c>
      <c r="AF202" s="254">
        <f t="shared" si="214"/>
        <v>30975.261749204306</v>
      </c>
      <c r="AG202" s="254">
        <f t="shared" si="214"/>
        <v>30665.509131712264</v>
      </c>
      <c r="AH202" s="254">
        <f t="shared" si="214"/>
        <v>30358.854040395141</v>
      </c>
      <c r="AI202" s="254">
        <f t="shared" si="214"/>
        <v>30055.26549999119</v>
      </c>
      <c r="AJ202" s="254">
        <f t="shared" ref="AJ202" si="215">AVERAGE(AI199:AJ199)</f>
        <v>29754.712844991278</v>
      </c>
      <c r="AK202" s="254">
        <f t="shared" ref="AK202:AL202" si="216">AVERAGE(AJ199:AK199)</f>
        <v>29457.165716541364</v>
      </c>
      <c r="AL202" s="254">
        <f t="shared" si="216"/>
        <v>29162.594059375951</v>
      </c>
      <c r="AM202" s="2"/>
      <c r="AN202" s="2"/>
    </row>
    <row r="203" spans="1:40" outlineLevel="1">
      <c r="A203" s="2"/>
      <c r="B203" s="2"/>
      <c r="C203" s="18"/>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row>
    <row r="204" spans="1:40" outlineLevel="1">
      <c r="A204" s="2"/>
      <c r="B204" s="2" t="s">
        <v>380</v>
      </c>
      <c r="C204" s="18" t="s">
        <v>297</v>
      </c>
      <c r="D204" s="3">
        <f t="shared" ref="D204:Z204" si="217">D208/D202*1000</f>
        <v>62.843521601229291</v>
      </c>
      <c r="E204" s="3">
        <f t="shared" si="217"/>
        <v>63.222109252241424</v>
      </c>
      <c r="F204" s="3">
        <f t="shared" si="217"/>
        <v>64.441460032537364</v>
      </c>
      <c r="G204" s="3">
        <f t="shared" si="217"/>
        <v>67.163750416470393</v>
      </c>
      <c r="H204" s="3">
        <f t="shared" si="217"/>
        <v>72.567109100648779</v>
      </c>
      <c r="I204" s="3">
        <f t="shared" si="217"/>
        <v>85.45050358406678</v>
      </c>
      <c r="J204" s="3">
        <f t="shared" si="217"/>
        <v>84.473803195888792</v>
      </c>
      <c r="K204" s="3">
        <f t="shared" si="217"/>
        <v>88.046162776140122</v>
      </c>
      <c r="L204" s="399">
        <f t="shared" si="217"/>
        <v>115.43593015836186</v>
      </c>
      <c r="M204" s="399">
        <f t="shared" si="217"/>
        <v>120.1488182083455</v>
      </c>
      <c r="N204" s="399">
        <f t="shared" si="217"/>
        <v>111.19599773270572</v>
      </c>
      <c r="O204" s="399">
        <f t="shared" si="217"/>
        <v>122.09602478058854</v>
      </c>
      <c r="P204" s="399">
        <f t="shared" si="217"/>
        <v>126.87099073414113</v>
      </c>
      <c r="Q204" s="399">
        <f t="shared" si="217"/>
        <v>128.14886821274823</v>
      </c>
      <c r="R204" s="399">
        <f t="shared" si="217"/>
        <v>140.09911050665167</v>
      </c>
      <c r="S204" s="399">
        <f t="shared" si="217"/>
        <v>137.12993421052633</v>
      </c>
      <c r="T204" s="399">
        <f t="shared" si="217"/>
        <v>139.99167229026378</v>
      </c>
      <c r="U204" s="399">
        <f t="shared" si="217"/>
        <v>154.10110224249334</v>
      </c>
      <c r="V204" s="399">
        <f t="shared" si="217"/>
        <v>150.75391903402723</v>
      </c>
      <c r="W204" s="399">
        <f t="shared" si="217"/>
        <v>144.02186573074712</v>
      </c>
      <c r="X204" s="399">
        <f t="shared" si="217"/>
        <v>132.84974799073694</v>
      </c>
      <c r="Y204" s="399">
        <f t="shared" si="217"/>
        <v>134.31235930967949</v>
      </c>
      <c r="Z204" s="399">
        <f t="shared" si="217"/>
        <v>126.64567830566686</v>
      </c>
      <c r="AA204" s="399">
        <f t="shared" ref="AA204:AB204" si="218">AA208/AA202*1000</f>
        <v>128.17807089859852</v>
      </c>
      <c r="AB204" s="399">
        <f t="shared" si="218"/>
        <v>127.41841537710749</v>
      </c>
      <c r="AC204" s="399">
        <f t="shared" ref="AC204:AI204" si="219">AB204*(1+AC205)</f>
        <v>130.60387576153516</v>
      </c>
      <c r="AD204" s="399">
        <f t="shared" si="219"/>
        <v>133.86897265557354</v>
      </c>
      <c r="AE204" s="399">
        <f t="shared" si="219"/>
        <v>137.21569697196287</v>
      </c>
      <c r="AF204" s="399">
        <f t="shared" si="219"/>
        <v>140.64608939626194</v>
      </c>
      <c r="AG204" s="399">
        <f t="shared" si="219"/>
        <v>144.16224163116848</v>
      </c>
      <c r="AH204" s="399">
        <f t="shared" si="219"/>
        <v>147.76629767194768</v>
      </c>
      <c r="AI204" s="399">
        <f t="shared" si="219"/>
        <v>151.46045511374635</v>
      </c>
      <c r="AJ204" s="399">
        <f t="shared" ref="AJ204" si="220">AI204*(1+AJ205)</f>
        <v>155.24696649159</v>
      </c>
      <c r="AK204" s="399">
        <f t="shared" ref="AK204:AL204" si="221">AJ204*(1+AK205)</f>
        <v>159.12814065387974</v>
      </c>
      <c r="AL204" s="399">
        <f t="shared" si="221"/>
        <v>163.10634417022672</v>
      </c>
      <c r="AM204" s="2"/>
      <c r="AN204" s="2"/>
    </row>
    <row r="205" spans="1:40" outlineLevel="1">
      <c r="A205" s="2"/>
      <c r="B205" s="241" t="s">
        <v>1099</v>
      </c>
      <c r="C205" s="18" t="s">
        <v>733</v>
      </c>
      <c r="D205" s="2"/>
      <c r="E205" s="2">
        <f t="shared" ref="E205:AB205" si="222">E204/D204-1</f>
        <v>6.0242908316698873E-3</v>
      </c>
      <c r="F205" s="2">
        <f t="shared" si="222"/>
        <v>1.9286777912312481E-2</v>
      </c>
      <c r="G205" s="2">
        <f t="shared" si="222"/>
        <v>4.2244393323157325E-2</v>
      </c>
      <c r="H205" s="2">
        <f t="shared" si="222"/>
        <v>8.0450520566125672E-2</v>
      </c>
      <c r="I205" s="2">
        <f t="shared" si="222"/>
        <v>0.17753765642708808</v>
      </c>
      <c r="J205" s="2">
        <f t="shared" si="222"/>
        <v>-1.1430013249917326E-2</v>
      </c>
      <c r="K205" s="2">
        <f t="shared" si="222"/>
        <v>4.2289555401776813E-2</v>
      </c>
      <c r="L205" s="263">
        <f t="shared" si="222"/>
        <v>0.31108416901553104</v>
      </c>
      <c r="M205" s="263">
        <f t="shared" si="222"/>
        <v>4.0826872911390977E-2</v>
      </c>
      <c r="N205" s="263">
        <f t="shared" si="222"/>
        <v>-7.4514428099617613E-2</v>
      </c>
      <c r="O205" s="263">
        <f t="shared" si="222"/>
        <v>9.8025354060713887E-2</v>
      </c>
      <c r="P205" s="263">
        <f t="shared" si="222"/>
        <v>3.9108283518103137E-2</v>
      </c>
      <c r="Q205" s="263">
        <f t="shared" si="222"/>
        <v>1.0072259002728901E-2</v>
      </c>
      <c r="R205" s="263">
        <f t="shared" si="222"/>
        <v>9.3252811831814775E-2</v>
      </c>
      <c r="S205" s="263">
        <f t="shared" si="222"/>
        <v>-2.1193398626070281E-2</v>
      </c>
      <c r="T205" s="263">
        <f t="shared" si="222"/>
        <v>2.0868806626451297E-2</v>
      </c>
      <c r="U205" s="263">
        <f t="shared" si="222"/>
        <v>0.10078763773158284</v>
      </c>
      <c r="V205" s="263">
        <f t="shared" si="222"/>
        <v>-2.1720696086903968E-2</v>
      </c>
      <c r="W205" s="263">
        <f t="shared" si="222"/>
        <v>-4.4655909089571288E-2</v>
      </c>
      <c r="X205" s="263">
        <f t="shared" si="222"/>
        <v>-7.7572371968134046E-2</v>
      </c>
      <c r="Y205" s="263">
        <f t="shared" si="222"/>
        <v>1.1009515193393771E-2</v>
      </c>
      <c r="Z205" s="263">
        <f t="shared" si="222"/>
        <v>-5.7080979318781977E-2</v>
      </c>
      <c r="AA205" s="263">
        <f t="shared" si="222"/>
        <v>1.2099841174470605E-2</v>
      </c>
      <c r="AB205" s="263">
        <f t="shared" si="222"/>
        <v>-5.9265638510973551E-3</v>
      </c>
      <c r="AC205" s="639">
        <v>2.5000000000000001E-2</v>
      </c>
      <c r="AD205" s="639">
        <v>2.5000000000000001E-2</v>
      </c>
      <c r="AE205" s="639">
        <v>2.5000000000000001E-2</v>
      </c>
      <c r="AF205" s="639">
        <v>2.5000000000000001E-2</v>
      </c>
      <c r="AG205" s="639">
        <v>2.5000000000000001E-2</v>
      </c>
      <c r="AH205" s="639">
        <v>2.5000000000000001E-2</v>
      </c>
      <c r="AI205" s="639">
        <v>2.5000000000000001E-2</v>
      </c>
      <c r="AJ205" s="639">
        <v>2.5000000000000001E-2</v>
      </c>
      <c r="AK205" s="639">
        <v>2.5000000000000001E-2</v>
      </c>
      <c r="AL205" s="639">
        <v>2.5000000000000001E-2</v>
      </c>
      <c r="AM205" s="2"/>
      <c r="AN205" s="2"/>
    </row>
    <row r="206" spans="1:40" outlineLevel="1">
      <c r="A206" s="2"/>
      <c r="B206" s="2"/>
      <c r="C206" s="18"/>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row>
    <row r="207" spans="1:40" outlineLevel="1">
      <c r="A207" s="2"/>
      <c r="B207" s="55" t="s">
        <v>1142</v>
      </c>
      <c r="C207" s="18" t="s">
        <v>732</v>
      </c>
      <c r="D207" s="858">
        <v>610</v>
      </c>
      <c r="E207" s="858">
        <v>44</v>
      </c>
      <c r="F207" s="858">
        <v>289</v>
      </c>
      <c r="G207" s="858">
        <v>281</v>
      </c>
      <c r="H207" s="858">
        <v>170</v>
      </c>
      <c r="I207" s="858">
        <v>91</v>
      </c>
      <c r="J207" s="858">
        <v>534</v>
      </c>
      <c r="K207" s="858">
        <v>149</v>
      </c>
      <c r="L207" s="739">
        <v>238</v>
      </c>
      <c r="M207" s="739">
        <v>219</v>
      </c>
      <c r="N207" s="739">
        <v>128</v>
      </c>
      <c r="O207" s="739">
        <v>224</v>
      </c>
      <c r="P207" s="739">
        <v>162</v>
      </c>
      <c r="Q207" s="739">
        <v>189</v>
      </c>
      <c r="R207" s="739">
        <v>251</v>
      </c>
      <c r="S207" s="739">
        <v>113</v>
      </c>
      <c r="T207" s="739">
        <v>166</v>
      </c>
      <c r="U207" s="739">
        <v>313</v>
      </c>
      <c r="V207" s="739">
        <f>+U207-150</f>
        <v>163</v>
      </c>
      <c r="W207" s="739">
        <v>642</v>
      </c>
      <c r="X207" s="739">
        <v>157</v>
      </c>
      <c r="Y207" s="739">
        <v>253</v>
      </c>
      <c r="Z207" s="739">
        <v>80</v>
      </c>
      <c r="AA207" s="739">
        <v>80</v>
      </c>
      <c r="AB207" s="739">
        <v>244</v>
      </c>
      <c r="AC207" s="638">
        <v>150</v>
      </c>
      <c r="AD207" s="638">
        <v>150</v>
      </c>
      <c r="AE207" s="638">
        <v>150</v>
      </c>
      <c r="AF207" s="638">
        <v>150</v>
      </c>
      <c r="AG207" s="638">
        <v>150</v>
      </c>
      <c r="AH207" s="638">
        <v>150</v>
      </c>
      <c r="AI207" s="638">
        <v>150</v>
      </c>
      <c r="AJ207" s="638">
        <v>150</v>
      </c>
      <c r="AK207" s="638">
        <v>150</v>
      </c>
      <c r="AL207" s="638">
        <v>150</v>
      </c>
      <c r="AM207" s="2"/>
      <c r="AN207" s="2"/>
    </row>
    <row r="208" spans="1:40" outlineLevel="1">
      <c r="A208" s="2"/>
      <c r="B208" s="55" t="s">
        <v>1143</v>
      </c>
      <c r="C208" s="18" t="s">
        <v>732</v>
      </c>
      <c r="D208" s="168">
        <f t="shared" ref="D208:AB208" si="223">D14-D207</f>
        <v>3190</v>
      </c>
      <c r="E208" s="168">
        <f t="shared" si="223"/>
        <v>3078</v>
      </c>
      <c r="F208" s="168">
        <f t="shared" si="223"/>
        <v>2951</v>
      </c>
      <c r="G208" s="168">
        <f t="shared" si="223"/>
        <v>2923</v>
      </c>
      <c r="H208" s="168">
        <f t="shared" si="223"/>
        <v>3048</v>
      </c>
      <c r="I208" s="168">
        <f t="shared" si="223"/>
        <v>3767</v>
      </c>
      <c r="J208" s="168">
        <f t="shared" si="223"/>
        <v>3830</v>
      </c>
      <c r="K208" s="168">
        <f t="shared" si="223"/>
        <v>3868</v>
      </c>
      <c r="L208" s="254">
        <f t="shared" si="223"/>
        <v>4975</v>
      </c>
      <c r="M208" s="254">
        <f t="shared" si="223"/>
        <v>4941</v>
      </c>
      <c r="N208" s="254">
        <f t="shared" si="223"/>
        <v>4512</v>
      </c>
      <c r="O208" s="254">
        <f t="shared" si="223"/>
        <v>4730</v>
      </c>
      <c r="P208" s="254">
        <f t="shared" si="223"/>
        <v>4806</v>
      </c>
      <c r="Q208" s="254">
        <f t="shared" si="223"/>
        <v>4614</v>
      </c>
      <c r="R208" s="254">
        <f t="shared" si="223"/>
        <v>4481</v>
      </c>
      <c r="S208" s="254">
        <f t="shared" si="223"/>
        <v>4669</v>
      </c>
      <c r="T208" s="254">
        <f t="shared" si="223"/>
        <v>4875</v>
      </c>
      <c r="U208" s="254">
        <f t="shared" si="223"/>
        <v>5068</v>
      </c>
      <c r="V208" s="254">
        <f t="shared" si="223"/>
        <v>5044</v>
      </c>
      <c r="W208" s="254">
        <f t="shared" si="223"/>
        <v>4637</v>
      </c>
      <c r="X208" s="254">
        <f t="shared" si="223"/>
        <v>3901</v>
      </c>
      <c r="Y208" s="254">
        <f t="shared" si="223"/>
        <v>3759</v>
      </c>
      <c r="Z208" s="254">
        <f t="shared" si="223"/>
        <v>3540</v>
      </c>
      <c r="AA208" s="254">
        <f t="shared" si="223"/>
        <v>3887</v>
      </c>
      <c r="AB208" s="254">
        <f t="shared" si="223"/>
        <v>4047</v>
      </c>
      <c r="AC208" s="254">
        <f t="shared" ref="AC208:AH208" si="224">AC204*AC202/1000</f>
        <v>4148.3056059318023</v>
      </c>
      <c r="AD208" s="254">
        <f t="shared" si="224"/>
        <v>4230.8197817604987</v>
      </c>
      <c r="AE208" s="254">
        <f t="shared" si="224"/>
        <v>4293.224373541465</v>
      </c>
      <c r="AF208" s="254">
        <f t="shared" si="224"/>
        <v>4356.549433051202</v>
      </c>
      <c r="AG208" s="254">
        <f t="shared" si="224"/>
        <v>4420.8085371887073</v>
      </c>
      <c r="AH208" s="254">
        <f t="shared" si="224"/>
        <v>4486.0154631122396</v>
      </c>
      <c r="AI208" s="254">
        <f>AI204*AI202/1000</f>
        <v>4552.1841911931451</v>
      </c>
      <c r="AJ208" s="254">
        <f t="shared" ref="AJ208:AK208" si="225">AJ204*AJ202/1000</f>
        <v>4619.3289080132436</v>
      </c>
      <c r="AK208" s="254">
        <f t="shared" si="225"/>
        <v>4687.464009406438</v>
      </c>
      <c r="AL208" s="254">
        <f t="shared" ref="AL208" si="226">AL204*AL202/1000</f>
        <v>4756.6041035451835</v>
      </c>
      <c r="AM208" s="2"/>
      <c r="AN208" s="2"/>
    </row>
    <row r="209" spans="1:40" outlineLevel="1">
      <c r="A209" s="2"/>
      <c r="B209" s="208" t="s">
        <v>455</v>
      </c>
      <c r="C209" s="209" t="s">
        <v>732</v>
      </c>
      <c r="D209" s="287">
        <f t="shared" ref="D209:Z209" si="227">D207+D208</f>
        <v>3800</v>
      </c>
      <c r="E209" s="287">
        <f t="shared" si="227"/>
        <v>3122</v>
      </c>
      <c r="F209" s="287">
        <f t="shared" si="227"/>
        <v>3240</v>
      </c>
      <c r="G209" s="287">
        <f t="shared" si="227"/>
        <v>3204</v>
      </c>
      <c r="H209" s="287">
        <f t="shared" si="227"/>
        <v>3218</v>
      </c>
      <c r="I209" s="287">
        <f t="shared" si="227"/>
        <v>3858</v>
      </c>
      <c r="J209" s="287">
        <f t="shared" si="227"/>
        <v>4364</v>
      </c>
      <c r="K209" s="287">
        <f t="shared" si="227"/>
        <v>4017</v>
      </c>
      <c r="L209" s="262">
        <f t="shared" si="227"/>
        <v>5213</v>
      </c>
      <c r="M209" s="262">
        <f t="shared" si="227"/>
        <v>5160</v>
      </c>
      <c r="N209" s="262">
        <f t="shared" si="227"/>
        <v>4640</v>
      </c>
      <c r="O209" s="262">
        <f t="shared" si="227"/>
        <v>4954</v>
      </c>
      <c r="P209" s="262">
        <f t="shared" si="227"/>
        <v>4968</v>
      </c>
      <c r="Q209" s="262">
        <f t="shared" si="227"/>
        <v>4803</v>
      </c>
      <c r="R209" s="262">
        <f t="shared" si="227"/>
        <v>4732</v>
      </c>
      <c r="S209" s="262">
        <f t="shared" si="227"/>
        <v>4782</v>
      </c>
      <c r="T209" s="262">
        <f t="shared" si="227"/>
        <v>5041</v>
      </c>
      <c r="U209" s="262">
        <f t="shared" si="227"/>
        <v>5381</v>
      </c>
      <c r="V209" s="262">
        <f t="shared" si="227"/>
        <v>5207</v>
      </c>
      <c r="W209" s="262">
        <f>W207+W208</f>
        <v>5279</v>
      </c>
      <c r="X209" s="262">
        <f t="shared" si="227"/>
        <v>4058</v>
      </c>
      <c r="Y209" s="262">
        <f>Y207+Y208</f>
        <v>4012</v>
      </c>
      <c r="Z209" s="262">
        <f t="shared" si="227"/>
        <v>3620</v>
      </c>
      <c r="AA209" s="262">
        <f t="shared" ref="AA209:AB209" si="228">AA207+AA208</f>
        <v>3967</v>
      </c>
      <c r="AB209" s="262">
        <f t="shared" si="228"/>
        <v>4291</v>
      </c>
      <c r="AC209" s="262">
        <f t="shared" ref="AC209:AH209" si="229">AC207+AC208</f>
        <v>4298.3056059318023</v>
      </c>
      <c r="AD209" s="262">
        <f t="shared" si="229"/>
        <v>4380.8197817604987</v>
      </c>
      <c r="AE209" s="262">
        <f t="shared" si="229"/>
        <v>4443.224373541465</v>
      </c>
      <c r="AF209" s="262">
        <f t="shared" si="229"/>
        <v>4506.549433051202</v>
      </c>
      <c r="AG209" s="262">
        <f t="shared" si="229"/>
        <v>4570.8085371887073</v>
      </c>
      <c r="AH209" s="262">
        <f t="shared" si="229"/>
        <v>4636.0154631122396</v>
      </c>
      <c r="AI209" s="262">
        <f>AI207+AI208</f>
        <v>4702.1841911931451</v>
      </c>
      <c r="AJ209" s="262">
        <f t="shared" ref="AJ209:AK209" si="230">AJ207+AJ208</f>
        <v>4769.3289080132436</v>
      </c>
      <c r="AK209" s="262">
        <f t="shared" si="230"/>
        <v>4837.464009406438</v>
      </c>
      <c r="AL209" s="262">
        <f t="shared" ref="AL209" si="231">AL207+AL208</f>
        <v>4906.6041035451835</v>
      </c>
      <c r="AM209" s="2"/>
      <c r="AN209" s="2"/>
    </row>
    <row r="210" spans="1:40" outlineLevel="1">
      <c r="A210" s="2"/>
      <c r="B210" s="55" t="s">
        <v>294</v>
      </c>
      <c r="C210" s="18" t="s">
        <v>733</v>
      </c>
      <c r="D210" s="2"/>
      <c r="E210" s="2">
        <f t="shared" ref="E210:AB210" si="232">E209/D209-1</f>
        <v>-0.17842105263157892</v>
      </c>
      <c r="F210" s="2">
        <f t="shared" si="232"/>
        <v>3.7796284433055716E-2</v>
      </c>
      <c r="G210" s="2">
        <f t="shared" si="232"/>
        <v>-1.1111111111111072E-2</v>
      </c>
      <c r="H210" s="2">
        <f t="shared" si="232"/>
        <v>4.3695380774031456E-3</v>
      </c>
      <c r="I210" s="2">
        <f t="shared" si="232"/>
        <v>0.19888129272840271</v>
      </c>
      <c r="J210" s="2">
        <f t="shared" si="232"/>
        <v>0.13115603939865217</v>
      </c>
      <c r="K210" s="2">
        <f t="shared" si="232"/>
        <v>-7.951420714940427E-2</v>
      </c>
      <c r="L210" s="263">
        <f t="shared" si="232"/>
        <v>0.29773462783171523</v>
      </c>
      <c r="M210" s="263">
        <f t="shared" si="232"/>
        <v>-1.0166890466142386E-2</v>
      </c>
      <c r="N210" s="263">
        <f t="shared" si="232"/>
        <v>-0.10077519379844957</v>
      </c>
      <c r="O210" s="263">
        <f t="shared" si="232"/>
        <v>6.7672413793103514E-2</v>
      </c>
      <c r="P210" s="263">
        <f t="shared" si="232"/>
        <v>2.8259991925716488E-3</v>
      </c>
      <c r="Q210" s="263">
        <f t="shared" si="232"/>
        <v>-3.3212560386473466E-2</v>
      </c>
      <c r="R210" s="263">
        <f t="shared" si="232"/>
        <v>-1.4782427649385754E-2</v>
      </c>
      <c r="S210" s="263">
        <f t="shared" si="232"/>
        <v>1.0566356720202785E-2</v>
      </c>
      <c r="T210" s="263">
        <f t="shared" si="232"/>
        <v>5.4161438728565381E-2</v>
      </c>
      <c r="U210" s="263">
        <f t="shared" si="232"/>
        <v>6.744693513191824E-2</v>
      </c>
      <c r="V210" s="263">
        <f t="shared" si="232"/>
        <v>-3.233599702657497E-2</v>
      </c>
      <c r="W210" s="263">
        <f t="shared" si="232"/>
        <v>1.3827539850201687E-2</v>
      </c>
      <c r="X210" s="263">
        <f t="shared" si="232"/>
        <v>-0.23129380564500857</v>
      </c>
      <c r="Y210" s="263">
        <f t="shared" si="232"/>
        <v>-1.1335633316904903E-2</v>
      </c>
      <c r="Z210" s="263">
        <f t="shared" si="232"/>
        <v>-9.7706879361914245E-2</v>
      </c>
      <c r="AA210" s="263">
        <f t="shared" si="232"/>
        <v>9.5856353591160293E-2</v>
      </c>
      <c r="AB210" s="263">
        <f t="shared" si="232"/>
        <v>8.1673808923619973E-2</v>
      </c>
      <c r="AC210" s="263">
        <f t="shared" ref="AC210:AI210" si="233">AC209/AB209-1</f>
        <v>1.7025415828018087E-3</v>
      </c>
      <c r="AD210" s="263">
        <f t="shared" si="233"/>
        <v>1.9196907663993068E-2</v>
      </c>
      <c r="AE210" s="263">
        <f t="shared" si="233"/>
        <v>1.4244957539861991E-2</v>
      </c>
      <c r="AF210" s="263">
        <f t="shared" si="233"/>
        <v>1.4252050805002137E-2</v>
      </c>
      <c r="AG210" s="263">
        <f t="shared" si="233"/>
        <v>1.4259047879565445E-2</v>
      </c>
      <c r="AH210" s="263">
        <f t="shared" si="233"/>
        <v>1.4265949972089187E-2</v>
      </c>
      <c r="AI210" s="263">
        <f t="shared" si="233"/>
        <v>1.4272758278611297E-2</v>
      </c>
      <c r="AJ210" s="263">
        <f t="shared" ref="AJ210" si="234">AJ209/AI209-1</f>
        <v>1.427947398271967E-2</v>
      </c>
      <c r="AK210" s="263">
        <f t="shared" ref="AK210:AL210" si="235">AK209/AJ209-1</f>
        <v>1.4286098255609225E-2</v>
      </c>
      <c r="AL210" s="263">
        <f t="shared" si="235"/>
        <v>1.4292632256137194E-2</v>
      </c>
      <c r="AM210" s="2"/>
      <c r="AN210" s="2"/>
    </row>
    <row r="211" spans="1:40" ht="14.4" outlineLevel="1" thickBot="1">
      <c r="A211" s="2"/>
      <c r="B211" s="76"/>
      <c r="C211" s="78"/>
      <c r="D211" s="76"/>
      <c r="E211" s="76"/>
      <c r="F211" s="76"/>
      <c r="G211" s="76"/>
      <c r="H211" s="76"/>
      <c r="I211" s="76"/>
      <c r="J211" s="76"/>
      <c r="K211" s="76"/>
      <c r="L211" s="76"/>
      <c r="M211" s="76"/>
      <c r="N211" s="76"/>
      <c r="O211" s="76"/>
      <c r="P211" s="76"/>
      <c r="Q211" s="76"/>
      <c r="R211" s="76"/>
      <c r="S211" s="76"/>
      <c r="T211" s="76"/>
      <c r="U211" s="76"/>
      <c r="V211" s="76"/>
      <c r="W211" s="76"/>
      <c r="X211" s="76"/>
      <c r="Y211" s="76"/>
      <c r="Z211" s="76"/>
      <c r="AA211" s="76"/>
      <c r="AB211" s="76"/>
      <c r="AC211" s="76"/>
      <c r="AD211" s="76"/>
      <c r="AE211" s="76"/>
      <c r="AF211" s="76"/>
      <c r="AG211" s="76"/>
      <c r="AH211" s="76"/>
      <c r="AI211" s="76"/>
      <c r="AJ211" s="76"/>
      <c r="AK211" s="76"/>
      <c r="AL211" s="76"/>
      <c r="AM211" s="2"/>
      <c r="AN211" s="2"/>
    </row>
    <row r="212" spans="1:40" outlineLevel="1">
      <c r="A212" s="2"/>
      <c r="B212" s="2"/>
      <c r="C212" s="18"/>
      <c r="D212" s="2"/>
      <c r="E212" s="2"/>
      <c r="F212" s="2"/>
      <c r="G212" s="2"/>
      <c r="H212" s="2"/>
      <c r="I212" s="2"/>
      <c r="J212" s="2"/>
      <c r="K212" s="2"/>
      <c r="L212" s="2"/>
      <c r="M212" s="2"/>
      <c r="N212" s="2"/>
      <c r="O212" s="2"/>
      <c r="P212" s="2"/>
      <c r="Q212" s="2"/>
      <c r="R212" s="80"/>
      <c r="S212" s="80"/>
      <c r="T212" s="80"/>
      <c r="U212" s="80"/>
      <c r="V212" s="80"/>
      <c r="W212" s="80"/>
      <c r="X212" s="2"/>
      <c r="Y212" s="2"/>
      <c r="Z212" s="2"/>
      <c r="AA212" s="2"/>
      <c r="AB212" s="2"/>
      <c r="AC212" s="2"/>
      <c r="AD212" s="2"/>
      <c r="AE212" s="2"/>
      <c r="AF212" s="2"/>
      <c r="AG212" s="2"/>
      <c r="AH212" s="2"/>
      <c r="AI212" s="2"/>
      <c r="AJ212" s="2"/>
      <c r="AK212" s="2"/>
      <c r="AL212" s="2"/>
      <c r="AM212" s="2"/>
      <c r="AN212" s="2"/>
    </row>
    <row r="213" spans="1:40" ht="15.6" outlineLevel="1">
      <c r="A213" s="2"/>
      <c r="B213" s="237" t="s">
        <v>456</v>
      </c>
      <c r="C213" s="238"/>
      <c r="D213" s="239"/>
      <c r="E213" s="239"/>
      <c r="F213" s="239"/>
      <c r="G213" s="239"/>
      <c r="H213" s="239"/>
      <c r="I213" s="239"/>
      <c r="J213" s="239"/>
      <c r="K213" s="239"/>
      <c r="L213" s="239"/>
      <c r="M213" s="239"/>
      <c r="N213" s="239"/>
      <c r="O213" s="239"/>
      <c r="P213" s="239"/>
      <c r="Q213" s="239"/>
      <c r="R213" s="239"/>
      <c r="S213" s="239"/>
      <c r="T213" s="239"/>
      <c r="U213" s="239"/>
      <c r="V213" s="239"/>
      <c r="W213" s="239"/>
      <c r="X213" s="239"/>
      <c r="Y213" s="239"/>
      <c r="Z213" s="239"/>
      <c r="AA213" s="239"/>
      <c r="AB213" s="239"/>
      <c r="AC213" s="239"/>
      <c r="AD213" s="239"/>
      <c r="AE213" s="239"/>
      <c r="AF213" s="239"/>
      <c r="AG213" s="239"/>
      <c r="AH213" s="270"/>
      <c r="AI213" s="240"/>
      <c r="AJ213" s="240"/>
      <c r="AK213" s="240"/>
      <c r="AL213" s="240"/>
      <c r="AM213" s="2"/>
      <c r="AN213" s="2"/>
    </row>
    <row r="214" spans="1:40" outlineLevel="1">
      <c r="A214" s="2"/>
      <c r="B214" s="2"/>
      <c r="C214" s="18"/>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row>
    <row r="215" spans="1:40" outlineLevel="1">
      <c r="A215" s="2"/>
      <c r="B215" s="55" t="s">
        <v>1144</v>
      </c>
      <c r="C215" s="18" t="s">
        <v>732</v>
      </c>
      <c r="D215" s="2"/>
      <c r="E215" s="603">
        <v>401</v>
      </c>
      <c r="F215" s="603">
        <v>578</v>
      </c>
      <c r="G215" s="603">
        <v>556</v>
      </c>
      <c r="H215" s="603">
        <v>543</v>
      </c>
      <c r="I215" s="603">
        <v>726</v>
      </c>
      <c r="J215" s="603">
        <v>917</v>
      </c>
      <c r="K215" s="603">
        <v>1238</v>
      </c>
      <c r="L215" s="602">
        <v>1351</v>
      </c>
      <c r="M215" s="602">
        <v>1337</v>
      </c>
      <c r="N215" s="602">
        <v>1478</v>
      </c>
      <c r="O215" s="602">
        <v>2013</v>
      </c>
      <c r="P215" s="600">
        <f>O215-93</f>
        <v>1920</v>
      </c>
      <c r="Q215" s="739">
        <v>2901</v>
      </c>
      <c r="R215" s="739">
        <v>2906</v>
      </c>
      <c r="S215" s="739">
        <v>3079</v>
      </c>
      <c r="T215" s="739">
        <v>3204</v>
      </c>
      <c r="U215" s="739">
        <v>3287</v>
      </c>
      <c r="V215" s="739">
        <v>3551</v>
      </c>
      <c r="W215" s="739">
        <v>3771</v>
      </c>
      <c r="X215" s="739">
        <v>3490</v>
      </c>
      <c r="Y215" s="739">
        <v>2797</v>
      </c>
      <c r="Z215" s="739">
        <v>2648</v>
      </c>
      <c r="AA215" s="739">
        <v>2853</v>
      </c>
      <c r="AB215" s="739">
        <v>2883</v>
      </c>
      <c r="AC215" s="254">
        <f t="shared" ref="AC215:AH215" si="236">AC231*AC230</f>
        <v>2898.7151860999916</v>
      </c>
      <c r="AD215" s="254">
        <f t="shared" si="236"/>
        <v>3009.29220474561</v>
      </c>
      <c r="AE215" s="254">
        <f t="shared" si="236"/>
        <v>3091.1224449114115</v>
      </c>
      <c r="AF215" s="254">
        <f t="shared" si="236"/>
        <v>3185.6516481113217</v>
      </c>
      <c r="AG215" s="254">
        <f t="shared" si="236"/>
        <v>3294.1335308937314</v>
      </c>
      <c r="AH215" s="254">
        <f t="shared" si="236"/>
        <v>3417.2249210288091</v>
      </c>
      <c r="AI215" s="254">
        <f>AI231*AI230</f>
        <v>3555.9773175589658</v>
      </c>
      <c r="AJ215" s="254">
        <f t="shared" ref="AJ215:AK215" si="237">AJ231*AJ230</f>
        <v>3711.8631800296162</v>
      </c>
      <c r="AK215" s="254">
        <f t="shared" si="237"/>
        <v>3886.8220955885436</v>
      </c>
      <c r="AL215" s="254">
        <f t="shared" ref="AL215" si="238">AL231*AL230</f>
        <v>4063.7617140834668</v>
      </c>
      <c r="AM215" s="2"/>
      <c r="AN215" s="2"/>
    </row>
    <row r="216" spans="1:40" outlineLevel="1">
      <c r="A216" s="2"/>
      <c r="B216" s="55" t="s">
        <v>1145</v>
      </c>
      <c r="C216" s="18" t="s">
        <v>732</v>
      </c>
      <c r="D216" s="2"/>
      <c r="E216" s="603">
        <v>1515</v>
      </c>
      <c r="F216" s="603">
        <v>1871</v>
      </c>
      <c r="G216" s="603">
        <v>1993</v>
      </c>
      <c r="H216" s="603">
        <v>1788</v>
      </c>
      <c r="I216" s="603">
        <v>1904</v>
      </c>
      <c r="J216" s="603">
        <v>2002</v>
      </c>
      <c r="K216" s="603">
        <v>1799</v>
      </c>
      <c r="L216" s="602">
        <v>1797</v>
      </c>
      <c r="M216" s="602">
        <v>1982</v>
      </c>
      <c r="N216" s="602">
        <v>1808</v>
      </c>
      <c r="O216" s="602">
        <v>1943</v>
      </c>
      <c r="P216" s="739">
        <v>1940</v>
      </c>
      <c r="Q216" s="739">
        <v>1668</v>
      </c>
      <c r="R216" s="739">
        <v>1731</v>
      </c>
      <c r="S216" s="739">
        <v>1725</v>
      </c>
      <c r="T216" s="739">
        <v>1650</v>
      </c>
      <c r="U216" s="739">
        <v>1692</v>
      </c>
      <c r="V216" s="739">
        <v>2267</v>
      </c>
      <c r="W216" s="739">
        <v>2791</v>
      </c>
      <c r="X216" s="739">
        <v>3155</v>
      </c>
      <c r="Y216" s="739">
        <v>3153</v>
      </c>
      <c r="Z216" s="739">
        <v>3223</v>
      </c>
      <c r="AA216" s="739">
        <v>3274</v>
      </c>
      <c r="AB216" s="739">
        <v>5065</v>
      </c>
      <c r="AC216" s="254">
        <f t="shared" ref="AC216:AH216" si="239">AC233*AC234</f>
        <v>5099.1580611169657</v>
      </c>
      <c r="AD216" s="254">
        <f t="shared" si="239"/>
        <v>5310.2719949953116</v>
      </c>
      <c r="AE216" s="254">
        <f t="shared" si="239"/>
        <v>5458.0643773279216</v>
      </c>
      <c r="AF216" s="254">
        <f t="shared" si="239"/>
        <v>5634.8323045389852</v>
      </c>
      <c r="AG216" s="254">
        <f t="shared" si="239"/>
        <v>5841.1926686335692</v>
      </c>
      <c r="AH216" s="254">
        <f t="shared" si="239"/>
        <v>6078.553615056162</v>
      </c>
      <c r="AI216" s="254">
        <f>AI233*AI234</f>
        <v>6349.1806000129536</v>
      </c>
      <c r="AJ216" s="254">
        <f t="shared" ref="AJ216:AK216" si="240">AJ233*AJ234</f>
        <v>6656.2535169225957</v>
      </c>
      <c r="AK216" s="254">
        <f t="shared" si="240"/>
        <v>7003.9670283799605</v>
      </c>
      <c r="AL216" s="254">
        <f t="shared" ref="AL216" si="241">AL233*AL234</f>
        <v>7355.2467078259087</v>
      </c>
      <c r="AM216" s="2"/>
      <c r="AN216" s="2"/>
    </row>
    <row r="217" spans="1:40" outlineLevel="1">
      <c r="A217" s="2"/>
      <c r="B217" s="55" t="s">
        <v>40</v>
      </c>
      <c r="C217" s="18" t="s">
        <v>732</v>
      </c>
      <c r="D217" s="2"/>
      <c r="E217" s="154"/>
      <c r="F217" s="154"/>
      <c r="G217" s="154"/>
      <c r="H217" s="154"/>
      <c r="I217" s="154"/>
      <c r="J217" s="154"/>
      <c r="K217" s="154"/>
      <c r="L217" s="251"/>
      <c r="M217" s="251"/>
      <c r="N217" s="251"/>
      <c r="O217" s="251"/>
      <c r="P217" s="254"/>
      <c r="Q217" s="255"/>
      <c r="R217" s="254">
        <f t="shared" ref="R217:X217" si="242">R216-R218</f>
        <v>1690.1934312000001</v>
      </c>
      <c r="S217" s="254">
        <f t="shared" si="242"/>
        <v>1654.8770400000001</v>
      </c>
      <c r="T217" s="254">
        <f t="shared" si="242"/>
        <v>1490.4515999999999</v>
      </c>
      <c r="U217" s="254">
        <f t="shared" si="242"/>
        <v>1338.242173837838</v>
      </c>
      <c r="V217" s="254">
        <f t="shared" si="242"/>
        <v>1635.6890916756756</v>
      </c>
      <c r="W217" s="254">
        <f t="shared" si="242"/>
        <v>1882.3269718918921</v>
      </c>
      <c r="X217" s="254">
        <f t="shared" si="242"/>
        <v>1963.7129621621623</v>
      </c>
      <c r="Y217" s="254">
        <f>Y216-Y218</f>
        <v>1743.7720432432434</v>
      </c>
      <c r="Z217" s="254">
        <f>Z216-Z218</f>
        <v>1741.3939459459461</v>
      </c>
      <c r="AA217" s="254">
        <f>AA216-AA218</f>
        <v>1777.9716972972974</v>
      </c>
      <c r="AB217" s="254">
        <f>AB216-AB218</f>
        <v>3565.5551567567568</v>
      </c>
      <c r="AC217" s="254">
        <f t="shared" ref="AC217:AH217" si="243">AC216-AC218</f>
        <v>4350.9963313872358</v>
      </c>
      <c r="AD217" s="254">
        <f t="shared" si="243"/>
        <v>5310.2719949953116</v>
      </c>
      <c r="AE217" s="254">
        <f t="shared" si="243"/>
        <v>5458.0643773279216</v>
      </c>
      <c r="AF217" s="254">
        <f t="shared" si="243"/>
        <v>5634.8323045389852</v>
      </c>
      <c r="AG217" s="254">
        <f t="shared" si="243"/>
        <v>5841.1926686335692</v>
      </c>
      <c r="AH217" s="254">
        <f t="shared" si="243"/>
        <v>6078.553615056162</v>
      </c>
      <c r="AI217" s="254">
        <f>AI216-AI218</f>
        <v>6349.1806000129536</v>
      </c>
      <c r="AJ217" s="254">
        <f t="shared" ref="AJ217:AK217" si="244">AJ216-AJ218</f>
        <v>6656.2535169225957</v>
      </c>
      <c r="AK217" s="254">
        <f t="shared" si="244"/>
        <v>7003.9670283799605</v>
      </c>
      <c r="AL217" s="254">
        <f t="shared" ref="AL217" si="245">AL216-AL218</f>
        <v>7355.2467078259087</v>
      </c>
      <c r="AM217" s="2"/>
      <c r="AN217" s="2"/>
    </row>
    <row r="218" spans="1:40" outlineLevel="1">
      <c r="A218" s="2"/>
      <c r="B218" s="55" t="s">
        <v>39</v>
      </c>
      <c r="C218" s="18" t="s">
        <v>732</v>
      </c>
      <c r="D218" s="2"/>
      <c r="E218" s="154"/>
      <c r="F218" s="154"/>
      <c r="G218" s="154"/>
      <c r="H218" s="154"/>
      <c r="I218" s="154"/>
      <c r="J218" s="154"/>
      <c r="K218" s="154"/>
      <c r="L218" s="260"/>
      <c r="M218" s="260"/>
      <c r="N218" s="260"/>
      <c r="O218" s="260"/>
      <c r="P218" s="260"/>
      <c r="Q218" s="251"/>
      <c r="R218" s="260">
        <f t="shared" ref="R218:X218" si="246">R240</f>
        <v>40.806568800000001</v>
      </c>
      <c r="S218" s="260">
        <f t="shared" si="246"/>
        <v>70.122959999999992</v>
      </c>
      <c r="T218" s="260">
        <f t="shared" si="246"/>
        <v>159.54840000000002</v>
      </c>
      <c r="U218" s="260">
        <f t="shared" si="246"/>
        <v>353.75782616216213</v>
      </c>
      <c r="V218" s="260">
        <f t="shared" si="246"/>
        <v>631.31090832432426</v>
      </c>
      <c r="W218" s="260">
        <f t="shared" si="246"/>
        <v>908.67302810810793</v>
      </c>
      <c r="X218" s="260">
        <f t="shared" si="246"/>
        <v>1191.2870378378377</v>
      </c>
      <c r="Y218" s="260">
        <f>Y240</f>
        <v>1409.2279567567566</v>
      </c>
      <c r="Z218" s="260">
        <f>Z240</f>
        <v>1481.6060540540539</v>
      </c>
      <c r="AA218" s="260">
        <f>AA240</f>
        <v>1496.0283027027026</v>
      </c>
      <c r="AB218" s="260">
        <f>AB240</f>
        <v>1499.4448432432432</v>
      </c>
      <c r="AC218" s="260">
        <f t="shared" ref="AC218:AH218" si="247">AC240</f>
        <v>748.16172972972959</v>
      </c>
      <c r="AD218" s="260">
        <f t="shared" si="247"/>
        <v>0</v>
      </c>
      <c r="AE218" s="260">
        <f t="shared" si="247"/>
        <v>0</v>
      </c>
      <c r="AF218" s="260">
        <f t="shared" si="247"/>
        <v>0</v>
      </c>
      <c r="AG218" s="260">
        <f t="shared" si="247"/>
        <v>0</v>
      </c>
      <c r="AH218" s="260">
        <f t="shared" si="247"/>
        <v>0</v>
      </c>
      <c r="AI218" s="260">
        <f>AI240</f>
        <v>0</v>
      </c>
      <c r="AJ218" s="260">
        <f t="shared" ref="AJ218:AK218" si="248">AJ240</f>
        <v>0</v>
      </c>
      <c r="AK218" s="260">
        <f t="shared" si="248"/>
        <v>0</v>
      </c>
      <c r="AL218" s="260">
        <f t="shared" ref="AL218" si="249">AL240</f>
        <v>0</v>
      </c>
      <c r="AM218" s="2"/>
      <c r="AN218" s="2"/>
    </row>
    <row r="219" spans="1:40" outlineLevel="1">
      <c r="A219" s="2"/>
      <c r="B219" s="55" t="s">
        <v>28</v>
      </c>
      <c r="C219" s="18" t="s">
        <v>732</v>
      </c>
      <c r="D219" s="2"/>
      <c r="E219" s="603">
        <v>942</v>
      </c>
      <c r="F219" s="603">
        <v>828</v>
      </c>
      <c r="G219" s="603">
        <v>292.00119474313021</v>
      </c>
      <c r="H219" s="603">
        <v>462</v>
      </c>
      <c r="I219" s="603">
        <v>595</v>
      </c>
      <c r="J219" s="603">
        <v>678</v>
      </c>
      <c r="K219" s="603">
        <v>668</v>
      </c>
      <c r="L219" s="260">
        <f>210+122+126+191</f>
        <v>649</v>
      </c>
      <c r="M219" s="260">
        <f>M223-M222-M216-M215-M220</f>
        <v>618</v>
      </c>
      <c r="N219" s="260">
        <f>N223-N222-N216-N215-N220</f>
        <v>569</v>
      </c>
      <c r="O219" s="260">
        <f>O223-O222-O216-O215-O220</f>
        <v>654</v>
      </c>
      <c r="P219" s="254">
        <f>O219*(1+P236)</f>
        <v>660.54</v>
      </c>
      <c r="Q219" s="739">
        <v>1820</v>
      </c>
      <c r="R219" s="739">
        <v>1828</v>
      </c>
      <c r="S219" s="739">
        <v>2043</v>
      </c>
      <c r="T219" s="739">
        <v>2393</v>
      </c>
      <c r="U219" s="739">
        <v>2692</v>
      </c>
      <c r="V219" s="739">
        <v>2520</v>
      </c>
      <c r="W219" s="739">
        <v>2576</v>
      </c>
      <c r="X219" s="739">
        <v>2462</v>
      </c>
      <c r="Y219" s="739">
        <v>2368</v>
      </c>
      <c r="Z219" s="739">
        <v>2357</v>
      </c>
      <c r="AA219" s="739">
        <f>559+1825</f>
        <v>2384</v>
      </c>
      <c r="AB219" s="739">
        <f>493</f>
        <v>493</v>
      </c>
      <c r="AC219" s="254">
        <f t="shared" ref="AC219:AI219" si="250">AB219*(1+AC236)</f>
        <v>502.86</v>
      </c>
      <c r="AD219" s="254">
        <f t="shared" si="250"/>
        <v>512.91719999999998</v>
      </c>
      <c r="AE219" s="254">
        <f t="shared" si="250"/>
        <v>523.17554399999995</v>
      </c>
      <c r="AF219" s="254">
        <f t="shared" si="250"/>
        <v>533.63905488</v>
      </c>
      <c r="AG219" s="254">
        <f t="shared" si="250"/>
        <v>544.31183597760003</v>
      </c>
      <c r="AH219" s="254">
        <f t="shared" si="250"/>
        <v>555.19807269715204</v>
      </c>
      <c r="AI219" s="254">
        <f t="shared" si="250"/>
        <v>566.30203415109509</v>
      </c>
      <c r="AJ219" s="254">
        <f t="shared" ref="AJ219" si="251">AI219*(1+AJ236)</f>
        <v>577.628074834117</v>
      </c>
      <c r="AK219" s="254">
        <f t="shared" ref="AK219:AL219" si="252">AJ219*(1+AK236)</f>
        <v>589.1806363307993</v>
      </c>
      <c r="AL219" s="254">
        <f t="shared" si="252"/>
        <v>600.96424905741526</v>
      </c>
      <c r="AM219" s="2"/>
      <c r="AN219" s="2"/>
    </row>
    <row r="220" spans="1:40" outlineLevel="1">
      <c r="A220" s="2"/>
      <c r="B220" s="55" t="s">
        <v>1146</v>
      </c>
      <c r="C220" s="18" t="s">
        <v>732</v>
      </c>
      <c r="D220" s="2"/>
      <c r="E220" s="603">
        <v>848</v>
      </c>
      <c r="F220" s="156">
        <f>410+246</f>
        <v>656</v>
      </c>
      <c r="G220" s="156">
        <f>282+235</f>
        <v>517</v>
      </c>
      <c r="H220" s="156">
        <f>286+241</f>
        <v>527</v>
      </c>
      <c r="I220" s="156">
        <f>424+289</f>
        <v>713</v>
      </c>
      <c r="J220" s="156">
        <f>504+281</f>
        <v>785</v>
      </c>
      <c r="K220" s="156">
        <f>798+299</f>
        <v>1097</v>
      </c>
      <c r="L220" s="600">
        <f>653+283</f>
        <v>936</v>
      </c>
      <c r="M220" s="600">
        <f>559+307</f>
        <v>866</v>
      </c>
      <c r="N220" s="600">
        <f>598+339</f>
        <v>937</v>
      </c>
      <c r="O220" s="600">
        <f>631+276</f>
        <v>907</v>
      </c>
      <c r="P220" s="254">
        <f>P223-SUM(P215:P219)-P222</f>
        <v>985.80000000000007</v>
      </c>
      <c r="Q220" s="254"/>
      <c r="R220" s="254"/>
      <c r="S220" s="254"/>
      <c r="T220" s="254"/>
      <c r="U220" s="254"/>
      <c r="V220" s="254"/>
      <c r="W220" s="254"/>
      <c r="X220" s="254"/>
      <c r="Y220" s="254"/>
      <c r="Z220" s="254"/>
      <c r="AA220" s="254"/>
      <c r="AB220" s="254"/>
      <c r="AC220" s="254"/>
      <c r="AD220" s="254"/>
      <c r="AE220" s="254"/>
      <c r="AF220" s="254"/>
      <c r="AG220" s="254"/>
      <c r="AH220" s="254"/>
      <c r="AI220" s="254"/>
      <c r="AJ220" s="254"/>
      <c r="AK220" s="254"/>
      <c r="AL220" s="254"/>
      <c r="AM220" s="2"/>
      <c r="AN220" s="2"/>
    </row>
    <row r="221" spans="1:40" outlineLevel="1">
      <c r="A221" s="2"/>
      <c r="B221" s="55" t="s">
        <v>1147</v>
      </c>
      <c r="C221" s="18" t="s">
        <v>732</v>
      </c>
      <c r="D221" s="2"/>
      <c r="E221" s="603">
        <v>0</v>
      </c>
      <c r="F221" s="603">
        <v>0</v>
      </c>
      <c r="G221" s="603">
        <v>234</v>
      </c>
      <c r="H221" s="603">
        <v>69</v>
      </c>
      <c r="I221" s="603">
        <v>0</v>
      </c>
      <c r="J221" s="603">
        <v>0</v>
      </c>
      <c r="K221" s="603">
        <v>0</v>
      </c>
      <c r="L221" s="602">
        <v>0</v>
      </c>
      <c r="M221" s="251"/>
      <c r="N221" s="260"/>
      <c r="O221" s="260"/>
      <c r="P221" s="254"/>
      <c r="Q221" s="254"/>
      <c r="R221" s="254"/>
      <c r="S221" s="254"/>
      <c r="T221" s="254"/>
      <c r="U221" s="254"/>
      <c r="V221" s="254"/>
      <c r="W221" s="254"/>
      <c r="X221" s="254"/>
      <c r="Y221" s="254"/>
      <c r="Z221" s="254"/>
      <c r="AA221" s="254"/>
      <c r="AB221" s="254"/>
      <c r="AC221" s="254"/>
      <c r="AD221" s="254"/>
      <c r="AE221" s="254"/>
      <c r="AF221" s="254"/>
      <c r="AG221" s="254"/>
      <c r="AH221" s="254"/>
      <c r="AI221" s="254"/>
      <c r="AJ221" s="254"/>
      <c r="AK221" s="254"/>
      <c r="AL221" s="254"/>
      <c r="AM221" s="2"/>
      <c r="AN221" s="2"/>
    </row>
    <row r="222" spans="1:40" outlineLevel="1">
      <c r="A222" s="2"/>
      <c r="B222" s="55" t="s">
        <v>1148</v>
      </c>
      <c r="C222" s="18" t="s">
        <v>732</v>
      </c>
      <c r="D222" s="2"/>
      <c r="E222" s="154"/>
      <c r="F222" s="154"/>
      <c r="G222" s="603">
        <v>22.998805256869773</v>
      </c>
      <c r="H222" s="603">
        <v>157</v>
      </c>
      <c r="I222" s="603">
        <v>273</v>
      </c>
      <c r="J222" s="603">
        <v>319</v>
      </c>
      <c r="K222" s="603">
        <v>349</v>
      </c>
      <c r="L222" s="602">
        <v>448</v>
      </c>
      <c r="M222" s="602">
        <v>510</v>
      </c>
      <c r="N222" s="602">
        <v>568</v>
      </c>
      <c r="O222" s="602">
        <v>666</v>
      </c>
      <c r="P222" s="254">
        <f>O222*(1+P228)</f>
        <v>672.66</v>
      </c>
      <c r="Q222" s="254"/>
      <c r="R222" s="254"/>
      <c r="S222" s="254"/>
      <c r="T222" s="254"/>
      <c r="U222" s="254"/>
      <c r="V222" s="254"/>
      <c r="W222" s="254"/>
      <c r="X222" s="254"/>
      <c r="Y222" s="254"/>
      <c r="Z222" s="254"/>
      <c r="AA222" s="254"/>
      <c r="AB222" s="254"/>
      <c r="AC222" s="254"/>
      <c r="AD222" s="254"/>
      <c r="AE222" s="254"/>
      <c r="AF222" s="254"/>
      <c r="AG222" s="254"/>
      <c r="AH222" s="254"/>
      <c r="AI222" s="254"/>
      <c r="AJ222" s="254"/>
      <c r="AK222" s="254"/>
      <c r="AL222" s="254"/>
      <c r="AM222" s="2"/>
      <c r="AN222" s="2"/>
    </row>
    <row r="223" spans="1:40" outlineLevel="1">
      <c r="A223" s="2"/>
      <c r="B223" s="287" t="s">
        <v>214</v>
      </c>
      <c r="C223" s="209" t="s">
        <v>732</v>
      </c>
      <c r="D223" s="604">
        <v>3329</v>
      </c>
      <c r="E223" s="287">
        <f t="shared" ref="E223:L223" si="253">SUM(E215:E222)</f>
        <v>3706</v>
      </c>
      <c r="F223" s="287">
        <f t="shared" si="253"/>
        <v>3933</v>
      </c>
      <c r="G223" s="287">
        <f t="shared" si="253"/>
        <v>3615</v>
      </c>
      <c r="H223" s="287">
        <f t="shared" si="253"/>
        <v>3546</v>
      </c>
      <c r="I223" s="287">
        <f t="shared" si="253"/>
        <v>4211</v>
      </c>
      <c r="J223" s="287">
        <f t="shared" si="253"/>
        <v>4701</v>
      </c>
      <c r="K223" s="287">
        <f t="shared" si="253"/>
        <v>5151</v>
      </c>
      <c r="L223" s="262">
        <f t="shared" si="253"/>
        <v>5181</v>
      </c>
      <c r="M223" s="262">
        <f>M16</f>
        <v>5313</v>
      </c>
      <c r="N223" s="262">
        <f>N16</f>
        <v>5360</v>
      </c>
      <c r="O223" s="262">
        <f>O16</f>
        <v>6183</v>
      </c>
      <c r="P223" s="262">
        <f>P16</f>
        <v>6179</v>
      </c>
      <c r="Q223" s="262">
        <f t="shared" ref="Q223:Z223" si="254">+Q215+Q216+Q219</f>
        <v>6389</v>
      </c>
      <c r="R223" s="262">
        <f t="shared" si="254"/>
        <v>6465</v>
      </c>
      <c r="S223" s="262">
        <f t="shared" si="254"/>
        <v>6847</v>
      </c>
      <c r="T223" s="262">
        <f t="shared" si="254"/>
        <v>7247</v>
      </c>
      <c r="U223" s="262">
        <f t="shared" si="254"/>
        <v>7671</v>
      </c>
      <c r="V223" s="262">
        <f t="shared" si="254"/>
        <v>8338</v>
      </c>
      <c r="W223" s="262">
        <f t="shared" si="254"/>
        <v>9138</v>
      </c>
      <c r="X223" s="262">
        <f>+X215+X216+X219</f>
        <v>9107</v>
      </c>
      <c r="Y223" s="262">
        <f>+Y215+Y216+Y219</f>
        <v>8318</v>
      </c>
      <c r="Z223" s="262">
        <f t="shared" si="254"/>
        <v>8228</v>
      </c>
      <c r="AA223" s="262">
        <f t="shared" ref="AA223:AB223" si="255">+AA215+AA216+AA219</f>
        <v>8511</v>
      </c>
      <c r="AB223" s="262">
        <f t="shared" si="255"/>
        <v>8441</v>
      </c>
      <c r="AC223" s="262">
        <f t="shared" ref="AC223:AH223" si="256">+AC215+AC216+AC219</f>
        <v>8500.7332472169583</v>
      </c>
      <c r="AD223" s="262">
        <f t="shared" si="256"/>
        <v>8832.4813997409219</v>
      </c>
      <c r="AE223" s="262">
        <f t="shared" si="256"/>
        <v>9072.3623662393329</v>
      </c>
      <c r="AF223" s="262">
        <f t="shared" si="256"/>
        <v>9354.1230075303065</v>
      </c>
      <c r="AG223" s="262">
        <f t="shared" si="256"/>
        <v>9679.6380355049005</v>
      </c>
      <c r="AH223" s="262">
        <f t="shared" si="256"/>
        <v>10050.976608782123</v>
      </c>
      <c r="AI223" s="262">
        <f>+AI215+AI216+AI219</f>
        <v>10471.459951723014</v>
      </c>
      <c r="AJ223" s="262">
        <f t="shared" ref="AJ223:AK223" si="257">+AJ215+AJ216+AJ219</f>
        <v>10945.744771786331</v>
      </c>
      <c r="AK223" s="262">
        <f t="shared" si="257"/>
        <v>11479.969760299304</v>
      </c>
      <c r="AL223" s="262">
        <f t="shared" ref="AL223" si="258">+AL215+AL216+AL219</f>
        <v>12019.97267096679</v>
      </c>
      <c r="AM223" s="2"/>
      <c r="AN223" s="2"/>
    </row>
    <row r="224" spans="1:40" outlineLevel="1">
      <c r="A224" s="2"/>
      <c r="B224" s="241" t="s">
        <v>1099</v>
      </c>
      <c r="C224" s="18" t="s">
        <v>733</v>
      </c>
      <c r="D224" s="2"/>
      <c r="E224" s="2">
        <f t="shared" ref="E224:AB224" si="259">E223/D223-1</f>
        <v>0.11324722138780419</v>
      </c>
      <c r="F224" s="2">
        <f t="shared" si="259"/>
        <v>6.1252023745277828E-2</v>
      </c>
      <c r="G224" s="2">
        <f t="shared" si="259"/>
        <v>-8.0854309687261594E-2</v>
      </c>
      <c r="H224" s="2">
        <f t="shared" si="259"/>
        <v>-1.9087136929460624E-2</v>
      </c>
      <c r="I224" s="2">
        <f t="shared" si="259"/>
        <v>0.18753525098702761</v>
      </c>
      <c r="J224" s="2">
        <f t="shared" si="259"/>
        <v>0.11636190928520551</v>
      </c>
      <c r="K224" s="2">
        <f t="shared" si="259"/>
        <v>9.5724313975749764E-2</v>
      </c>
      <c r="L224" s="263">
        <f t="shared" si="259"/>
        <v>5.8241118229469535E-3</v>
      </c>
      <c r="M224" s="263">
        <f t="shared" si="259"/>
        <v>2.5477707006369421E-2</v>
      </c>
      <c r="N224" s="263">
        <f t="shared" si="259"/>
        <v>8.8462262375306189E-3</v>
      </c>
      <c r="O224" s="263">
        <f t="shared" si="259"/>
        <v>0.15354477611940309</v>
      </c>
      <c r="P224" s="263">
        <f t="shared" si="259"/>
        <v>-6.4693514475178127E-4</v>
      </c>
      <c r="Q224" s="263">
        <f t="shared" si="259"/>
        <v>3.3986081890273523E-2</v>
      </c>
      <c r="R224" s="263">
        <f t="shared" si="259"/>
        <v>1.189544529660358E-2</v>
      </c>
      <c r="S224" s="263">
        <f t="shared" si="259"/>
        <v>5.9087393658159293E-2</v>
      </c>
      <c r="T224" s="263">
        <f t="shared" si="259"/>
        <v>5.8419745874105367E-2</v>
      </c>
      <c r="U224" s="263">
        <f t="shared" si="259"/>
        <v>5.8506968400717563E-2</v>
      </c>
      <c r="V224" s="263">
        <f t="shared" si="259"/>
        <v>8.6950853865206623E-2</v>
      </c>
      <c r="W224" s="263">
        <f t="shared" si="259"/>
        <v>9.5946270088750341E-2</v>
      </c>
      <c r="X224" s="263">
        <f>X223/W223-1</f>
        <v>-3.3924272269643119E-3</v>
      </c>
      <c r="Y224" s="263">
        <f>Y223/X223-1</f>
        <v>-8.6636653123970619E-2</v>
      </c>
      <c r="Z224" s="263">
        <f t="shared" si="259"/>
        <v>-1.0819908631882647E-2</v>
      </c>
      <c r="AA224" s="263">
        <f t="shared" si="259"/>
        <v>3.4394749635391353E-2</v>
      </c>
      <c r="AB224" s="263">
        <f t="shared" si="259"/>
        <v>-8.224650452355764E-3</v>
      </c>
      <c r="AC224" s="263">
        <f t="shared" ref="AC224:AI224" si="260">AC223/AB223-1</f>
        <v>7.0765605043192625E-3</v>
      </c>
      <c r="AD224" s="263">
        <f t="shared" si="260"/>
        <v>3.9025827875798225E-2</v>
      </c>
      <c r="AE224" s="263">
        <f t="shared" si="260"/>
        <v>2.7158955183924638E-2</v>
      </c>
      <c r="AF224" s="263">
        <f t="shared" si="260"/>
        <v>3.1057031224797527E-2</v>
      </c>
      <c r="AG224" s="263">
        <f t="shared" si="260"/>
        <v>3.4799096367724269E-2</v>
      </c>
      <c r="AH224" s="263">
        <f t="shared" si="260"/>
        <v>3.8362857362553404E-2</v>
      </c>
      <c r="AI224" s="263">
        <f t="shared" si="260"/>
        <v>4.1835073277704193E-2</v>
      </c>
      <c r="AJ224" s="263">
        <f t="shared" ref="AJ224" si="261">AJ223/AI223-1</f>
        <v>4.5293094014581481E-2</v>
      </c>
      <c r="AK224" s="263">
        <f t="shared" ref="AK224:AL224" si="262">AK223/AJ223-1</f>
        <v>4.8806636702327211E-2</v>
      </c>
      <c r="AL224" s="263">
        <f t="shared" si="262"/>
        <v>4.7038704974202705E-2</v>
      </c>
      <c r="AM224" s="2"/>
      <c r="AN224" s="2"/>
    </row>
    <row r="225" spans="1:40" outlineLevel="1">
      <c r="A225" s="2"/>
      <c r="B225" s="2"/>
      <c r="C225" s="18"/>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row>
    <row r="226" spans="1:40" outlineLevel="1">
      <c r="A226" s="2"/>
      <c r="B226" s="2" t="s">
        <v>330</v>
      </c>
      <c r="C226" s="18" t="s">
        <v>732</v>
      </c>
      <c r="D226" s="468">
        <f>'Revenue Assumptions'!K23</f>
        <v>2992.6451999999999</v>
      </c>
      <c r="E226" s="468">
        <f>'Revenue Assumptions'!L23</f>
        <v>3155.4239999999995</v>
      </c>
      <c r="F226" s="468">
        <f>'Revenue Assumptions'!M23</f>
        <v>3468.3998000000001</v>
      </c>
      <c r="G226" s="468">
        <f>'Revenue Assumptions'!N23</f>
        <v>3613.1893599999999</v>
      </c>
      <c r="H226" s="468">
        <f>'Revenue Assumptions'!O23</f>
        <v>4362.5991799999993</v>
      </c>
      <c r="I226" s="468">
        <f>'Revenue Assumptions'!P23</f>
        <v>4687.57492</v>
      </c>
      <c r="J226" s="468">
        <f>'Revenue Assumptions'!Q23</f>
        <v>4986.4064400000007</v>
      </c>
      <c r="K226" s="468">
        <f>'Revenue Assumptions'!R23</f>
        <v>5682.7675999999992</v>
      </c>
      <c r="L226" s="468">
        <f>'Revenue Assumptions'!S23</f>
        <v>6365.4806800000006</v>
      </c>
      <c r="M226" s="468">
        <f>'Revenue Assumptions'!T23</f>
        <v>6822</v>
      </c>
      <c r="N226" s="468">
        <f>'Revenue Assumptions'!U23</f>
        <v>7259</v>
      </c>
      <c r="O226" s="468">
        <f>'Revenue Assumptions'!V23</f>
        <v>7989</v>
      </c>
      <c r="P226" s="468">
        <f>'Revenue Assumptions'!W23</f>
        <v>8668</v>
      </c>
      <c r="Q226" s="468">
        <f>'Revenue Assumptions'!X23</f>
        <v>9187</v>
      </c>
      <c r="R226" s="468">
        <f>'Revenue Assumptions'!Y23</f>
        <v>9654</v>
      </c>
      <c r="S226" s="468">
        <f>'Revenue Assumptions'!Z23</f>
        <v>10635</v>
      </c>
      <c r="T226" s="468">
        <f>'Revenue Assumptions'!AA23</f>
        <v>10423</v>
      </c>
      <c r="U226" s="468">
        <f>'Revenue Assumptions'!AB23</f>
        <v>10088</v>
      </c>
      <c r="V226" s="468">
        <f>'Revenue Assumptions'!AC23</f>
        <v>10508</v>
      </c>
      <c r="W226" s="468">
        <f>'Revenue Assumptions'!AD23</f>
        <v>10649</v>
      </c>
      <c r="X226" s="468">
        <f>'Revenue Assumptions'!AE23</f>
        <v>10130</v>
      </c>
      <c r="Y226" s="468">
        <f>'Revenue Assumptions'!AF23</f>
        <v>9310</v>
      </c>
      <c r="Z226" s="468">
        <f>'Revenue Assumptions'!AG23</f>
        <v>9470</v>
      </c>
      <c r="AA226" s="468">
        <f>'Revenue Assumptions'!AH23</f>
        <v>10258</v>
      </c>
      <c r="AB226" s="468">
        <f>'Revenue Assumptions'!AI23</f>
        <v>10722</v>
      </c>
      <c r="AC226" s="468">
        <f>'Revenue Assumptions'!AJ23</f>
        <v>11015</v>
      </c>
      <c r="AD226" s="468">
        <f>'Revenue Assumptions'!AK23</f>
        <v>11520.457886304279</v>
      </c>
      <c r="AE226" s="468">
        <f>'Revenue Assumptions'!AL23</f>
        <v>12044.693704684087</v>
      </c>
      <c r="AF226" s="468">
        <f>'Revenue Assumptions'!AM23</f>
        <v>12605.381763112948</v>
      </c>
      <c r="AG226" s="468">
        <f>'Revenue Assumptions'!AN23</f>
        <v>13205.718063253855</v>
      </c>
      <c r="AH226" s="468">
        <f>'Revenue Assumptions'!AO23</f>
        <v>13849.030868798302</v>
      </c>
      <c r="AI226" s="468">
        <f>'Revenue Assumptions'!AP23</f>
        <v>14539.011279591889</v>
      </c>
      <c r="AJ226" s="468">
        <f>'Revenue Assumptions'!AQ23</f>
        <v>15279.756679914697</v>
      </c>
      <c r="AK226" s="468">
        <f>'Revenue Assumptions'!AR23</f>
        <v>16075.819804879795</v>
      </c>
      <c r="AL226" s="468">
        <f>'Revenue Assumptions'!AS23</f>
        <v>16932.264177371908</v>
      </c>
      <c r="AM226" s="2"/>
      <c r="AN226" s="2"/>
    </row>
    <row r="227" spans="1:40" outlineLevel="1">
      <c r="A227" s="2"/>
      <c r="B227" s="55" t="s">
        <v>43</v>
      </c>
      <c r="C227" s="18" t="s">
        <v>733</v>
      </c>
      <c r="D227" s="168">
        <f t="shared" ref="D227:P227" si="263">D220/D226</f>
        <v>0</v>
      </c>
      <c r="E227" s="2">
        <f t="shared" si="263"/>
        <v>0.2687435983246626</v>
      </c>
      <c r="F227" s="2">
        <f t="shared" si="263"/>
        <v>0.18913621203645553</v>
      </c>
      <c r="G227" s="2">
        <f t="shared" si="263"/>
        <v>0.14308688211126583</v>
      </c>
      <c r="H227" s="2">
        <f t="shared" si="263"/>
        <v>0.12079954592573872</v>
      </c>
      <c r="I227" s="2">
        <f t="shared" si="263"/>
        <v>0.15210423559480943</v>
      </c>
      <c r="J227" s="2">
        <f t="shared" si="263"/>
        <v>0.15742800139653276</v>
      </c>
      <c r="K227" s="2">
        <f t="shared" si="263"/>
        <v>0.19303974352215286</v>
      </c>
      <c r="L227" s="2">
        <f t="shared" si="263"/>
        <v>0.14704309808697744</v>
      </c>
      <c r="M227" s="2">
        <f t="shared" si="263"/>
        <v>0.12694224567575491</v>
      </c>
      <c r="N227" s="2">
        <f t="shared" si="263"/>
        <v>0.12908114065298251</v>
      </c>
      <c r="O227" s="2">
        <f t="shared" si="263"/>
        <v>0.1135311052697459</v>
      </c>
      <c r="P227" s="831">
        <f t="shared" si="263"/>
        <v>0.11372865712967237</v>
      </c>
      <c r="Q227" s="859">
        <v>0.12</v>
      </c>
      <c r="R227" s="859">
        <v>0.11</v>
      </c>
      <c r="S227" s="859">
        <v>0.11</v>
      </c>
      <c r="T227" s="840">
        <f t="shared" ref="T227:AB227" si="264">S227</f>
        <v>0.11</v>
      </c>
      <c r="U227" s="840">
        <f t="shared" si="264"/>
        <v>0.11</v>
      </c>
      <c r="V227" s="840">
        <f t="shared" si="264"/>
        <v>0.11</v>
      </c>
      <c r="W227" s="840">
        <f t="shared" si="264"/>
        <v>0.11</v>
      </c>
      <c r="X227" s="840">
        <f>W227</f>
        <v>0.11</v>
      </c>
      <c r="Y227" s="840">
        <f>X227</f>
        <v>0.11</v>
      </c>
      <c r="Z227" s="840">
        <f t="shared" si="264"/>
        <v>0.11</v>
      </c>
      <c r="AA227" s="840">
        <f t="shared" si="264"/>
        <v>0.11</v>
      </c>
      <c r="AB227" s="840">
        <f t="shared" si="264"/>
        <v>0.11</v>
      </c>
      <c r="AC227" s="840">
        <f t="shared" ref="AC227:AI228" si="265">AB227</f>
        <v>0.11</v>
      </c>
      <c r="AD227" s="840">
        <f t="shared" si="265"/>
        <v>0.11</v>
      </c>
      <c r="AE227" s="840">
        <f t="shared" si="265"/>
        <v>0.11</v>
      </c>
      <c r="AF227" s="840">
        <f t="shared" si="265"/>
        <v>0.11</v>
      </c>
      <c r="AG227" s="840">
        <f t="shared" si="265"/>
        <v>0.11</v>
      </c>
      <c r="AH227" s="840">
        <f t="shared" si="265"/>
        <v>0.11</v>
      </c>
      <c r="AI227" s="840">
        <f t="shared" si="265"/>
        <v>0.11</v>
      </c>
      <c r="AJ227" s="840">
        <f t="shared" ref="AJ227:AJ228" si="266">AI227</f>
        <v>0.11</v>
      </c>
      <c r="AK227" s="840">
        <f t="shared" ref="AK227:AL228" si="267">AJ227</f>
        <v>0.11</v>
      </c>
      <c r="AL227" s="840">
        <f t="shared" si="267"/>
        <v>0.11</v>
      </c>
      <c r="AM227" s="2"/>
      <c r="AN227" s="2"/>
    </row>
    <row r="228" spans="1:40" outlineLevel="1">
      <c r="A228" s="2"/>
      <c r="B228" s="55" t="s">
        <v>1133</v>
      </c>
      <c r="C228" s="18" t="s">
        <v>733</v>
      </c>
      <c r="D228" s="2"/>
      <c r="E228" s="2"/>
      <c r="F228" s="2"/>
      <c r="G228" s="2"/>
      <c r="H228" s="2">
        <f t="shared" ref="H228:O228" si="268">H222/G222-1</f>
        <v>5.8264415584415588</v>
      </c>
      <c r="I228" s="2">
        <f t="shared" si="268"/>
        <v>0.73885350318471343</v>
      </c>
      <c r="J228" s="2">
        <f t="shared" si="268"/>
        <v>0.16849816849816857</v>
      </c>
      <c r="K228" s="2">
        <f t="shared" si="268"/>
        <v>9.404388714733547E-2</v>
      </c>
      <c r="L228" s="263">
        <f t="shared" si="268"/>
        <v>0.2836676217765044</v>
      </c>
      <c r="M228" s="263">
        <f t="shared" si="268"/>
        <v>0.13839285714285721</v>
      </c>
      <c r="N228" s="263">
        <f t="shared" si="268"/>
        <v>0.11372549019607847</v>
      </c>
      <c r="O228" s="263">
        <f t="shared" si="268"/>
        <v>0.17253521126760574</v>
      </c>
      <c r="P228" s="860">
        <v>0.01</v>
      </c>
      <c r="Q228" s="861">
        <v>0.01</v>
      </c>
      <c r="R228" s="862">
        <v>0.02</v>
      </c>
      <c r="S228" s="862">
        <v>0.02</v>
      </c>
      <c r="T228" s="862">
        <v>0.02</v>
      </c>
      <c r="U228" s="862">
        <v>0.02</v>
      </c>
      <c r="V228" s="862">
        <v>0.02</v>
      </c>
      <c r="W228" s="862">
        <v>0.02</v>
      </c>
      <c r="X228" s="862">
        <v>0.02</v>
      </c>
      <c r="Y228" s="862">
        <v>0.02</v>
      </c>
      <c r="Z228" s="862">
        <v>0.02</v>
      </c>
      <c r="AA228" s="862">
        <v>0.02</v>
      </c>
      <c r="AB228" s="862">
        <v>1.02</v>
      </c>
      <c r="AC228" s="863">
        <f t="shared" si="265"/>
        <v>1.02</v>
      </c>
      <c r="AD228" s="863">
        <f t="shared" si="265"/>
        <v>1.02</v>
      </c>
      <c r="AE228" s="863">
        <f t="shared" si="265"/>
        <v>1.02</v>
      </c>
      <c r="AF228" s="863">
        <f t="shared" si="265"/>
        <v>1.02</v>
      </c>
      <c r="AG228" s="863">
        <f t="shared" si="265"/>
        <v>1.02</v>
      </c>
      <c r="AH228" s="864">
        <f t="shared" si="265"/>
        <v>1.02</v>
      </c>
      <c r="AI228" s="864">
        <f t="shared" si="265"/>
        <v>1.02</v>
      </c>
      <c r="AJ228" s="864">
        <f t="shared" si="266"/>
        <v>1.02</v>
      </c>
      <c r="AK228" s="864">
        <f t="shared" si="267"/>
        <v>1.02</v>
      </c>
      <c r="AL228" s="864">
        <f t="shared" si="267"/>
        <v>1.02</v>
      </c>
      <c r="AM228" s="2"/>
      <c r="AN228" s="2"/>
    </row>
    <row r="229" spans="1:40" outlineLevel="1">
      <c r="A229" s="2"/>
      <c r="B229" s="55"/>
      <c r="C229" s="18"/>
      <c r="D229" s="2"/>
      <c r="E229" s="2"/>
      <c r="F229" s="2"/>
      <c r="G229" s="2"/>
      <c r="H229" s="2"/>
      <c r="I229" s="2"/>
      <c r="J229" s="2"/>
      <c r="K229" s="2"/>
      <c r="L229" s="263"/>
      <c r="M229" s="263"/>
      <c r="N229" s="263"/>
      <c r="O229" s="263"/>
      <c r="P229" s="865"/>
      <c r="Q229" s="865"/>
      <c r="R229" s="865"/>
      <c r="S229" s="865"/>
      <c r="T229" s="865"/>
      <c r="U229" s="865"/>
      <c r="V229" s="865"/>
      <c r="W229" s="865"/>
      <c r="X229" s="865"/>
      <c r="Y229" s="865"/>
      <c r="Z229" s="865"/>
      <c r="AA229" s="865"/>
      <c r="AB229" s="865"/>
      <c r="AC229" s="865"/>
      <c r="AD229" s="865"/>
      <c r="AE229" s="865"/>
      <c r="AF229" s="865"/>
      <c r="AG229" s="865"/>
      <c r="AH229" s="865"/>
      <c r="AI229" s="865"/>
      <c r="AJ229" s="865"/>
      <c r="AK229" s="865"/>
      <c r="AL229" s="865"/>
      <c r="AM229" s="2"/>
      <c r="AN229" s="2"/>
    </row>
    <row r="230" spans="1:40" outlineLevel="1">
      <c r="A230" s="2"/>
      <c r="B230" s="2" t="s">
        <v>674</v>
      </c>
      <c r="C230" s="18" t="s">
        <v>732</v>
      </c>
      <c r="D230" s="468">
        <f>'Revenue Assumptions'!K1288</f>
        <v>18609</v>
      </c>
      <c r="E230" s="468">
        <f>'Revenue Assumptions'!L1288</f>
        <v>19456</v>
      </c>
      <c r="F230" s="468">
        <f>'Revenue Assumptions'!M1288</f>
        <v>20197</v>
      </c>
      <c r="G230" s="468">
        <f>'Revenue Assumptions'!N1288</f>
        <v>20380</v>
      </c>
      <c r="H230" s="468">
        <f>'Revenue Assumptions'!O1288</f>
        <v>20373</v>
      </c>
      <c r="I230" s="468">
        <f>'Revenue Assumptions'!P1288</f>
        <v>22161</v>
      </c>
      <c r="J230" s="468">
        <f>'Revenue Assumptions'!Q1288</f>
        <v>22712</v>
      </c>
      <c r="K230" s="468">
        <f>'Revenue Assumptions'!R1288</f>
        <v>23673</v>
      </c>
      <c r="L230" s="465">
        <f>'Revenue Assumptions'!S1288</f>
        <v>24650.799183579176</v>
      </c>
      <c r="M230" s="465">
        <f>'Revenue Assumptions'!T1288</f>
        <v>25371.252541340669</v>
      </c>
      <c r="N230" s="465">
        <f>'Revenue Assumptions'!U1288</f>
        <v>24812.852789869408</v>
      </c>
      <c r="O230" s="465">
        <f>'Revenue Assumptions'!V1288</f>
        <v>24982.968841907401</v>
      </c>
      <c r="P230" s="465">
        <f>'Revenue Assumptions'!W1288-'Revenue Assumptions'!W581</f>
        <v>25231.817287899998</v>
      </c>
      <c r="Q230" s="465">
        <f>'Revenue Assumptions'!X1288-'Revenue Assumptions'!X581</f>
        <v>25401.031612838397</v>
      </c>
      <c r="R230" s="465">
        <f>'Revenue Assumptions'!Y1288-'Revenue Assumptions'!Y581</f>
        <v>24687.242760000001</v>
      </c>
      <c r="S230" s="465">
        <f>'Revenue Assumptions'!Z1288-'Revenue Assumptions'!Z581</f>
        <v>25049.490991014121</v>
      </c>
      <c r="T230" s="465">
        <f>'Revenue Assumptions'!AA642</f>
        <v>27037.074800000002</v>
      </c>
      <c r="U230" s="465">
        <f>'Revenue Assumptions'!AB642</f>
        <v>28190.996751576444</v>
      </c>
      <c r="V230" s="465">
        <f>'Revenue Assumptions'!AC76</f>
        <v>28841</v>
      </c>
      <c r="W230" s="465">
        <f>'Revenue Assumptions'!AD76</f>
        <v>27807</v>
      </c>
      <c r="X230" s="465">
        <f>'Revenue Assumptions'!AE76</f>
        <v>25937</v>
      </c>
      <c r="Y230" s="465">
        <f>'Revenue Assumptions'!AF76</f>
        <v>23132</v>
      </c>
      <c r="Z230" s="465">
        <f>'Revenue Assumptions'!AG76</f>
        <v>22045</v>
      </c>
      <c r="AA230" s="465">
        <f>'Revenue Assumptions'!AH76</f>
        <v>23245.009539999999</v>
      </c>
      <c r="AB230" s="465">
        <f>'Revenue Assumptions'!AI76</f>
        <v>23482</v>
      </c>
      <c r="AC230" s="465">
        <f>'Revenue Assumptions'!AJ76</f>
        <v>23610</v>
      </c>
      <c r="AD230" s="465">
        <f>'Revenue Assumptions'!AK76</f>
        <v>24510.648474448983</v>
      </c>
      <c r="AE230" s="465">
        <f>'Revenue Assumptions'!AL76</f>
        <v>25177.154787169533</v>
      </c>
      <c r="AF230" s="465">
        <f>'Revenue Assumptions'!AM76</f>
        <v>25947.093999635817</v>
      </c>
      <c r="AG230" s="465">
        <f>'Revenue Assumptions'!AN76</f>
        <v>26830.677617914185</v>
      </c>
      <c r="AH230" s="465">
        <f>'Revenue Assumptions'!AO76</f>
        <v>27833.255496218695</v>
      </c>
      <c r="AI230" s="465">
        <f>'Revenue Assumptions'!AP76</f>
        <v>28963.392081484439</v>
      </c>
      <c r="AJ230" s="465">
        <f>'Revenue Assumptions'!AQ76</f>
        <v>30233.080538832968</v>
      </c>
      <c r="AK230" s="465">
        <f>'Revenue Assumptions'!AR76</f>
        <v>31658.118782036137</v>
      </c>
      <c r="AL230" s="465">
        <f>'Revenue Assumptions'!AS76</f>
        <v>33099.289826606997</v>
      </c>
      <c r="AM230" s="2"/>
      <c r="AN230" s="2"/>
    </row>
    <row r="231" spans="1:40" outlineLevel="1">
      <c r="A231" s="2"/>
      <c r="B231" s="241" t="s">
        <v>1140</v>
      </c>
      <c r="C231" s="18" t="s">
        <v>733</v>
      </c>
      <c r="D231" s="168">
        <f t="shared" ref="D231:U231" si="269">D215/D230</f>
        <v>0</v>
      </c>
      <c r="E231" s="2">
        <f t="shared" si="269"/>
        <v>2.0610608552631578E-2</v>
      </c>
      <c r="F231" s="2">
        <f t="shared" si="269"/>
        <v>2.8618111600732781E-2</v>
      </c>
      <c r="G231" s="2">
        <f t="shared" si="269"/>
        <v>2.7281648675171737E-2</v>
      </c>
      <c r="H231" s="2">
        <f t="shared" si="269"/>
        <v>2.6652922986305404E-2</v>
      </c>
      <c r="I231" s="2">
        <f t="shared" si="269"/>
        <v>3.2760254501150672E-2</v>
      </c>
      <c r="J231" s="2">
        <f t="shared" si="269"/>
        <v>4.037513208876365E-2</v>
      </c>
      <c r="K231" s="2">
        <f t="shared" si="269"/>
        <v>5.2295864486968276E-2</v>
      </c>
      <c r="L231" s="263">
        <f t="shared" si="269"/>
        <v>5.4805525368116739E-2</v>
      </c>
      <c r="M231" s="263">
        <f t="shared" si="269"/>
        <v>5.2697437693367828E-2</v>
      </c>
      <c r="N231" s="263">
        <f t="shared" si="269"/>
        <v>5.9565903707913738E-2</v>
      </c>
      <c r="O231" s="263">
        <f t="shared" si="269"/>
        <v>8.0574891348514019E-2</v>
      </c>
      <c r="P231" s="263">
        <f t="shared" si="269"/>
        <v>7.60944001017613E-2</v>
      </c>
      <c r="Q231" s="263">
        <f t="shared" si="269"/>
        <v>0.11420795990560292</v>
      </c>
      <c r="R231" s="263">
        <f t="shared" si="269"/>
        <v>0.11771261895267238</v>
      </c>
      <c r="S231" s="263">
        <f t="shared" si="269"/>
        <v>0.12291666928898931</v>
      </c>
      <c r="T231" s="263">
        <f t="shared" si="269"/>
        <v>0.1185039440731214</v>
      </c>
      <c r="U231" s="263">
        <f t="shared" si="269"/>
        <v>0.11659750909006758</v>
      </c>
      <c r="V231" s="263">
        <f t="shared" ref="V231:AA231" si="270">V215/V230</f>
        <v>0.12312333136853784</v>
      </c>
      <c r="W231" s="263">
        <f t="shared" si="270"/>
        <v>0.13561333477182005</v>
      </c>
      <c r="X231" s="263">
        <f t="shared" si="270"/>
        <v>0.1345568107337009</v>
      </c>
      <c r="Y231" s="263">
        <f t="shared" si="270"/>
        <v>0.12091475012969047</v>
      </c>
      <c r="Z231" s="263">
        <f t="shared" si="270"/>
        <v>0.12011794057609436</v>
      </c>
      <c r="AA231" s="263">
        <f t="shared" si="270"/>
        <v>0.12273602190141326</v>
      </c>
      <c r="AB231" s="263">
        <f t="shared" ref="AB231" si="271">AB215/AB230</f>
        <v>0.12277489140618346</v>
      </c>
      <c r="AC231" s="639">
        <f t="shared" ref="AC231:AI231" si="272">AB231</f>
        <v>0.12277489140618346</v>
      </c>
      <c r="AD231" s="639">
        <f t="shared" si="272"/>
        <v>0.12277489140618346</v>
      </c>
      <c r="AE231" s="639">
        <f t="shared" si="272"/>
        <v>0.12277489140618346</v>
      </c>
      <c r="AF231" s="639">
        <f t="shared" si="272"/>
        <v>0.12277489140618346</v>
      </c>
      <c r="AG231" s="639">
        <f t="shared" si="272"/>
        <v>0.12277489140618346</v>
      </c>
      <c r="AH231" s="639">
        <f t="shared" si="272"/>
        <v>0.12277489140618346</v>
      </c>
      <c r="AI231" s="639">
        <f t="shared" si="272"/>
        <v>0.12277489140618346</v>
      </c>
      <c r="AJ231" s="639">
        <f t="shared" ref="AJ231" si="273">AI231</f>
        <v>0.12277489140618346</v>
      </c>
      <c r="AK231" s="639">
        <f t="shared" ref="AK231:AL231" si="274">AJ231</f>
        <v>0.12277489140618346</v>
      </c>
      <c r="AL231" s="639">
        <f t="shared" si="274"/>
        <v>0.12277489140618346</v>
      </c>
      <c r="AM231" s="2"/>
      <c r="AN231" s="2"/>
    </row>
    <row r="232" spans="1:40" outlineLevel="1">
      <c r="A232" s="2"/>
      <c r="B232" s="2"/>
      <c r="C232" s="18"/>
      <c r="D232" s="2"/>
      <c r="E232" s="2"/>
      <c r="F232" s="2"/>
      <c r="G232" s="2"/>
      <c r="H232" s="2"/>
      <c r="I232" s="2"/>
      <c r="J232" s="2"/>
      <c r="K232" s="2"/>
      <c r="L232" s="2"/>
      <c r="M232" s="2"/>
      <c r="N232" s="2"/>
      <c r="O232" s="2"/>
      <c r="P232" s="2"/>
      <c r="Q232" s="2"/>
      <c r="R232" s="20"/>
      <c r="S232" s="2"/>
      <c r="T232" s="2"/>
      <c r="U232" s="2"/>
      <c r="V232" s="2"/>
      <c r="W232" s="2"/>
      <c r="X232" s="2"/>
      <c r="Y232" s="2"/>
      <c r="Z232" s="2"/>
      <c r="AA232" s="2"/>
      <c r="AB232" s="2"/>
      <c r="AC232" s="2"/>
      <c r="AD232" s="2"/>
      <c r="AE232" s="2"/>
      <c r="AF232" s="2"/>
      <c r="AG232" s="2"/>
      <c r="AH232" s="2"/>
      <c r="AI232" s="2"/>
      <c r="AJ232" s="2"/>
      <c r="AK232" s="2"/>
      <c r="AL232" s="2"/>
      <c r="AM232" s="2"/>
      <c r="AN232" s="2"/>
    </row>
    <row r="233" spans="1:40" outlineLevel="1">
      <c r="A233" s="2"/>
      <c r="B233" s="2" t="s">
        <v>44</v>
      </c>
      <c r="C233" s="18" t="s">
        <v>732</v>
      </c>
      <c r="D233" s="468">
        <f>'Revenue Assumptions'!K588+'Revenue Assumptions'!K23+'Revenue Assumptions'!K603+'Revenue Assumptions'!K612</f>
        <v>16104.645199999999</v>
      </c>
      <c r="E233" s="468">
        <f>'Revenue Assumptions'!L588+'Revenue Assumptions'!L23+'Revenue Assumptions'!L603+'Revenue Assumptions'!L612</f>
        <v>16189.423999999999</v>
      </c>
      <c r="F233" s="468">
        <f>'Revenue Assumptions'!M588+'Revenue Assumptions'!M23+'Revenue Assumptions'!M603+'Revenue Assumptions'!M612</f>
        <v>16095.399799999999</v>
      </c>
      <c r="G233" s="468">
        <f>'Revenue Assumptions'!N588+'Revenue Assumptions'!N23+'Revenue Assumptions'!N603+'Revenue Assumptions'!N612</f>
        <v>16415.18936</v>
      </c>
      <c r="H233" s="468">
        <f>'Revenue Assumptions'!O588+'Revenue Assumptions'!O23+'Revenue Assumptions'!O603+'Revenue Assumptions'!O612</f>
        <v>17205.599179999997</v>
      </c>
      <c r="I233" s="468">
        <f>'Revenue Assumptions'!P588+'Revenue Assumptions'!P23+'Revenue Assumptions'!P603+'Revenue Assumptions'!P612</f>
        <v>18016.574919999999</v>
      </c>
      <c r="J233" s="468">
        <f>'Revenue Assumptions'!Q588+'Revenue Assumptions'!Q23+'Revenue Assumptions'!Q603+'Revenue Assumptions'!Q612</f>
        <v>18236.686440000001</v>
      </c>
      <c r="K233" s="468">
        <f>'Revenue Assumptions'!R588+'Revenue Assumptions'!R23+'Revenue Assumptions'!R603+'Revenue Assumptions'!R612</f>
        <v>19020.75</v>
      </c>
      <c r="L233" s="465">
        <f>'Revenue Assumptions'!S588+'Revenue Assumptions'!S23+'Revenue Assumptions'!S603+'Revenue Assumptions'!S612</f>
        <v>19876.479879999999</v>
      </c>
      <c r="M233" s="465">
        <f>'Revenue Assumptions'!T588+'Revenue Assumptions'!T23+'Revenue Assumptions'!T603+'Revenue Assumptions'!T612</f>
        <v>20225.206569054215</v>
      </c>
      <c r="N233" s="465">
        <f>'Revenue Assumptions'!U588+'Revenue Assumptions'!U23+'Revenue Assumptions'!U603+'Revenue Assumptions'!U612</f>
        <v>19947.852789869408</v>
      </c>
      <c r="O233" s="465">
        <f>'Revenue Assumptions'!V588+'Revenue Assumptions'!V23+'Revenue Assumptions'!V603+'Revenue Assumptions'!V612</f>
        <v>20250.968341907399</v>
      </c>
      <c r="P233" s="465">
        <f>'Revenue Assumptions'!W588+'Revenue Assumptions'!W23+'Revenue Assumptions'!W603+'Revenue Assumptions'!W612-'Revenue Assumptions'!W581-'Revenue Assumptions'!W566</f>
        <v>20540.71056</v>
      </c>
      <c r="Q233" s="465">
        <f>'Revenue Assumptions'!X588+'Revenue Assumptions'!X23+'Revenue Assumptions'!X603+'Revenue Assumptions'!X612-'Revenue Assumptions'!X581-'Revenue Assumptions'!X566</f>
        <v>20840.423593333333</v>
      </c>
      <c r="R233" s="465">
        <f>'Revenue Assumptions'!Y588+'Revenue Assumptions'!Y23+'Revenue Assumptions'!Y603+'Revenue Assumptions'!Y612-'Revenue Assumptions'!Y581-'Revenue Assumptions'!Y566</f>
        <v>21130.754188571431</v>
      </c>
      <c r="S233" s="465">
        <f>'Revenue Assumptions'!Z588+'Revenue Assumptions'!Z23+'Revenue Assumptions'!Z603+'Revenue Assumptions'!Z612-'Revenue Assumptions'!Z581-'Revenue Assumptions'!Z566</f>
        <v>22880.490991014121</v>
      </c>
      <c r="T233" s="465">
        <f>'Revenue Assumptions'!AA588+'Revenue Assumptions'!AA23+'Revenue Assumptions'!AA603+'Revenue Assumptions'!AA612-'Revenue Assumptions'!AA566</f>
        <v>22554.074800000002</v>
      </c>
      <c r="U233" s="465">
        <f>'Revenue Assumptions'!AB588+'Revenue Assumptions'!AB23+'Revenue Assumptions'!AB603+'Revenue Assumptions'!AB612-'Revenue Assumptions'!AB566</f>
        <v>22545.996751576444</v>
      </c>
      <c r="V233" s="465">
        <f>+'Revenue Assumptions'!AC23+'Revenue Assumptions'!AC33+'Revenue Assumptions'!AC45+'Revenue Assumptions'!AC52</f>
        <v>23595</v>
      </c>
      <c r="W233" s="465">
        <f>+'Revenue Assumptions'!AD23+'Revenue Assumptions'!AD33+'Revenue Assumptions'!AD45+'Revenue Assumptions'!AD52</f>
        <v>22858</v>
      </c>
      <c r="X233" s="465">
        <f>+'Revenue Assumptions'!AE23+'Revenue Assumptions'!AE33+'Revenue Assumptions'!AE45+'Revenue Assumptions'!AE52</f>
        <v>21191</v>
      </c>
      <c r="Y233" s="465">
        <f>+'Revenue Assumptions'!AF23+'Revenue Assumptions'!AF33+'Revenue Assumptions'!AF45+'Revenue Assumptions'!AF52</f>
        <v>19126</v>
      </c>
      <c r="Z233" s="465">
        <f>+'Revenue Assumptions'!AG23+'Revenue Assumptions'!AG33+'Revenue Assumptions'!AG45+'Revenue Assumptions'!AG52</f>
        <v>18162</v>
      </c>
      <c r="AA233" s="465">
        <f>+'Revenue Assumptions'!AH23+'Revenue Assumptions'!AH33+'Revenue Assumptions'!AH45+'Revenue Assumptions'!AH52</f>
        <v>18754.009539999999</v>
      </c>
      <c r="AB233" s="465">
        <f>+'Revenue Assumptions'!AI23+'Revenue Assumptions'!AI33+'Revenue Assumptions'!AI45+'Revenue Assumptions'!AI52</f>
        <v>18980</v>
      </c>
      <c r="AC233" s="465">
        <f>+'Revenue Assumptions'!AJ23+'Revenue Assumptions'!AJ33+'Revenue Assumptions'!AJ45+'Revenue Assumptions'!AJ52</f>
        <v>19108</v>
      </c>
      <c r="AD233" s="465">
        <f>+'Revenue Assumptions'!AK23+'Revenue Assumptions'!AK33+'Revenue Assumptions'!AK45+'Revenue Assumptions'!AK52</f>
        <v>19899.104139192696</v>
      </c>
      <c r="AE233" s="465">
        <f>+'Revenue Assumptions'!AL23+'Revenue Assumptions'!AL33+'Revenue Assumptions'!AL45+'Revenue Assumptions'!AL52</f>
        <v>20452.924359661192</v>
      </c>
      <c r="AF233" s="465">
        <f>+'Revenue Assumptions'!AM23+'Revenue Assumptions'!AM33+'Revenue Assumptions'!AM45+'Revenue Assumptions'!AM52</f>
        <v>21115.324213257638</v>
      </c>
      <c r="AG233" s="465">
        <f>+'Revenue Assumptions'!AN23+'Revenue Assumptions'!AN33+'Revenue Assumptions'!AN45+'Revenue Assumptions'!AN52</f>
        <v>21888.615370318883</v>
      </c>
      <c r="AH233" s="465">
        <f>+'Revenue Assumptions'!AO23+'Revenue Assumptions'!AO33+'Revenue Assumptions'!AO45+'Revenue Assumptions'!AO52</f>
        <v>22778.074553556948</v>
      </c>
      <c r="AI233" s="465">
        <f>+'Revenue Assumptions'!AP23+'Revenue Assumptions'!AP33+'Revenue Assumptions'!AP45+'Revenue Assumptions'!AP52</f>
        <v>23792.191073691185</v>
      </c>
      <c r="AJ233" s="465">
        <f>+'Revenue Assumptions'!AQ23+'Revenue Assumptions'!AQ33+'Revenue Assumptions'!AQ45+'Revenue Assumptions'!AQ52</f>
        <v>24942.88089855693</v>
      </c>
      <c r="AK233" s="465">
        <f>+'Revenue Assumptions'!AR23+'Revenue Assumptions'!AR33+'Revenue Assumptions'!AR45+'Revenue Assumptions'!AR52</f>
        <v>26245.862625597561</v>
      </c>
      <c r="AL233" s="465">
        <f>+'Revenue Assumptions'!AS23+'Revenue Assumptions'!AS33+'Revenue Assumptions'!AS45+'Revenue Assumptions'!AS52</f>
        <v>27562.207801487806</v>
      </c>
      <c r="AM233" s="2"/>
      <c r="AN233" s="2"/>
    </row>
    <row r="234" spans="1:40" outlineLevel="1">
      <c r="A234" s="2"/>
      <c r="B234" s="241" t="s">
        <v>1141</v>
      </c>
      <c r="C234" s="18" t="s">
        <v>733</v>
      </c>
      <c r="D234" s="168">
        <f t="shared" ref="D234:W234" si="275">D216/D233</f>
        <v>0</v>
      </c>
      <c r="E234" s="2">
        <f t="shared" si="275"/>
        <v>9.3579610985542169E-2</v>
      </c>
      <c r="F234" s="2">
        <f t="shared" si="275"/>
        <v>0.11624439425232544</v>
      </c>
      <c r="G234" s="2">
        <f t="shared" si="275"/>
        <v>0.12141194087327908</v>
      </c>
      <c r="H234" s="2">
        <f t="shared" si="275"/>
        <v>0.10391965901881484</v>
      </c>
      <c r="I234" s="2">
        <f t="shared" si="275"/>
        <v>0.10568046415339415</v>
      </c>
      <c r="J234" s="2">
        <f t="shared" si="275"/>
        <v>0.10977871482227447</v>
      </c>
      <c r="K234" s="2">
        <f t="shared" si="275"/>
        <v>9.4580918207746806E-2</v>
      </c>
      <c r="L234" s="263">
        <f t="shared" si="275"/>
        <v>9.0408362589804808E-2</v>
      </c>
      <c r="M234" s="263">
        <f t="shared" si="275"/>
        <v>9.7996526919659724E-2</v>
      </c>
      <c r="N234" s="263">
        <f t="shared" si="275"/>
        <v>9.0636321565306502E-2</v>
      </c>
      <c r="O234" s="263">
        <f t="shared" si="275"/>
        <v>9.5946029206867678E-2</v>
      </c>
      <c r="P234" s="263">
        <f t="shared" si="275"/>
        <v>9.4446586661800475E-2</v>
      </c>
      <c r="Q234" s="263">
        <f t="shared" si="275"/>
        <v>8.0036760890674907E-2</v>
      </c>
      <c r="R234" s="263">
        <f t="shared" si="275"/>
        <v>8.1918514812699461E-2</v>
      </c>
      <c r="S234" s="263">
        <f t="shared" si="275"/>
        <v>7.5391738782068132E-2</v>
      </c>
      <c r="T234" s="263">
        <f t="shared" si="275"/>
        <v>7.315751209621775E-2</v>
      </c>
      <c r="U234" s="263">
        <f t="shared" si="275"/>
        <v>7.5046582266614287E-2</v>
      </c>
      <c r="V234" s="263">
        <f t="shared" si="275"/>
        <v>9.6079677897859719E-2</v>
      </c>
      <c r="W234" s="263">
        <f t="shared" si="275"/>
        <v>0.12210167118733048</v>
      </c>
      <c r="X234" s="263">
        <f>X216/X233</f>
        <v>0.14888396017177102</v>
      </c>
      <c r="Y234" s="263">
        <f>Y216/Y233</f>
        <v>0.16485412527449544</v>
      </c>
      <c r="Z234" s="263">
        <f>Z216/Z233</f>
        <v>0.17745842968836031</v>
      </c>
      <c r="AA234" s="263">
        <f>AA216/AA233</f>
        <v>0.17457600162871625</v>
      </c>
      <c r="AB234" s="263">
        <f>AB216/AB233</f>
        <v>0.26685985247629085</v>
      </c>
      <c r="AC234" s="639">
        <f t="shared" ref="AC234:AI234" si="276">AB234</f>
        <v>0.26685985247629085</v>
      </c>
      <c r="AD234" s="639">
        <f t="shared" si="276"/>
        <v>0.26685985247629085</v>
      </c>
      <c r="AE234" s="639">
        <f t="shared" si="276"/>
        <v>0.26685985247629085</v>
      </c>
      <c r="AF234" s="639">
        <f t="shared" si="276"/>
        <v>0.26685985247629085</v>
      </c>
      <c r="AG234" s="639">
        <f t="shared" si="276"/>
        <v>0.26685985247629085</v>
      </c>
      <c r="AH234" s="639">
        <f t="shared" si="276"/>
        <v>0.26685985247629085</v>
      </c>
      <c r="AI234" s="639">
        <f t="shared" si="276"/>
        <v>0.26685985247629085</v>
      </c>
      <c r="AJ234" s="639">
        <f t="shared" ref="AJ234" si="277">AI234</f>
        <v>0.26685985247629085</v>
      </c>
      <c r="AK234" s="639">
        <f t="shared" ref="AK234:AL234" si="278">AJ234</f>
        <v>0.26685985247629085</v>
      </c>
      <c r="AL234" s="639">
        <f t="shared" si="278"/>
        <v>0.26685985247629085</v>
      </c>
      <c r="AM234" s="2"/>
      <c r="AN234" s="2"/>
    </row>
    <row r="235" spans="1:40" outlineLevel="1">
      <c r="A235" s="2"/>
      <c r="B235" s="2"/>
      <c r="C235" s="18"/>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row>
    <row r="236" spans="1:40" outlineLevel="1">
      <c r="A236" s="2"/>
      <c r="B236" s="55" t="s">
        <v>1134</v>
      </c>
      <c r="C236" s="18" t="s">
        <v>733</v>
      </c>
      <c r="D236" s="2"/>
      <c r="E236" s="2"/>
      <c r="F236" s="2">
        <f t="shared" ref="F236:O236" si="279">F219/E219-1</f>
        <v>-0.12101910828025475</v>
      </c>
      <c r="G236" s="2">
        <f t="shared" si="279"/>
        <v>-0.64734155224259637</v>
      </c>
      <c r="H236" s="2">
        <f t="shared" si="279"/>
        <v>0.58218530717456685</v>
      </c>
      <c r="I236" s="2">
        <f t="shared" si="279"/>
        <v>0.28787878787878785</v>
      </c>
      <c r="J236" s="2">
        <f t="shared" si="279"/>
        <v>0.13949579831932768</v>
      </c>
      <c r="K236" s="2">
        <f t="shared" si="279"/>
        <v>-1.4749262536873142E-2</v>
      </c>
      <c r="L236" s="263">
        <f t="shared" si="279"/>
        <v>-2.844311377245512E-2</v>
      </c>
      <c r="M236" s="263">
        <f t="shared" si="279"/>
        <v>-4.7765793528505407E-2</v>
      </c>
      <c r="N236" s="263">
        <f t="shared" si="279"/>
        <v>-7.9288025889967639E-2</v>
      </c>
      <c r="O236" s="263">
        <f t="shared" si="279"/>
        <v>0.14938488576449904</v>
      </c>
      <c r="P236" s="860">
        <v>0.01</v>
      </c>
      <c r="Q236" s="865"/>
      <c r="R236" s="263">
        <f t="shared" ref="R236:W236" si="280">R219/Q219-1</f>
        <v>4.39560439560438E-3</v>
      </c>
      <c r="S236" s="263">
        <f t="shared" si="280"/>
        <v>0.11761487964989059</v>
      </c>
      <c r="T236" s="263">
        <f t="shared" si="280"/>
        <v>0.17131669114047976</v>
      </c>
      <c r="U236" s="263">
        <f t="shared" si="280"/>
        <v>0.12494776431257826</v>
      </c>
      <c r="V236" s="263">
        <f t="shared" si="280"/>
        <v>-6.3893016344725106E-2</v>
      </c>
      <c r="W236" s="263">
        <f t="shared" si="280"/>
        <v>2.2222222222222143E-2</v>
      </c>
      <c r="X236" s="263">
        <f>X219/W219-1</f>
        <v>-4.4254658385093126E-2</v>
      </c>
      <c r="Y236" s="263">
        <f>Y219/X219-1</f>
        <v>-3.8180341186027644E-2</v>
      </c>
      <c r="Z236" s="263">
        <f>Z219/Y219-1</f>
        <v>-4.6452702702702853E-3</v>
      </c>
      <c r="AA236" s="263">
        <f>AA219/Z219-1</f>
        <v>1.1455239711497756E-2</v>
      </c>
      <c r="AB236" s="263">
        <f>AB219/AA219-1</f>
        <v>-0.79320469798657722</v>
      </c>
      <c r="AC236" s="639">
        <v>0.02</v>
      </c>
      <c r="AD236" s="639">
        <v>0.02</v>
      </c>
      <c r="AE236" s="639">
        <v>0.02</v>
      </c>
      <c r="AF236" s="639">
        <v>0.02</v>
      </c>
      <c r="AG236" s="639">
        <v>0.02</v>
      </c>
      <c r="AH236" s="639">
        <v>0.02</v>
      </c>
      <c r="AI236" s="639">
        <v>0.02</v>
      </c>
      <c r="AJ236" s="639">
        <v>0.02</v>
      </c>
      <c r="AK236" s="639">
        <v>0.02</v>
      </c>
      <c r="AL236" s="639">
        <v>0.02</v>
      </c>
      <c r="AM236" s="2"/>
      <c r="AN236" s="2"/>
    </row>
    <row r="237" spans="1:40" outlineLevel="1">
      <c r="A237" s="2"/>
      <c r="B237" s="55"/>
      <c r="C237" s="18"/>
      <c r="D237" s="2"/>
      <c r="E237" s="2"/>
      <c r="F237" s="2"/>
      <c r="G237" s="2"/>
      <c r="H237" s="2"/>
      <c r="I237" s="2"/>
      <c r="J237" s="2"/>
      <c r="K237" s="2"/>
      <c r="L237" s="2"/>
      <c r="M237" s="2"/>
      <c r="N237" s="2"/>
      <c r="O237" s="2"/>
      <c r="P237" s="866"/>
      <c r="Q237" s="866"/>
      <c r="R237" s="866"/>
      <c r="S237" s="866"/>
      <c r="T237" s="866"/>
      <c r="U237" s="866"/>
      <c r="V237" s="866"/>
      <c r="W237" s="866"/>
      <c r="X237" s="866"/>
      <c r="Y237" s="866"/>
      <c r="Z237" s="866"/>
      <c r="AA237" s="866"/>
      <c r="AB237" s="866"/>
      <c r="AC237" s="866"/>
      <c r="AD237" s="866"/>
      <c r="AE237" s="866"/>
      <c r="AF237" s="866"/>
      <c r="AG237" s="866"/>
      <c r="AH237" s="866"/>
      <c r="AI237" s="866"/>
      <c r="AJ237" s="866"/>
      <c r="AK237" s="866"/>
      <c r="AL237" s="866"/>
      <c r="AM237" s="2"/>
      <c r="AN237" s="2"/>
    </row>
    <row r="238" spans="1:40" outlineLevel="1">
      <c r="A238" s="2"/>
      <c r="B238" s="2" t="s">
        <v>514</v>
      </c>
      <c r="C238" s="18" t="s">
        <v>298</v>
      </c>
      <c r="D238" s="2"/>
      <c r="E238" s="2"/>
      <c r="F238" s="2"/>
      <c r="G238" s="2"/>
      <c r="H238" s="2"/>
      <c r="I238" s="2"/>
      <c r="J238" s="2"/>
      <c r="K238" s="2"/>
      <c r="L238" s="2"/>
      <c r="M238" s="2"/>
      <c r="N238" s="2"/>
      <c r="O238" s="399">
        <v>0</v>
      </c>
      <c r="P238" s="399">
        <v>0</v>
      </c>
      <c r="Q238" s="399">
        <v>3.5054999999999996E-2</v>
      </c>
      <c r="R238" s="867">
        <f>'Revenue Assumptions'!Y1472</f>
        <v>9.8055000000000003E-2</v>
      </c>
      <c r="S238" s="867">
        <f>'Revenue Assumptions'!Z1472</f>
        <v>0.16849999999999998</v>
      </c>
      <c r="T238" s="867">
        <f>'Revenue Assumptions'!AA1472</f>
        <v>0.35549999999999998</v>
      </c>
      <c r="U238" s="867">
        <f>'Revenue Assumptions'!AB1472</f>
        <v>0.78823045045045037</v>
      </c>
      <c r="V238" s="867">
        <f>'Revenue Assumptions'!AC1472</f>
        <v>1.4066642342342339</v>
      </c>
      <c r="W238" s="867">
        <f>'Revenue Assumptions'!AD1472</f>
        <v>2.0246725225225219</v>
      </c>
      <c r="X238" s="867">
        <f>'Revenue Assumptions'!AE1472</f>
        <v>2.6543828828828824</v>
      </c>
      <c r="Y238" s="867">
        <f>'Revenue Assumptions'!AF1472</f>
        <v>3.1399909909909902</v>
      </c>
      <c r="Z238" s="867">
        <f>'Revenue Assumptions'!AG1472</f>
        <v>3.3012612612612604</v>
      </c>
      <c r="AA238" s="867">
        <f>'Revenue Assumptions'!AH1472</f>
        <v>3.3333963963963957</v>
      </c>
      <c r="AB238" s="867">
        <f>'Revenue Assumptions'!AI1472</f>
        <v>3.3410090090090083</v>
      </c>
      <c r="AC238" s="867">
        <f>'Revenue Assumptions'!AJ1472</f>
        <v>1.6670270270270264</v>
      </c>
      <c r="AD238" s="867">
        <f>'Revenue Assumptions'!AK1472</f>
        <v>0</v>
      </c>
      <c r="AE238" s="867">
        <f>'Revenue Assumptions'!AL1472</f>
        <v>0</v>
      </c>
      <c r="AF238" s="867">
        <f>'Revenue Assumptions'!AM1472</f>
        <v>0</v>
      </c>
      <c r="AG238" s="867">
        <f>'Revenue Assumptions'!AN1472</f>
        <v>0</v>
      </c>
      <c r="AH238" s="867">
        <f>'Revenue Assumptions'!AO1472</f>
        <v>0</v>
      </c>
      <c r="AI238" s="867">
        <f>'Revenue Assumptions'!AP1472</f>
        <v>0</v>
      </c>
      <c r="AJ238" s="867">
        <f>'Revenue Assumptions'!AQ1472</f>
        <v>0</v>
      </c>
      <c r="AK238" s="867">
        <f>'Revenue Assumptions'!AR1472</f>
        <v>0</v>
      </c>
      <c r="AL238" s="867">
        <f>'Revenue Assumptions'!AS1472</f>
        <v>0</v>
      </c>
      <c r="AM238" s="2"/>
      <c r="AN238" s="2"/>
    </row>
    <row r="239" spans="1:40" outlineLevel="1">
      <c r="A239" s="2"/>
      <c r="B239" s="2" t="s">
        <v>516</v>
      </c>
      <c r="C239" s="18" t="s">
        <v>515</v>
      </c>
      <c r="D239" s="2"/>
      <c r="E239" s="2"/>
      <c r="F239" s="2"/>
      <c r="G239" s="2"/>
      <c r="H239" s="2"/>
      <c r="I239" s="2"/>
      <c r="J239" s="2"/>
      <c r="K239" s="2"/>
      <c r="L239" s="254"/>
      <c r="M239" s="254"/>
      <c r="N239" s="254"/>
      <c r="O239" s="254"/>
      <c r="P239" s="739">
        <v>34</v>
      </c>
      <c r="Q239" s="254">
        <f>34*1.02</f>
        <v>34.68</v>
      </c>
      <c r="R239" s="254">
        <f>34*1.02</f>
        <v>34.68</v>
      </c>
      <c r="S239" s="254">
        <f>34*1.02</f>
        <v>34.68</v>
      </c>
      <c r="T239" s="254">
        <f t="shared" ref="T239:AL239" si="281">34*1.1</f>
        <v>37.400000000000006</v>
      </c>
      <c r="U239" s="254">
        <f t="shared" si="281"/>
        <v>37.400000000000006</v>
      </c>
      <c r="V239" s="254">
        <f t="shared" si="281"/>
        <v>37.400000000000006</v>
      </c>
      <c r="W239" s="254">
        <f t="shared" si="281"/>
        <v>37.400000000000006</v>
      </c>
      <c r="X239" s="254">
        <f t="shared" si="281"/>
        <v>37.400000000000006</v>
      </c>
      <c r="Y239" s="254">
        <f t="shared" si="281"/>
        <v>37.400000000000006</v>
      </c>
      <c r="Z239" s="254">
        <f t="shared" si="281"/>
        <v>37.400000000000006</v>
      </c>
      <c r="AA239" s="254">
        <f t="shared" si="281"/>
        <v>37.400000000000006</v>
      </c>
      <c r="AB239" s="254">
        <f t="shared" si="281"/>
        <v>37.400000000000006</v>
      </c>
      <c r="AC239" s="254">
        <f t="shared" si="281"/>
        <v>37.400000000000006</v>
      </c>
      <c r="AD239" s="254">
        <f t="shared" si="281"/>
        <v>37.400000000000006</v>
      </c>
      <c r="AE239" s="254">
        <f t="shared" si="281"/>
        <v>37.400000000000006</v>
      </c>
      <c r="AF239" s="254">
        <f t="shared" si="281"/>
        <v>37.400000000000006</v>
      </c>
      <c r="AG239" s="254">
        <f t="shared" si="281"/>
        <v>37.400000000000006</v>
      </c>
      <c r="AH239" s="254">
        <f t="shared" si="281"/>
        <v>37.400000000000006</v>
      </c>
      <c r="AI239" s="254">
        <f t="shared" si="281"/>
        <v>37.400000000000006</v>
      </c>
      <c r="AJ239" s="254">
        <f t="shared" si="281"/>
        <v>37.400000000000006</v>
      </c>
      <c r="AK239" s="254">
        <f t="shared" si="281"/>
        <v>37.400000000000006</v>
      </c>
      <c r="AL239" s="254">
        <f t="shared" si="281"/>
        <v>37.400000000000006</v>
      </c>
      <c r="AM239" s="2"/>
      <c r="AN239" s="2"/>
    </row>
    <row r="240" spans="1:40" outlineLevel="1">
      <c r="A240" s="2"/>
      <c r="B240" s="55" t="s">
        <v>1135</v>
      </c>
      <c r="C240" s="18" t="s">
        <v>732</v>
      </c>
      <c r="D240" s="2"/>
      <c r="E240" s="2"/>
      <c r="F240" s="2"/>
      <c r="G240" s="2"/>
      <c r="H240" s="2"/>
      <c r="I240" s="2"/>
      <c r="J240" s="2"/>
      <c r="K240" s="2"/>
      <c r="L240" s="254"/>
      <c r="M240" s="254"/>
      <c r="N240" s="254"/>
      <c r="O240" s="254"/>
      <c r="P240" s="254"/>
      <c r="Q240" s="254">
        <f t="shared" ref="Q240:Z240" si="282">Q238*Q239*12</f>
        <v>14.588488799999999</v>
      </c>
      <c r="R240" s="254">
        <f t="shared" si="282"/>
        <v>40.806568800000001</v>
      </c>
      <c r="S240" s="254">
        <f t="shared" si="282"/>
        <v>70.122959999999992</v>
      </c>
      <c r="T240" s="254">
        <f t="shared" si="282"/>
        <v>159.54840000000002</v>
      </c>
      <c r="U240" s="254">
        <f t="shared" si="282"/>
        <v>353.75782616216213</v>
      </c>
      <c r="V240" s="254">
        <f t="shared" si="282"/>
        <v>631.31090832432426</v>
      </c>
      <c r="W240" s="254">
        <f t="shared" si="282"/>
        <v>908.67302810810793</v>
      </c>
      <c r="X240" s="254">
        <f>X238*X239*12</f>
        <v>1191.2870378378377</v>
      </c>
      <c r="Y240" s="254">
        <f>Y238*Y239*12</f>
        <v>1409.2279567567566</v>
      </c>
      <c r="Z240" s="254">
        <f t="shared" si="282"/>
        <v>1481.6060540540539</v>
      </c>
      <c r="AA240" s="254">
        <f t="shared" ref="AA240:AB240" si="283">AA238*AA239*12</f>
        <v>1496.0283027027026</v>
      </c>
      <c r="AB240" s="254">
        <f t="shared" si="283"/>
        <v>1499.4448432432432</v>
      </c>
      <c r="AC240" s="254">
        <f t="shared" ref="AC240:AH240" si="284">AC238*AC239*12</f>
        <v>748.16172972972959</v>
      </c>
      <c r="AD240" s="254">
        <f t="shared" si="284"/>
        <v>0</v>
      </c>
      <c r="AE240" s="254">
        <f t="shared" si="284"/>
        <v>0</v>
      </c>
      <c r="AF240" s="254">
        <f t="shared" si="284"/>
        <v>0</v>
      </c>
      <c r="AG240" s="254">
        <f t="shared" si="284"/>
        <v>0</v>
      </c>
      <c r="AH240" s="254">
        <f t="shared" si="284"/>
        <v>0</v>
      </c>
      <c r="AI240" s="254">
        <f>AI238*AI239*12</f>
        <v>0</v>
      </c>
      <c r="AJ240" s="254">
        <f t="shared" ref="AJ240:AK240" si="285">AJ238*AJ239*12</f>
        <v>0</v>
      </c>
      <c r="AK240" s="254">
        <f t="shared" si="285"/>
        <v>0</v>
      </c>
      <c r="AL240" s="254">
        <f t="shared" ref="AL240" si="286">AL238*AL239*12</f>
        <v>0</v>
      </c>
      <c r="AM240" s="2"/>
      <c r="AN240" s="2"/>
    </row>
    <row r="241" spans="1:40" outlineLevel="1">
      <c r="A241" s="2"/>
      <c r="B241" s="2"/>
      <c r="C241" s="18"/>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row>
    <row r="242" spans="1:40" ht="15.6" outlineLevel="1">
      <c r="A242" s="2"/>
      <c r="B242" s="237" t="s">
        <v>45</v>
      </c>
      <c r="C242" s="238"/>
      <c r="D242" s="239"/>
      <c r="E242" s="239"/>
      <c r="F242" s="239"/>
      <c r="G242" s="239"/>
      <c r="H242" s="239"/>
      <c r="I242" s="239"/>
      <c r="J242" s="239"/>
      <c r="K242" s="239"/>
      <c r="L242" s="239"/>
      <c r="M242" s="239"/>
      <c r="N242" s="239"/>
      <c r="O242" s="239"/>
      <c r="P242" s="239"/>
      <c r="Q242" s="239"/>
      <c r="R242" s="239"/>
      <c r="S242" s="239"/>
      <c r="T242" s="239"/>
      <c r="U242" s="239"/>
      <c r="V242" s="239"/>
      <c r="W242" s="239"/>
      <c r="X242" s="239"/>
      <c r="Y242" s="239"/>
      <c r="Z242" s="239"/>
      <c r="AA242" s="239"/>
      <c r="AB242" s="239"/>
      <c r="AC242" s="239"/>
      <c r="AD242" s="239"/>
      <c r="AE242" s="239"/>
      <c r="AF242" s="239"/>
      <c r="AG242" s="239"/>
      <c r="AH242" s="270"/>
      <c r="AI242" s="240"/>
      <c r="AJ242" s="240"/>
      <c r="AK242" s="240"/>
      <c r="AL242" s="240"/>
      <c r="AM242" s="2"/>
      <c r="AN242" s="2"/>
    </row>
    <row r="243" spans="1:40" outlineLevel="1">
      <c r="A243" s="2"/>
      <c r="B243" s="2"/>
      <c r="C243" s="18"/>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row>
    <row r="244" spans="1:40" outlineLevel="1">
      <c r="A244" s="2"/>
      <c r="B244" s="55" t="s">
        <v>326</v>
      </c>
      <c r="C244" s="18" t="s">
        <v>732</v>
      </c>
      <c r="D244" s="2"/>
      <c r="E244" s="603">
        <v>157</v>
      </c>
      <c r="F244" s="603">
        <v>208</v>
      </c>
      <c r="G244" s="603">
        <v>193</v>
      </c>
      <c r="H244" s="603">
        <v>182</v>
      </c>
      <c r="I244" s="603">
        <v>190</v>
      </c>
      <c r="J244" s="603">
        <v>329</v>
      </c>
      <c r="K244" s="603">
        <v>389</v>
      </c>
      <c r="L244" s="602">
        <v>361</v>
      </c>
      <c r="M244" s="602">
        <v>347</v>
      </c>
      <c r="N244" s="602">
        <v>593</v>
      </c>
      <c r="O244" s="602">
        <v>447</v>
      </c>
      <c r="P244" s="615">
        <f>618-74</f>
        <v>544</v>
      </c>
      <c r="Q244" s="739">
        <v>308</v>
      </c>
      <c r="R244" s="739">
        <v>260</v>
      </c>
      <c r="S244" s="739">
        <v>217</v>
      </c>
      <c r="T244" s="739">
        <v>482</v>
      </c>
      <c r="U244" s="739">
        <v>306</v>
      </c>
      <c r="V244" s="739">
        <v>451</v>
      </c>
      <c r="W244" s="739">
        <v>608</v>
      </c>
      <c r="X244" s="739">
        <v>129</v>
      </c>
      <c r="Y244" s="739">
        <v>162</v>
      </c>
      <c r="Z244" s="739">
        <v>144</v>
      </c>
      <c r="AA244" s="739">
        <v>129</v>
      </c>
      <c r="AB244" s="739">
        <v>534</v>
      </c>
      <c r="AC244" s="254">
        <f t="shared" ref="AC244:AH244" si="287">AC261</f>
        <v>512.93573667711598</v>
      </c>
      <c r="AD244" s="254">
        <f t="shared" si="287"/>
        <v>552.80488817747369</v>
      </c>
      <c r="AE244" s="254">
        <f t="shared" si="287"/>
        <v>558.21462309638332</v>
      </c>
      <c r="AF244" s="254">
        <f t="shared" si="287"/>
        <v>565.36862358563303</v>
      </c>
      <c r="AG244" s="254">
        <f t="shared" si="287"/>
        <v>574.36689581315648</v>
      </c>
      <c r="AH244" s="254">
        <f t="shared" si="287"/>
        <v>585.19161943770553</v>
      </c>
      <c r="AI244" s="254">
        <f>AI261</f>
        <v>597.88315339301641</v>
      </c>
      <c r="AJ244" s="254">
        <f t="shared" ref="AJ244:AK244" si="288">AJ261</f>
        <v>612.5382312933308</v>
      </c>
      <c r="AK244" s="254">
        <f t="shared" si="288"/>
        <v>629.31088422221296</v>
      </c>
      <c r="AL244" s="254">
        <f t="shared" ref="AL244" si="289">AL261</f>
        <v>645.30880085222475</v>
      </c>
      <c r="AM244" s="2"/>
      <c r="AN244" s="2"/>
    </row>
    <row r="245" spans="1:40" outlineLevel="1">
      <c r="A245" s="2"/>
      <c r="B245" s="55" t="s">
        <v>327</v>
      </c>
      <c r="C245" s="18" t="s">
        <v>732</v>
      </c>
      <c r="D245" s="2"/>
      <c r="E245" s="603">
        <v>1332</v>
      </c>
      <c r="F245" s="603">
        <v>1397</v>
      </c>
      <c r="G245" s="603">
        <v>1706</v>
      </c>
      <c r="H245" s="603">
        <v>1473</v>
      </c>
      <c r="I245" s="603">
        <v>1556</v>
      </c>
      <c r="J245" s="603">
        <v>1836</v>
      </c>
      <c r="K245" s="603">
        <v>2177</v>
      </c>
      <c r="L245" s="602">
        <v>2339</v>
      </c>
      <c r="M245" s="602">
        <v>2389</v>
      </c>
      <c r="N245" s="602">
        <v>2275</v>
      </c>
      <c r="O245" s="602">
        <v>2359</v>
      </c>
      <c r="P245" s="739">
        <v>2135</v>
      </c>
      <c r="Q245" s="739">
        <v>1382</v>
      </c>
      <c r="R245" s="739">
        <v>1468</v>
      </c>
      <c r="S245" s="739">
        <v>1556</v>
      </c>
      <c r="T245" s="739">
        <v>1549</v>
      </c>
      <c r="U245" s="739">
        <v>1802</v>
      </c>
      <c r="V245" s="739">
        <v>1677</v>
      </c>
      <c r="W245" s="739">
        <v>1590</v>
      </c>
      <c r="X245" s="739">
        <v>1473</v>
      </c>
      <c r="Y245" s="739">
        <v>1144</v>
      </c>
      <c r="Z245" s="739">
        <v>1167</v>
      </c>
      <c r="AA245" s="739">
        <v>1056</v>
      </c>
      <c r="AB245" s="739">
        <v>1047</v>
      </c>
      <c r="AC245" s="254">
        <f t="shared" ref="AC245:AH245" si="290">AC264</f>
        <v>1054.0609062170706</v>
      </c>
      <c r="AD245" s="254">
        <f t="shared" si="290"/>
        <v>1097.700844770008</v>
      </c>
      <c r="AE245" s="254">
        <f t="shared" si="290"/>
        <v>1128.2514122531754</v>
      </c>
      <c r="AF245" s="254">
        <f t="shared" si="290"/>
        <v>1164.7915938504082</v>
      </c>
      <c r="AG245" s="254">
        <f t="shared" si="290"/>
        <v>1207.4489089949352</v>
      </c>
      <c r="AH245" s="254">
        <f t="shared" si="290"/>
        <v>1256.514439282093</v>
      </c>
      <c r="AI245" s="254">
        <f>AI264</f>
        <v>1312.4564833590448</v>
      </c>
      <c r="AJ245" s="254">
        <f t="shared" ref="AJ245:AK245" si="291">AJ264</f>
        <v>1375.9323656896263</v>
      </c>
      <c r="AK245" s="254">
        <f t="shared" si="291"/>
        <v>1447.8091764489277</v>
      </c>
      <c r="AL245" s="254">
        <f t="shared" ref="AL245" si="292">AL264</f>
        <v>1520.4231595446645</v>
      </c>
      <c r="AM245" s="2"/>
      <c r="AN245" s="2"/>
    </row>
    <row r="246" spans="1:40" outlineLevel="1">
      <c r="A246" s="2"/>
      <c r="B246" s="55" t="s">
        <v>28</v>
      </c>
      <c r="C246" s="18" t="s">
        <v>732</v>
      </c>
      <c r="D246" s="2"/>
      <c r="E246" s="603">
        <v>464</v>
      </c>
      <c r="F246" s="603">
        <v>337</v>
      </c>
      <c r="G246" s="603">
        <v>346</v>
      </c>
      <c r="H246" s="603">
        <v>501</v>
      </c>
      <c r="I246" s="603">
        <v>361</v>
      </c>
      <c r="J246" s="603">
        <v>554</v>
      </c>
      <c r="K246" s="603">
        <v>395</v>
      </c>
      <c r="L246" s="600">
        <f>452-26</f>
        <v>426</v>
      </c>
      <c r="M246" s="600">
        <f>458+8</f>
        <v>466</v>
      </c>
      <c r="N246" s="600">
        <f>406-1-3</f>
        <v>402</v>
      </c>
      <c r="O246" s="600">
        <f>445-1-128</f>
        <v>316</v>
      </c>
      <c r="P246" s="615">
        <f>450+5+78</f>
        <v>533</v>
      </c>
      <c r="Q246" s="254">
        <f>Q254-Q244-Q245-Q248-Q247-Q251-Q252-Q253</f>
        <v>1272.5889209431348</v>
      </c>
      <c r="R246" s="254">
        <f>R254-R245-R244-R251-R252-R253</f>
        <v>1944.6489209431347</v>
      </c>
      <c r="S246" s="615">
        <f>2340-S251-S252-S253</f>
        <v>2196.8719209431347</v>
      </c>
      <c r="T246" s="739">
        <v>2281</v>
      </c>
      <c r="U246" s="739">
        <v>2398</v>
      </c>
      <c r="V246" s="739">
        <v>2759</v>
      </c>
      <c r="W246" s="739">
        <v>3036</v>
      </c>
      <c r="X246" s="739">
        <v>1982</v>
      </c>
      <c r="Y246" s="739">
        <v>1674</v>
      </c>
      <c r="Z246" s="739">
        <v>1501</v>
      </c>
      <c r="AA246" s="739">
        <v>1603</v>
      </c>
      <c r="AB246" s="739">
        <v>1533</v>
      </c>
      <c r="AC246" s="254">
        <f t="shared" ref="AC246:AH246" si="293">AC268</f>
        <v>1533</v>
      </c>
      <c r="AD246" s="254">
        <f t="shared" si="293"/>
        <v>1533</v>
      </c>
      <c r="AE246" s="254">
        <f t="shared" si="293"/>
        <v>1533</v>
      </c>
      <c r="AF246" s="254">
        <f t="shared" si="293"/>
        <v>1533</v>
      </c>
      <c r="AG246" s="254">
        <f t="shared" si="293"/>
        <v>1533</v>
      </c>
      <c r="AH246" s="254">
        <f t="shared" si="293"/>
        <v>1533</v>
      </c>
      <c r="AI246" s="254">
        <f>AI268</f>
        <v>1533</v>
      </c>
      <c r="AJ246" s="254">
        <f t="shared" ref="AJ246:AK246" si="294">AJ268</f>
        <v>1533</v>
      </c>
      <c r="AK246" s="254">
        <f t="shared" si="294"/>
        <v>1533</v>
      </c>
      <c r="AL246" s="254">
        <f t="shared" ref="AL246" si="295">AL268</f>
        <v>1533</v>
      </c>
      <c r="AM246" s="2"/>
      <c r="AN246" s="2"/>
    </row>
    <row r="247" spans="1:40" outlineLevel="1">
      <c r="A247" s="2"/>
      <c r="B247" s="55" t="s">
        <v>46</v>
      </c>
      <c r="C247" s="18" t="s">
        <v>732</v>
      </c>
      <c r="D247" s="2"/>
      <c r="E247" s="603">
        <v>447</v>
      </c>
      <c r="F247" s="603">
        <v>665</v>
      </c>
      <c r="G247" s="603">
        <v>584</v>
      </c>
      <c r="H247" s="603">
        <v>529</v>
      </c>
      <c r="I247" s="603">
        <v>572</v>
      </c>
      <c r="J247" s="603">
        <v>598</v>
      </c>
      <c r="K247" s="603">
        <v>592</v>
      </c>
      <c r="L247" s="602">
        <v>609</v>
      </c>
      <c r="M247" s="602">
        <v>614</v>
      </c>
      <c r="N247" s="602">
        <v>565</v>
      </c>
      <c r="O247" s="602">
        <v>561</v>
      </c>
      <c r="P247" s="739">
        <v>583</v>
      </c>
      <c r="Q247" s="254">
        <f>Q257</f>
        <v>583</v>
      </c>
      <c r="R247" s="254"/>
      <c r="S247" s="254"/>
      <c r="T247" s="739">
        <v>660</v>
      </c>
      <c r="U247" s="254"/>
      <c r="V247" s="254"/>
      <c r="W247" s="254"/>
      <c r="X247" s="254"/>
      <c r="Y247" s="254"/>
      <c r="Z247" s="254"/>
      <c r="AA247" s="254"/>
      <c r="AB247" s="254"/>
      <c r="AC247" s="254"/>
      <c r="AD247" s="254"/>
      <c r="AE247" s="254"/>
      <c r="AF247" s="254"/>
      <c r="AG247" s="254"/>
      <c r="AH247" s="254"/>
      <c r="AI247" s="254"/>
      <c r="AJ247" s="254"/>
      <c r="AK247" s="254"/>
      <c r="AL247" s="254"/>
      <c r="AM247" s="2"/>
      <c r="AN247" s="2"/>
    </row>
    <row r="248" spans="1:40" outlineLevel="1">
      <c r="A248" s="2"/>
      <c r="B248" s="55" t="s">
        <v>789</v>
      </c>
      <c r="C248" s="18" t="s">
        <v>732</v>
      </c>
      <c r="D248" s="2"/>
      <c r="E248" s="603">
        <v>301</v>
      </c>
      <c r="F248" s="603">
        <v>276</v>
      </c>
      <c r="G248" s="603">
        <v>316</v>
      </c>
      <c r="H248" s="603">
        <v>333</v>
      </c>
      <c r="I248" s="603">
        <v>330</v>
      </c>
      <c r="J248" s="603">
        <v>356</v>
      </c>
      <c r="K248" s="603">
        <v>422</v>
      </c>
      <c r="L248" s="602">
        <v>457</v>
      </c>
      <c r="M248" s="602">
        <v>379</v>
      </c>
      <c r="N248" s="602">
        <v>349</v>
      </c>
      <c r="O248" s="602">
        <v>334</v>
      </c>
      <c r="P248" s="739">
        <v>327</v>
      </c>
      <c r="Q248" s="254">
        <f>Q270</f>
        <v>333.54</v>
      </c>
      <c r="R248" s="254"/>
      <c r="S248" s="255"/>
      <c r="T248" s="739">
        <v>301</v>
      </c>
      <c r="U248" s="254"/>
      <c r="V248" s="254"/>
      <c r="W248" s="254"/>
      <c r="X248" s="254"/>
      <c r="Y248" s="254"/>
      <c r="Z248" s="254"/>
      <c r="AA248" s="254"/>
      <c r="AB248" s="254"/>
      <c r="AC248" s="254"/>
      <c r="AD248" s="254"/>
      <c r="AE248" s="254"/>
      <c r="AF248" s="254"/>
      <c r="AG248" s="254"/>
      <c r="AH248" s="254"/>
      <c r="AI248" s="254"/>
      <c r="AJ248" s="254"/>
      <c r="AK248" s="254"/>
      <c r="AL248" s="254"/>
      <c r="AM248" s="2"/>
      <c r="AN248" s="2"/>
    </row>
    <row r="249" spans="1:40" outlineLevel="1">
      <c r="A249" s="2"/>
      <c r="B249" s="55" t="s">
        <v>790</v>
      </c>
      <c r="C249" s="18" t="s">
        <v>732</v>
      </c>
      <c r="D249" s="2"/>
      <c r="E249" s="603">
        <v>781</v>
      </c>
      <c r="F249" s="603">
        <v>753</v>
      </c>
      <c r="G249" s="603">
        <v>770</v>
      </c>
      <c r="H249" s="603">
        <v>803</v>
      </c>
      <c r="I249" s="603">
        <v>806</v>
      </c>
      <c r="J249" s="603">
        <v>793</v>
      </c>
      <c r="K249" s="603">
        <v>949</v>
      </c>
      <c r="L249" s="251"/>
      <c r="M249" s="251"/>
      <c r="N249" s="251"/>
      <c r="O249" s="251"/>
      <c r="P249" s="255"/>
      <c r="Q249" s="254"/>
      <c r="R249" s="254"/>
      <c r="S249" s="254"/>
      <c r="T249" s="739">
        <v>972</v>
      </c>
      <c r="U249" s="254"/>
      <c r="V249" s="254"/>
      <c r="W249" s="254"/>
      <c r="X249" s="254"/>
      <c r="Y249" s="254"/>
      <c r="Z249" s="254"/>
      <c r="AA249" s="254"/>
      <c r="AB249" s="254"/>
      <c r="AC249" s="254"/>
      <c r="AD249" s="254"/>
      <c r="AE249" s="254"/>
      <c r="AF249" s="254"/>
      <c r="AG249" s="254"/>
      <c r="AH249" s="254"/>
      <c r="AI249" s="254"/>
      <c r="AJ249" s="254"/>
      <c r="AK249" s="254"/>
      <c r="AL249" s="254"/>
      <c r="AM249" s="2"/>
      <c r="AN249" s="2"/>
    </row>
    <row r="250" spans="1:40" outlineLevel="1">
      <c r="A250" s="2"/>
      <c r="B250" s="55" t="s">
        <v>791</v>
      </c>
      <c r="C250" s="18" t="s">
        <v>732</v>
      </c>
      <c r="D250" s="2"/>
      <c r="E250" s="168">
        <f t="shared" ref="E250:J250" si="296">E254-E251-SUM(E246:E246)</f>
        <v>5182</v>
      </c>
      <c r="F250" s="168">
        <f t="shared" si="296"/>
        <v>3606</v>
      </c>
      <c r="G250" s="168">
        <f t="shared" si="296"/>
        <v>4230</v>
      </c>
      <c r="H250" s="168">
        <f t="shared" si="296"/>
        <v>3391</v>
      </c>
      <c r="I250" s="168">
        <f t="shared" si="296"/>
        <v>3376</v>
      </c>
      <c r="J250" s="168">
        <f t="shared" si="296"/>
        <v>3686</v>
      </c>
      <c r="K250" s="2"/>
      <c r="L250" s="254"/>
      <c r="M250" s="254"/>
      <c r="N250" s="254"/>
      <c r="O250" s="254"/>
      <c r="P250" s="254"/>
      <c r="Q250" s="254"/>
      <c r="R250" s="254"/>
      <c r="S250" s="254"/>
      <c r="T250" s="739">
        <v>-33</v>
      </c>
      <c r="U250" s="254"/>
      <c r="V250" s="254"/>
      <c r="W250" s="254"/>
      <c r="X250" s="254"/>
      <c r="Y250" s="254"/>
      <c r="Z250" s="254"/>
      <c r="AA250" s="254"/>
      <c r="AB250" s="254"/>
      <c r="AC250" s="254"/>
      <c r="AD250" s="254"/>
      <c r="AE250" s="254"/>
      <c r="AF250" s="254"/>
      <c r="AG250" s="254"/>
      <c r="AH250" s="254"/>
      <c r="AI250" s="254"/>
      <c r="AJ250" s="254"/>
      <c r="AK250" s="254"/>
      <c r="AL250" s="254"/>
      <c r="AM250" s="2"/>
      <c r="AN250" s="2"/>
    </row>
    <row r="251" spans="1:40" outlineLevel="1">
      <c r="A251" s="2"/>
      <c r="B251" s="55" t="s">
        <v>675</v>
      </c>
      <c r="C251" s="18" t="s">
        <v>732</v>
      </c>
      <c r="D251" s="154"/>
      <c r="E251" s="603">
        <v>1065</v>
      </c>
      <c r="F251" s="603">
        <v>122</v>
      </c>
      <c r="G251" s="603">
        <v>26</v>
      </c>
      <c r="H251" s="603">
        <v>363</v>
      </c>
      <c r="I251" s="603">
        <v>78</v>
      </c>
      <c r="J251" s="603">
        <v>187</v>
      </c>
      <c r="K251" s="2"/>
      <c r="L251" s="254"/>
      <c r="M251" s="254"/>
      <c r="N251" s="254"/>
      <c r="O251" s="254"/>
      <c r="P251" s="254"/>
      <c r="Q251" s="465">
        <v>190.57142857142856</v>
      </c>
      <c r="R251" s="465">
        <v>188.57142857142856</v>
      </c>
      <c r="S251" s="465">
        <v>30.571428571428569</v>
      </c>
      <c r="T251" s="465">
        <v>102.57142857142857</v>
      </c>
      <c r="U251" s="465">
        <v>59.571428571428569</v>
      </c>
      <c r="V251" s="465">
        <v>84.571428571428569</v>
      </c>
      <c r="W251" s="465">
        <v>69.571428571428569</v>
      </c>
      <c r="X251" s="465">
        <v>69.571428571428569</v>
      </c>
      <c r="Y251" s="465">
        <v>69.571428571428569</v>
      </c>
      <c r="Z251" s="465">
        <v>57.571428571428569</v>
      </c>
      <c r="AA251" s="465">
        <v>57.571428571428569</v>
      </c>
      <c r="AB251" s="465">
        <v>57.571428571428569</v>
      </c>
      <c r="AC251" s="465">
        <v>0</v>
      </c>
      <c r="AD251" s="465">
        <v>0</v>
      </c>
      <c r="AE251" s="465">
        <v>0</v>
      </c>
      <c r="AF251" s="465">
        <v>0</v>
      </c>
      <c r="AG251" s="465">
        <v>0</v>
      </c>
      <c r="AH251" s="465">
        <v>0</v>
      </c>
      <c r="AI251" s="465">
        <v>0</v>
      </c>
      <c r="AJ251" s="465">
        <v>0</v>
      </c>
      <c r="AK251" s="465">
        <v>0</v>
      </c>
      <c r="AL251" s="465">
        <v>0</v>
      </c>
      <c r="AM251" s="2"/>
      <c r="AN251" s="2"/>
    </row>
    <row r="252" spans="1:40" outlineLevel="1">
      <c r="A252" s="2"/>
      <c r="B252" s="55" t="s">
        <v>677</v>
      </c>
      <c r="C252" s="18" t="s">
        <v>732</v>
      </c>
      <c r="D252" s="154"/>
      <c r="E252" s="154"/>
      <c r="F252" s="154"/>
      <c r="G252" s="154"/>
      <c r="H252" s="154"/>
      <c r="I252" s="154"/>
      <c r="J252" s="154"/>
      <c r="K252" s="2"/>
      <c r="L252" s="254">
        <f>L254-L253</f>
        <v>0</v>
      </c>
      <c r="M252" s="254">
        <f>M254-M253</f>
        <v>0</v>
      </c>
      <c r="N252" s="254">
        <f>N254-N253</f>
        <v>0</v>
      </c>
      <c r="O252" s="254">
        <f>O254-O253</f>
        <v>0</v>
      </c>
      <c r="P252" s="254">
        <f>P254-P253</f>
        <v>0</v>
      </c>
      <c r="Q252" s="465">
        <v>179</v>
      </c>
      <c r="R252" s="465">
        <v>184.37</v>
      </c>
      <c r="S252" s="465">
        <v>184.37</v>
      </c>
      <c r="T252" s="465">
        <v>189.90109999999999</v>
      </c>
      <c r="U252" s="465">
        <v>195.59813300000002</v>
      </c>
      <c r="V252" s="465">
        <v>205.37803965000001</v>
      </c>
      <c r="W252" s="465">
        <v>215.64694163250005</v>
      </c>
      <c r="X252" s="465">
        <v>226.42928871412505</v>
      </c>
      <c r="Y252" s="465">
        <v>237.75075314983133</v>
      </c>
      <c r="Z252" s="465">
        <v>249.63829080732287</v>
      </c>
      <c r="AA252" s="465">
        <v>262.12020534768902</v>
      </c>
      <c r="AB252" s="465">
        <v>0</v>
      </c>
      <c r="AC252" s="465">
        <v>0</v>
      </c>
      <c r="AD252" s="465">
        <v>0</v>
      </c>
      <c r="AE252" s="465">
        <v>0</v>
      </c>
      <c r="AF252" s="465">
        <v>0</v>
      </c>
      <c r="AG252" s="465">
        <v>0</v>
      </c>
      <c r="AH252" s="465">
        <v>0</v>
      </c>
      <c r="AI252" s="465">
        <v>0</v>
      </c>
      <c r="AJ252" s="465">
        <v>0</v>
      </c>
      <c r="AK252" s="465">
        <v>0</v>
      </c>
      <c r="AL252" s="465">
        <v>0</v>
      </c>
      <c r="AM252" s="2"/>
      <c r="AN252" s="2"/>
    </row>
    <row r="253" spans="1:40" outlineLevel="1">
      <c r="A253" s="2"/>
      <c r="B253" s="57" t="s">
        <v>676</v>
      </c>
      <c r="C253" s="22" t="s">
        <v>732</v>
      </c>
      <c r="D253" s="155"/>
      <c r="E253" s="155"/>
      <c r="F253" s="155"/>
      <c r="G253" s="155"/>
      <c r="H253" s="155"/>
      <c r="I253" s="155"/>
      <c r="J253" s="155"/>
      <c r="K253" s="23"/>
      <c r="L253" s="853">
        <f>L21</f>
        <v>4192</v>
      </c>
      <c r="M253" s="853">
        <f>M21</f>
        <v>4195</v>
      </c>
      <c r="N253" s="853">
        <f>N21</f>
        <v>4184</v>
      </c>
      <c r="O253" s="853">
        <f>O21</f>
        <v>4017</v>
      </c>
      <c r="P253" s="853">
        <f>P21</f>
        <v>4122</v>
      </c>
      <c r="Q253" s="854">
        <v>-90.700349514563101</v>
      </c>
      <c r="R253" s="854">
        <v>-178.59034951456317</v>
      </c>
      <c r="S253" s="854">
        <v>-71.813349514563114</v>
      </c>
      <c r="T253" s="854">
        <v>-137.07634951456313</v>
      </c>
      <c r="U253" s="854">
        <v>-269.84634951456309</v>
      </c>
      <c r="V253" s="854">
        <v>-217.90534951456317</v>
      </c>
      <c r="W253" s="854">
        <v>-444.3433495145631</v>
      </c>
      <c r="X253" s="854">
        <v>-506.98834951456308</v>
      </c>
      <c r="Y253" s="854">
        <v>0</v>
      </c>
      <c r="Z253" s="854">
        <v>0</v>
      </c>
      <c r="AA253" s="854">
        <v>0</v>
      </c>
      <c r="AB253" s="854">
        <v>0</v>
      </c>
      <c r="AC253" s="854">
        <v>0</v>
      </c>
      <c r="AD253" s="854">
        <v>0</v>
      </c>
      <c r="AE253" s="854">
        <v>0</v>
      </c>
      <c r="AF253" s="854">
        <v>0</v>
      </c>
      <c r="AG253" s="854">
        <v>0</v>
      </c>
      <c r="AH253" s="854">
        <v>0</v>
      </c>
      <c r="AI253" s="854">
        <v>0</v>
      </c>
      <c r="AJ253" s="854">
        <v>0</v>
      </c>
      <c r="AK253" s="854">
        <v>0</v>
      </c>
      <c r="AL253" s="854">
        <v>0</v>
      </c>
      <c r="AM253" s="2"/>
      <c r="AN253" s="2"/>
    </row>
    <row r="254" spans="1:40" outlineLevel="1">
      <c r="A254" s="2"/>
      <c r="B254" s="208" t="s">
        <v>214</v>
      </c>
      <c r="C254" s="209" t="s">
        <v>732</v>
      </c>
      <c r="D254" s="605">
        <v>4035</v>
      </c>
      <c r="E254" s="605">
        <v>6711</v>
      </c>
      <c r="F254" s="605">
        <v>4065</v>
      </c>
      <c r="G254" s="605">
        <v>4602</v>
      </c>
      <c r="H254" s="605">
        <v>4255</v>
      </c>
      <c r="I254" s="605">
        <v>3815</v>
      </c>
      <c r="J254" s="605">
        <v>4427</v>
      </c>
      <c r="K254" s="287">
        <f>SUM(K246:K251)</f>
        <v>2358</v>
      </c>
      <c r="L254" s="262">
        <f>SUM(L244:L248)</f>
        <v>4192</v>
      </c>
      <c r="M254" s="262">
        <f>SUM(M244:M248)</f>
        <v>4195</v>
      </c>
      <c r="N254" s="262">
        <f>SUM(N244:N248)</f>
        <v>4184</v>
      </c>
      <c r="O254" s="262">
        <f>SUM(O244:O248)</f>
        <v>4017</v>
      </c>
      <c r="P254" s="262">
        <f>SUM(P244:P248)</f>
        <v>4122</v>
      </c>
      <c r="Q254" s="606">
        <v>4158</v>
      </c>
      <c r="R254" s="606">
        <v>3867</v>
      </c>
      <c r="S254" s="262">
        <f>SUM(S246:S253)</f>
        <v>2340</v>
      </c>
      <c r="T254" s="262">
        <f t="shared" ref="T254:AB254" si="297">+T244+T245+T246</f>
        <v>4312</v>
      </c>
      <c r="U254" s="262">
        <f t="shared" si="297"/>
        <v>4506</v>
      </c>
      <c r="V254" s="262">
        <f t="shared" si="297"/>
        <v>4887</v>
      </c>
      <c r="W254" s="262">
        <f t="shared" si="297"/>
        <v>5234</v>
      </c>
      <c r="X254" s="262">
        <f t="shared" si="297"/>
        <v>3584</v>
      </c>
      <c r="Y254" s="262">
        <f>+Y244+Y245+Y246</f>
        <v>2980</v>
      </c>
      <c r="Z254" s="262">
        <f t="shared" si="297"/>
        <v>2812</v>
      </c>
      <c r="AA254" s="262">
        <f t="shared" si="297"/>
        <v>2788</v>
      </c>
      <c r="AB254" s="262">
        <f t="shared" si="297"/>
        <v>3114</v>
      </c>
      <c r="AC254" s="262">
        <f t="shared" ref="AC254:AH254" si="298">+AC244+AC245+AC246</f>
        <v>3099.9966428941866</v>
      </c>
      <c r="AD254" s="262">
        <f t="shared" si="298"/>
        <v>3183.5057329474816</v>
      </c>
      <c r="AE254" s="262">
        <f t="shared" si="298"/>
        <v>3219.4660353495588</v>
      </c>
      <c r="AF254" s="262">
        <f t="shared" si="298"/>
        <v>3263.1602174360414</v>
      </c>
      <c r="AG254" s="262">
        <f t="shared" si="298"/>
        <v>3314.8158048080918</v>
      </c>
      <c r="AH254" s="262">
        <f t="shared" si="298"/>
        <v>3374.7060587197984</v>
      </c>
      <c r="AI254" s="262">
        <f>+AI244+AI245+AI246</f>
        <v>3443.3396367520613</v>
      </c>
      <c r="AJ254" s="262">
        <f t="shared" ref="AJ254:AK254" si="299">+AJ244+AJ245+AJ246</f>
        <v>3521.470596982957</v>
      </c>
      <c r="AK254" s="262">
        <f t="shared" si="299"/>
        <v>3610.1200606711409</v>
      </c>
      <c r="AL254" s="262">
        <f t="shared" ref="AL254" si="300">+AL244+AL245+AL246</f>
        <v>3698.731960396889</v>
      </c>
      <c r="AM254" s="2"/>
      <c r="AN254" s="2"/>
    </row>
    <row r="255" spans="1:40" outlineLevel="1">
      <c r="A255" s="2"/>
      <c r="B255" s="244" t="s">
        <v>1099</v>
      </c>
      <c r="C255" s="18" t="s">
        <v>733</v>
      </c>
      <c r="D255" s="868"/>
      <c r="E255" s="2">
        <f t="shared" ref="E255:AB255" si="301">E254/D254-1</f>
        <v>0.66319702602230479</v>
      </c>
      <c r="F255" s="2">
        <f t="shared" si="301"/>
        <v>-0.39427805096110857</v>
      </c>
      <c r="G255" s="2">
        <f t="shared" si="301"/>
        <v>0.13210332103321032</v>
      </c>
      <c r="H255" s="2">
        <f t="shared" si="301"/>
        <v>-7.5401999130812691E-2</v>
      </c>
      <c r="I255" s="2">
        <f t="shared" si="301"/>
        <v>-0.10340775558166859</v>
      </c>
      <c r="J255" s="2">
        <f t="shared" si="301"/>
        <v>0.16041939711664477</v>
      </c>
      <c r="K255" s="2">
        <f t="shared" si="301"/>
        <v>-0.46735938558843459</v>
      </c>
      <c r="L255" s="263">
        <f t="shared" si="301"/>
        <v>0.77777777777777768</v>
      </c>
      <c r="M255" s="263">
        <f t="shared" si="301"/>
        <v>7.1564885496178121E-4</v>
      </c>
      <c r="N255" s="263">
        <f t="shared" si="301"/>
        <v>-2.6221692491060766E-3</v>
      </c>
      <c r="O255" s="263">
        <f t="shared" si="301"/>
        <v>-3.9913957934990418E-2</v>
      </c>
      <c r="P255" s="263">
        <f t="shared" si="301"/>
        <v>2.6138909634055185E-2</v>
      </c>
      <c r="Q255" s="263">
        <f t="shared" si="301"/>
        <v>8.733624454148492E-3</v>
      </c>
      <c r="R255" s="263">
        <f t="shared" si="301"/>
        <v>-6.998556998557004E-2</v>
      </c>
      <c r="S255" s="263">
        <f t="shared" si="301"/>
        <v>-0.39487975174553913</v>
      </c>
      <c r="T255" s="263">
        <f>T254/S254-1</f>
        <v>0.84273504273504263</v>
      </c>
      <c r="U255" s="263">
        <f>U254/T254-1</f>
        <v>4.4990723562152057E-2</v>
      </c>
      <c r="V255" s="263">
        <f t="shared" si="301"/>
        <v>8.4553928095872255E-2</v>
      </c>
      <c r="W255" s="263">
        <f t="shared" si="301"/>
        <v>7.100470636382239E-2</v>
      </c>
      <c r="X255" s="263">
        <f t="shared" si="301"/>
        <v>-0.31524646541841805</v>
      </c>
      <c r="Y255" s="263">
        <f t="shared" si="301"/>
        <v>-0.1685267857142857</v>
      </c>
      <c r="Z255" s="263">
        <f t="shared" si="301"/>
        <v>-5.6375838926174482E-2</v>
      </c>
      <c r="AA255" s="263">
        <f t="shared" si="301"/>
        <v>-8.5348506401138335E-3</v>
      </c>
      <c r="AB255" s="263">
        <f t="shared" si="301"/>
        <v>0.11692969870875181</v>
      </c>
      <c r="AC255" s="263">
        <f t="shared" ref="AC255:AI255" si="302">AC254/AB254-1</f>
        <v>-4.4969033737358721E-3</v>
      </c>
      <c r="AD255" s="263">
        <f t="shared" si="302"/>
        <v>2.6938445318873017E-2</v>
      </c>
      <c r="AE255" s="263">
        <f t="shared" si="302"/>
        <v>1.1295818326918061E-2</v>
      </c>
      <c r="AF255" s="263">
        <f t="shared" si="302"/>
        <v>1.3571872356074932E-2</v>
      </c>
      <c r="AG255" s="263">
        <f t="shared" si="302"/>
        <v>1.5829926797966909E-2</v>
      </c>
      <c r="AH255" s="263">
        <f t="shared" si="302"/>
        <v>1.80674455047658E-2</v>
      </c>
      <c r="AI255" s="263">
        <f t="shared" si="302"/>
        <v>2.0337646253641095E-2</v>
      </c>
      <c r="AJ255" s="263">
        <f t="shared" ref="AJ255" si="303">AJ254/AI254-1</f>
        <v>2.269045998163377E-2</v>
      </c>
      <c r="AK255" s="263">
        <f t="shared" ref="AK255:AL255" si="304">AK254/AJ254-1</f>
        <v>2.5173989458874058E-2</v>
      </c>
      <c r="AL255" s="263">
        <f t="shared" si="304"/>
        <v>2.4545416284375454E-2</v>
      </c>
      <c r="AM255" s="2"/>
      <c r="AN255" s="2"/>
    </row>
    <row r="256" spans="1:40" outlineLevel="1">
      <c r="A256" s="2"/>
      <c r="B256" s="2"/>
      <c r="C256" s="18"/>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row>
    <row r="257" spans="1:40" outlineLevel="1">
      <c r="A257" s="2"/>
      <c r="B257" s="2" t="s">
        <v>59</v>
      </c>
      <c r="C257" s="18" t="s">
        <v>732</v>
      </c>
      <c r="D257" s="2"/>
      <c r="E257" s="168">
        <f t="shared" ref="E257:P257" si="305">E247</f>
        <v>447</v>
      </c>
      <c r="F257" s="168">
        <f t="shared" si="305"/>
        <v>665</v>
      </c>
      <c r="G257" s="168">
        <f t="shared" si="305"/>
        <v>584</v>
      </c>
      <c r="H257" s="168">
        <f t="shared" si="305"/>
        <v>529</v>
      </c>
      <c r="I257" s="168">
        <f t="shared" si="305"/>
        <v>572</v>
      </c>
      <c r="J257" s="168">
        <f t="shared" si="305"/>
        <v>598</v>
      </c>
      <c r="K257" s="168">
        <f t="shared" si="305"/>
        <v>592</v>
      </c>
      <c r="L257" s="168">
        <f t="shared" si="305"/>
        <v>609</v>
      </c>
      <c r="M257" s="168">
        <f t="shared" si="305"/>
        <v>614</v>
      </c>
      <c r="N257" s="168">
        <f t="shared" si="305"/>
        <v>565</v>
      </c>
      <c r="O257" s="168">
        <f t="shared" si="305"/>
        <v>561</v>
      </c>
      <c r="P257" s="168">
        <f t="shared" si="305"/>
        <v>583</v>
      </c>
      <c r="Q257" s="3">
        <f t="shared" ref="Q257:AB257" si="306">P257*(1+Q258)</f>
        <v>583</v>
      </c>
      <c r="R257" s="3">
        <f t="shared" si="306"/>
        <v>594.66</v>
      </c>
      <c r="S257" s="3">
        <f t="shared" si="306"/>
        <v>606.55319999999995</v>
      </c>
      <c r="T257" s="3">
        <f t="shared" si="306"/>
        <v>618.68426399999998</v>
      </c>
      <c r="U257" s="3">
        <f t="shared" si="306"/>
        <v>631.05794928</v>
      </c>
      <c r="V257" s="3">
        <f t="shared" si="306"/>
        <v>662.61084674400001</v>
      </c>
      <c r="W257" s="3">
        <f t="shared" si="306"/>
        <v>695.74138908120005</v>
      </c>
      <c r="X257" s="3">
        <f t="shared" si="306"/>
        <v>730.52845853526014</v>
      </c>
      <c r="Y257" s="3">
        <f t="shared" si="306"/>
        <v>767.05488146202322</v>
      </c>
      <c r="Z257" s="3">
        <f t="shared" si="306"/>
        <v>828.41927197898508</v>
      </c>
      <c r="AA257" s="3">
        <f t="shared" si="306"/>
        <v>894.69281373730394</v>
      </c>
      <c r="AB257" s="3">
        <f t="shared" si="306"/>
        <v>966.26823883628833</v>
      </c>
      <c r="AC257" s="3">
        <f t="shared" ref="AC257:AI257" si="307">AB257*(1+AC258)</f>
        <v>1043.5696979431914</v>
      </c>
      <c r="AD257" s="3">
        <f t="shared" si="307"/>
        <v>1127.0552737786468</v>
      </c>
      <c r="AE257" s="3">
        <f t="shared" si="307"/>
        <v>1217.2196956809387</v>
      </c>
      <c r="AF257" s="3">
        <f t="shared" si="307"/>
        <v>1314.5972713354138</v>
      </c>
      <c r="AG257" s="3">
        <f t="shared" si="307"/>
        <v>1419.765053042247</v>
      </c>
      <c r="AH257" s="3">
        <f t="shared" si="307"/>
        <v>1533.346257285627</v>
      </c>
      <c r="AI257" s="3">
        <f t="shared" si="307"/>
        <v>1656.0139578684773</v>
      </c>
      <c r="AJ257" s="3">
        <f t="shared" ref="AJ257" si="308">AI257*(1+AJ258)</f>
        <v>1788.4950744979556</v>
      </c>
      <c r="AK257" s="3">
        <f t="shared" ref="AK257:AL257" si="309">AJ257*(1+AK258)</f>
        <v>1931.5746804577921</v>
      </c>
      <c r="AL257" s="3">
        <f t="shared" si="309"/>
        <v>2086.1006548944156</v>
      </c>
      <c r="AM257" s="2"/>
      <c r="AN257" s="2"/>
    </row>
    <row r="258" spans="1:40" outlineLevel="1">
      <c r="A258" s="2"/>
      <c r="B258" s="55" t="s">
        <v>294</v>
      </c>
      <c r="C258" s="18" t="s">
        <v>733</v>
      </c>
      <c r="D258" s="2"/>
      <c r="E258" s="2"/>
      <c r="F258" s="80">
        <v>0.48769574944071592</v>
      </c>
      <c r="G258" s="80">
        <v>-0.12180451127819547</v>
      </c>
      <c r="H258" s="80">
        <v>-9.417808219178081E-2</v>
      </c>
      <c r="I258" s="80">
        <v>8.1285444234404647E-2</v>
      </c>
      <c r="J258" s="80">
        <v>4.5454545454545414E-2</v>
      </c>
      <c r="K258" s="80">
        <v>-1.0033444816053505E-2</v>
      </c>
      <c r="L258" s="80">
        <v>2.8716216216216228E-2</v>
      </c>
      <c r="M258" s="80">
        <v>8.2101806239738284E-3</v>
      </c>
      <c r="N258" s="80">
        <v>-7.9804560260586355E-2</v>
      </c>
      <c r="O258" s="80">
        <v>-7.0796460176991705E-3</v>
      </c>
      <c r="P258" s="80">
        <v>3.9215686274509887E-2</v>
      </c>
      <c r="Q258" s="81">
        <v>0</v>
      </c>
      <c r="R258" s="869">
        <v>0.02</v>
      </c>
      <c r="S258" s="869">
        <v>0.02</v>
      </c>
      <c r="T258" s="869">
        <v>0.02</v>
      </c>
      <c r="U258" s="869">
        <v>0.02</v>
      </c>
      <c r="V258" s="869">
        <v>0.05</v>
      </c>
      <c r="W258" s="869">
        <v>0.05</v>
      </c>
      <c r="X258" s="869">
        <v>0.05</v>
      </c>
      <c r="Y258" s="869">
        <v>0.05</v>
      </c>
      <c r="Z258" s="869">
        <v>0.08</v>
      </c>
      <c r="AA258" s="869">
        <v>0.08</v>
      </c>
      <c r="AB258" s="869">
        <v>0.08</v>
      </c>
      <c r="AC258" s="869">
        <v>0.08</v>
      </c>
      <c r="AD258" s="869">
        <v>0.08</v>
      </c>
      <c r="AE258" s="869">
        <v>0.08</v>
      </c>
      <c r="AF258" s="869">
        <v>0.08</v>
      </c>
      <c r="AG258" s="869">
        <v>0.08</v>
      </c>
      <c r="AH258" s="869">
        <v>0.08</v>
      </c>
      <c r="AI258" s="869">
        <v>0.08</v>
      </c>
      <c r="AJ258" s="869">
        <v>0.08</v>
      </c>
      <c r="AK258" s="869">
        <v>0.08</v>
      </c>
      <c r="AL258" s="869">
        <v>0.08</v>
      </c>
      <c r="AM258" s="2"/>
      <c r="AN258" s="2"/>
    </row>
    <row r="259" spans="1:40" outlineLevel="1">
      <c r="A259" s="2"/>
      <c r="B259" s="2"/>
      <c r="C259" s="18"/>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row>
    <row r="260" spans="1:40" outlineLevel="1">
      <c r="A260" s="2"/>
      <c r="B260" s="2" t="s">
        <v>792</v>
      </c>
      <c r="C260" s="18" t="s">
        <v>732</v>
      </c>
      <c r="D260" s="2"/>
      <c r="E260" s="603">
        <v>4307</v>
      </c>
      <c r="F260" s="603">
        <v>4063</v>
      </c>
      <c r="G260" s="603">
        <v>3619</v>
      </c>
      <c r="H260" s="603">
        <v>3608</v>
      </c>
      <c r="I260" s="603">
        <v>3549</v>
      </c>
      <c r="J260" s="603">
        <v>3721</v>
      </c>
      <c r="K260" s="603">
        <v>3853</v>
      </c>
      <c r="L260" s="602">
        <v>3952</v>
      </c>
      <c r="M260" s="602">
        <v>4039</v>
      </c>
      <c r="N260" s="602">
        <v>3981</v>
      </c>
      <c r="O260" s="602">
        <v>4137</v>
      </c>
      <c r="P260" s="465">
        <f>'Balance Sheet'!P10</f>
        <v>4346</v>
      </c>
      <c r="Q260" s="465">
        <f>'Balance Sheet'!Q10</f>
        <v>4557</v>
      </c>
      <c r="R260" s="465">
        <f>'Balance Sheet'!R10</f>
        <v>4172</v>
      </c>
      <c r="S260" s="465">
        <f>'Balance Sheet'!S10</f>
        <v>4721</v>
      </c>
      <c r="T260" s="465">
        <f>'Balance Sheet'!T10</f>
        <v>4737</v>
      </c>
      <c r="U260" s="465">
        <f>'Balance Sheet'!U10</f>
        <v>5468</v>
      </c>
      <c r="V260" s="465">
        <f>'Balance Sheet'!V10</f>
        <v>5500</v>
      </c>
      <c r="W260" s="465">
        <f>'Balance Sheet'!W10</f>
        <v>5392</v>
      </c>
      <c r="X260" s="465">
        <f>'Balance Sheet'!X10</f>
        <v>5121</v>
      </c>
      <c r="Y260" s="465">
        <f>'Balance Sheet'!Y10</f>
        <v>4577</v>
      </c>
      <c r="Z260" s="465">
        <f>'Balance Sheet'!Z10</f>
        <v>4074</v>
      </c>
      <c r="AA260" s="465">
        <f>'Balance Sheet'!AA10</f>
        <v>4216</v>
      </c>
      <c r="AB260" s="465">
        <f>'Balance Sheet'!AB10</f>
        <v>3828</v>
      </c>
      <c r="AC260" s="465">
        <f>'Balance Sheet'!AC10</f>
        <v>3677</v>
      </c>
      <c r="AD260" s="465">
        <f>'Balance Sheet'!AD10</f>
        <v>3962.8035804182946</v>
      </c>
      <c r="AE260" s="465">
        <f>'Balance Sheet'!AE10</f>
        <v>4001.5834779268821</v>
      </c>
      <c r="AF260" s="465">
        <f>'Balance Sheet'!AF10</f>
        <v>4052.8672117711671</v>
      </c>
      <c r="AG260" s="465">
        <f>'Balance Sheet'!AG10</f>
        <v>4117.3716800988068</v>
      </c>
      <c r="AH260" s="465">
        <f>'Balance Sheet'!AH10</f>
        <v>4194.9691370927649</v>
      </c>
      <c r="AI260" s="465">
        <f>'Balance Sheet'!AI10</f>
        <v>4285.9488973566795</v>
      </c>
      <c r="AJ260" s="465">
        <f>'Balance Sheet'!AJ10</f>
        <v>4391.0043996083714</v>
      </c>
      <c r="AK260" s="465">
        <f>'Balance Sheet'!AK10</f>
        <v>4511.2398217277732</v>
      </c>
      <c r="AL260" s="465">
        <f>'Balance Sheet'!AL10</f>
        <v>4625.921516221566</v>
      </c>
      <c r="AM260" s="2"/>
      <c r="AN260" s="2"/>
    </row>
    <row r="261" spans="1:40" outlineLevel="1">
      <c r="A261" s="2"/>
      <c r="B261" s="2" t="s">
        <v>326</v>
      </c>
      <c r="C261" s="18" t="s">
        <v>732</v>
      </c>
      <c r="D261" s="2"/>
      <c r="E261" s="168">
        <f t="shared" ref="E261:Z261" si="310">E244</f>
        <v>157</v>
      </c>
      <c r="F261" s="168">
        <f t="shared" si="310"/>
        <v>208</v>
      </c>
      <c r="G261" s="168">
        <f t="shared" si="310"/>
        <v>193</v>
      </c>
      <c r="H261" s="168">
        <f t="shared" si="310"/>
        <v>182</v>
      </c>
      <c r="I261" s="168">
        <f t="shared" si="310"/>
        <v>190</v>
      </c>
      <c r="J261" s="168">
        <f t="shared" si="310"/>
        <v>329</v>
      </c>
      <c r="K261" s="168">
        <f t="shared" si="310"/>
        <v>389</v>
      </c>
      <c r="L261" s="254">
        <f t="shared" si="310"/>
        <v>361</v>
      </c>
      <c r="M261" s="254">
        <f t="shared" si="310"/>
        <v>347</v>
      </c>
      <c r="N261" s="254">
        <f t="shared" si="310"/>
        <v>593</v>
      </c>
      <c r="O261" s="254">
        <f t="shared" si="310"/>
        <v>447</v>
      </c>
      <c r="P261" s="254">
        <f t="shared" si="310"/>
        <v>544</v>
      </c>
      <c r="Q261" s="254">
        <f t="shared" si="310"/>
        <v>308</v>
      </c>
      <c r="R261" s="254">
        <f t="shared" si="310"/>
        <v>260</v>
      </c>
      <c r="S261" s="254">
        <f t="shared" si="310"/>
        <v>217</v>
      </c>
      <c r="T261" s="254">
        <f t="shared" si="310"/>
        <v>482</v>
      </c>
      <c r="U261" s="254">
        <f t="shared" si="310"/>
        <v>306</v>
      </c>
      <c r="V261" s="254">
        <f t="shared" si="310"/>
        <v>451</v>
      </c>
      <c r="W261" s="254">
        <f t="shared" si="310"/>
        <v>608</v>
      </c>
      <c r="X261" s="254">
        <f t="shared" si="310"/>
        <v>129</v>
      </c>
      <c r="Y261" s="254">
        <f t="shared" si="310"/>
        <v>162</v>
      </c>
      <c r="Z261" s="254">
        <f t="shared" si="310"/>
        <v>144</v>
      </c>
      <c r="AA261" s="254">
        <f t="shared" ref="AA261:AB261" si="311">AA244</f>
        <v>129</v>
      </c>
      <c r="AB261" s="254">
        <f t="shared" si="311"/>
        <v>534</v>
      </c>
      <c r="AC261" s="254">
        <f t="shared" ref="AC261:AH261" si="312">AC260*AC262</f>
        <v>512.93573667711598</v>
      </c>
      <c r="AD261" s="254">
        <f t="shared" si="312"/>
        <v>552.80488817747369</v>
      </c>
      <c r="AE261" s="254">
        <f t="shared" si="312"/>
        <v>558.21462309638332</v>
      </c>
      <c r="AF261" s="254">
        <f t="shared" si="312"/>
        <v>565.36862358563303</v>
      </c>
      <c r="AG261" s="254">
        <f t="shared" si="312"/>
        <v>574.36689581315648</v>
      </c>
      <c r="AH261" s="254">
        <f t="shared" si="312"/>
        <v>585.19161943770553</v>
      </c>
      <c r="AI261" s="254">
        <f>AI260*AI262</f>
        <v>597.88315339301641</v>
      </c>
      <c r="AJ261" s="254">
        <f t="shared" ref="AJ261:AK261" si="313">AJ260*AJ262</f>
        <v>612.5382312933308</v>
      </c>
      <c r="AK261" s="254">
        <f t="shared" si="313"/>
        <v>629.31088422221296</v>
      </c>
      <c r="AL261" s="254">
        <f t="shared" ref="AL261" si="314">AL260*AL262</f>
        <v>645.30880085222475</v>
      </c>
      <c r="AM261" s="2"/>
      <c r="AN261" s="2"/>
    </row>
    <row r="262" spans="1:40" outlineLevel="1">
      <c r="A262" s="2"/>
      <c r="B262" s="244" t="s">
        <v>1149</v>
      </c>
      <c r="C262" s="18" t="s">
        <v>733</v>
      </c>
      <c r="D262" s="2"/>
      <c r="E262" s="2">
        <f t="shared" ref="E262:X262" si="315">E261/E260</f>
        <v>3.6452286974692362E-2</v>
      </c>
      <c r="F262" s="2">
        <f t="shared" si="315"/>
        <v>5.1193699237016985E-2</v>
      </c>
      <c r="G262" s="2">
        <f t="shared" si="315"/>
        <v>5.3329649074329924E-2</v>
      </c>
      <c r="H262" s="2">
        <f t="shared" si="315"/>
        <v>5.0443458980044348E-2</v>
      </c>
      <c r="I262" s="2">
        <f t="shared" si="315"/>
        <v>5.3536207382361228E-2</v>
      </c>
      <c r="J262" s="2">
        <f t="shared" si="315"/>
        <v>8.8417092179521636E-2</v>
      </c>
      <c r="K262" s="2">
        <f t="shared" si="315"/>
        <v>0.100960290682585</v>
      </c>
      <c r="L262" s="263">
        <f t="shared" si="315"/>
        <v>9.1346153846153841E-2</v>
      </c>
      <c r="M262" s="263">
        <f t="shared" si="315"/>
        <v>8.591235454320377E-2</v>
      </c>
      <c r="N262" s="263">
        <f t="shared" si="315"/>
        <v>0.14895754835468475</v>
      </c>
      <c r="O262" s="263">
        <f t="shared" si="315"/>
        <v>0.10804931109499638</v>
      </c>
      <c r="P262" s="263">
        <f t="shared" si="315"/>
        <v>0.12517257248044178</v>
      </c>
      <c r="Q262" s="263">
        <f t="shared" si="315"/>
        <v>6.7588325652841785E-2</v>
      </c>
      <c r="R262" s="263">
        <f t="shared" si="315"/>
        <v>6.2320230105465002E-2</v>
      </c>
      <c r="S262" s="258">
        <f t="shared" si="315"/>
        <v>4.596483795805973E-2</v>
      </c>
      <c r="T262" s="258">
        <f t="shared" si="315"/>
        <v>0.10175216381676166</v>
      </c>
      <c r="U262" s="258">
        <f t="shared" si="315"/>
        <v>5.596196049743965E-2</v>
      </c>
      <c r="V262" s="258">
        <f t="shared" si="315"/>
        <v>8.2000000000000003E-2</v>
      </c>
      <c r="W262" s="258">
        <f t="shared" si="315"/>
        <v>0.11275964391691394</v>
      </c>
      <c r="X262" s="258">
        <f t="shared" si="315"/>
        <v>2.5190392501464556E-2</v>
      </c>
      <c r="Y262" s="258">
        <f>Y261/Y260</f>
        <v>3.5394363119947564E-2</v>
      </c>
      <c r="Z262" s="258">
        <f>Z261/Z260</f>
        <v>3.5346097201767304E-2</v>
      </c>
      <c r="AA262" s="258">
        <f>AA261/AA260</f>
        <v>3.0597722960151803E-2</v>
      </c>
      <c r="AB262" s="258">
        <f>AB261/AB260</f>
        <v>0.13949843260188088</v>
      </c>
      <c r="AC262" s="640">
        <f t="shared" ref="AC262:AI262" si="316">AB262</f>
        <v>0.13949843260188088</v>
      </c>
      <c r="AD262" s="640">
        <f t="shared" si="316"/>
        <v>0.13949843260188088</v>
      </c>
      <c r="AE262" s="640">
        <f t="shared" si="316"/>
        <v>0.13949843260188088</v>
      </c>
      <c r="AF262" s="640">
        <f t="shared" si="316"/>
        <v>0.13949843260188088</v>
      </c>
      <c r="AG262" s="640">
        <f t="shared" si="316"/>
        <v>0.13949843260188088</v>
      </c>
      <c r="AH262" s="640">
        <f t="shared" si="316"/>
        <v>0.13949843260188088</v>
      </c>
      <c r="AI262" s="640">
        <f t="shared" si="316"/>
        <v>0.13949843260188088</v>
      </c>
      <c r="AJ262" s="640">
        <f t="shared" ref="AJ262" si="317">AI262</f>
        <v>0.13949843260188088</v>
      </c>
      <c r="AK262" s="640">
        <f t="shared" ref="AK262:AL262" si="318">AJ262</f>
        <v>0.13949843260188088</v>
      </c>
      <c r="AL262" s="640">
        <f t="shared" si="318"/>
        <v>0.13949843260188088</v>
      </c>
      <c r="AM262" s="2"/>
      <c r="AN262" s="2"/>
    </row>
    <row r="263" spans="1:40" outlineLevel="1">
      <c r="A263" s="2"/>
      <c r="B263" s="2"/>
      <c r="C263" s="18"/>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row>
    <row r="264" spans="1:40" outlineLevel="1">
      <c r="A264" s="2"/>
      <c r="B264" s="2" t="s">
        <v>327</v>
      </c>
      <c r="C264" s="18" t="s">
        <v>732</v>
      </c>
      <c r="D264" s="2"/>
      <c r="E264" s="168">
        <f t="shared" ref="E264:V264" si="319">E245</f>
        <v>1332</v>
      </c>
      <c r="F264" s="168">
        <f t="shared" si="319"/>
        <v>1397</v>
      </c>
      <c r="G264" s="168">
        <f t="shared" si="319"/>
        <v>1706</v>
      </c>
      <c r="H264" s="168">
        <f t="shared" si="319"/>
        <v>1473</v>
      </c>
      <c r="I264" s="168">
        <f t="shared" si="319"/>
        <v>1556</v>
      </c>
      <c r="J264" s="168">
        <f t="shared" si="319"/>
        <v>1836</v>
      </c>
      <c r="K264" s="168">
        <f t="shared" si="319"/>
        <v>2177</v>
      </c>
      <c r="L264" s="254">
        <f t="shared" si="319"/>
        <v>2339</v>
      </c>
      <c r="M264" s="254">
        <f t="shared" si="319"/>
        <v>2389</v>
      </c>
      <c r="N264" s="254">
        <f t="shared" si="319"/>
        <v>2275</v>
      </c>
      <c r="O264" s="254">
        <f t="shared" si="319"/>
        <v>2359</v>
      </c>
      <c r="P264" s="254">
        <f t="shared" si="319"/>
        <v>2135</v>
      </c>
      <c r="Q264" s="254">
        <f t="shared" si="319"/>
        <v>1382</v>
      </c>
      <c r="R264" s="254">
        <f t="shared" si="319"/>
        <v>1468</v>
      </c>
      <c r="S264" s="254">
        <f t="shared" si="319"/>
        <v>1556</v>
      </c>
      <c r="T264" s="254">
        <f t="shared" si="319"/>
        <v>1549</v>
      </c>
      <c r="U264" s="254">
        <f t="shared" si="319"/>
        <v>1802</v>
      </c>
      <c r="V264" s="254">
        <f t="shared" si="319"/>
        <v>1677</v>
      </c>
      <c r="W264" s="254">
        <f t="shared" ref="W264:AB264" si="320">W245</f>
        <v>1590</v>
      </c>
      <c r="X264" s="254">
        <f t="shared" si="320"/>
        <v>1473</v>
      </c>
      <c r="Y264" s="254">
        <f t="shared" si="320"/>
        <v>1144</v>
      </c>
      <c r="Z264" s="254">
        <f t="shared" si="320"/>
        <v>1167</v>
      </c>
      <c r="AA264" s="254">
        <f t="shared" si="320"/>
        <v>1056</v>
      </c>
      <c r="AB264" s="254">
        <f t="shared" si="320"/>
        <v>1047</v>
      </c>
      <c r="AC264" s="254">
        <f t="shared" ref="AC264:AH264" si="321">AC265*AC266</f>
        <v>1054.0609062170706</v>
      </c>
      <c r="AD264" s="254">
        <f t="shared" si="321"/>
        <v>1097.700844770008</v>
      </c>
      <c r="AE264" s="254">
        <f t="shared" si="321"/>
        <v>1128.2514122531754</v>
      </c>
      <c r="AF264" s="254">
        <f t="shared" si="321"/>
        <v>1164.7915938504082</v>
      </c>
      <c r="AG264" s="254">
        <f t="shared" si="321"/>
        <v>1207.4489089949352</v>
      </c>
      <c r="AH264" s="254">
        <f t="shared" si="321"/>
        <v>1256.514439282093</v>
      </c>
      <c r="AI264" s="254">
        <f>AI265*AI266</f>
        <v>1312.4564833590448</v>
      </c>
      <c r="AJ264" s="254">
        <f t="shared" ref="AJ264:AK264" si="322">AJ265*AJ266</f>
        <v>1375.9323656896263</v>
      </c>
      <c r="AK264" s="254">
        <f t="shared" si="322"/>
        <v>1447.8091764489277</v>
      </c>
      <c r="AL264" s="254">
        <f t="shared" ref="AL264" si="323">AL265*AL266</f>
        <v>1520.4231595446645</v>
      </c>
      <c r="AM264" s="2"/>
      <c r="AN264" s="2"/>
    </row>
    <row r="265" spans="1:40" outlineLevel="1">
      <c r="A265" s="2"/>
      <c r="B265" s="2" t="s">
        <v>44</v>
      </c>
      <c r="C265" s="18" t="s">
        <v>732</v>
      </c>
      <c r="D265" s="2"/>
      <c r="E265" s="168">
        <f t="shared" ref="E265:AI265" si="324">E233</f>
        <v>16189.423999999999</v>
      </c>
      <c r="F265" s="168">
        <f t="shared" si="324"/>
        <v>16095.399799999999</v>
      </c>
      <c r="G265" s="168">
        <f t="shared" si="324"/>
        <v>16415.18936</v>
      </c>
      <c r="H265" s="168">
        <f t="shared" si="324"/>
        <v>17205.599179999997</v>
      </c>
      <c r="I265" s="168">
        <f t="shared" si="324"/>
        <v>18016.574919999999</v>
      </c>
      <c r="J265" s="168">
        <f t="shared" si="324"/>
        <v>18236.686440000001</v>
      </c>
      <c r="K265" s="168">
        <f t="shared" si="324"/>
        <v>19020.75</v>
      </c>
      <c r="L265" s="254">
        <f t="shared" si="324"/>
        <v>19876.479879999999</v>
      </c>
      <c r="M265" s="254">
        <f t="shared" si="324"/>
        <v>20225.206569054215</v>
      </c>
      <c r="N265" s="254">
        <f t="shared" si="324"/>
        <v>19947.852789869408</v>
      </c>
      <c r="O265" s="254">
        <f t="shared" si="324"/>
        <v>20250.968341907399</v>
      </c>
      <c r="P265" s="254">
        <f t="shared" si="324"/>
        <v>20540.71056</v>
      </c>
      <c r="Q265" s="254">
        <f t="shared" si="324"/>
        <v>20840.423593333333</v>
      </c>
      <c r="R265" s="254">
        <f t="shared" si="324"/>
        <v>21130.754188571431</v>
      </c>
      <c r="S265" s="254">
        <f t="shared" si="324"/>
        <v>22880.490991014121</v>
      </c>
      <c r="T265" s="254">
        <f t="shared" si="324"/>
        <v>22554.074800000002</v>
      </c>
      <c r="U265" s="254">
        <f t="shared" si="324"/>
        <v>22545.996751576444</v>
      </c>
      <c r="V265" s="254">
        <f t="shared" si="324"/>
        <v>23595</v>
      </c>
      <c r="W265" s="254">
        <f t="shared" si="324"/>
        <v>22858</v>
      </c>
      <c r="X265" s="254">
        <f t="shared" si="324"/>
        <v>21191</v>
      </c>
      <c r="Y265" s="254">
        <f t="shared" si="324"/>
        <v>19126</v>
      </c>
      <c r="Z265" s="254">
        <f>Z233</f>
        <v>18162</v>
      </c>
      <c r="AA265" s="254">
        <f>AA233</f>
        <v>18754.009539999999</v>
      </c>
      <c r="AB265" s="254">
        <f>AB233</f>
        <v>18980</v>
      </c>
      <c r="AC265" s="254">
        <f t="shared" si="324"/>
        <v>19108</v>
      </c>
      <c r="AD265" s="254">
        <f t="shared" si="324"/>
        <v>19899.104139192696</v>
      </c>
      <c r="AE265" s="254">
        <f t="shared" si="324"/>
        <v>20452.924359661192</v>
      </c>
      <c r="AF265" s="254">
        <f t="shared" si="324"/>
        <v>21115.324213257638</v>
      </c>
      <c r="AG265" s="254">
        <f t="shared" si="324"/>
        <v>21888.615370318883</v>
      </c>
      <c r="AH265" s="254">
        <f t="shared" si="324"/>
        <v>22778.074553556948</v>
      </c>
      <c r="AI265" s="254">
        <f t="shared" si="324"/>
        <v>23792.191073691185</v>
      </c>
      <c r="AJ265" s="254">
        <f t="shared" ref="AJ265:AK265" si="325">AJ233</f>
        <v>24942.88089855693</v>
      </c>
      <c r="AK265" s="254">
        <f t="shared" si="325"/>
        <v>26245.862625597561</v>
      </c>
      <c r="AL265" s="254">
        <f t="shared" ref="AL265" si="326">AL233</f>
        <v>27562.207801487806</v>
      </c>
      <c r="AM265" s="2"/>
      <c r="AN265" s="2"/>
    </row>
    <row r="266" spans="1:40" outlineLevel="1">
      <c r="A266" s="2"/>
      <c r="B266" s="55" t="s">
        <v>1150</v>
      </c>
      <c r="C266" s="18" t="s">
        <v>733</v>
      </c>
      <c r="D266" s="2"/>
      <c r="E266" s="2">
        <f t="shared" ref="E266:V266" si="327">E264/E265</f>
        <v>8.2275935203130146E-2</v>
      </c>
      <c r="F266" s="2">
        <f t="shared" si="327"/>
        <v>8.679498598102546E-2</v>
      </c>
      <c r="G266" s="2">
        <f t="shared" si="327"/>
        <v>0.10392813403402615</v>
      </c>
      <c r="H266" s="2">
        <f t="shared" si="327"/>
        <v>8.5611665399728337E-2</v>
      </c>
      <c r="I266" s="2">
        <f t="shared" si="327"/>
        <v>8.6364917133761182E-2</v>
      </c>
      <c r="J266" s="2">
        <f t="shared" si="327"/>
        <v>0.10067618402282513</v>
      </c>
      <c r="K266" s="2">
        <f t="shared" si="327"/>
        <v>0.11445395160548348</v>
      </c>
      <c r="L266" s="263">
        <f t="shared" si="327"/>
        <v>0.11767677245272869</v>
      </c>
      <c r="M266" s="263">
        <f t="shared" si="327"/>
        <v>0.11811993078257672</v>
      </c>
      <c r="N266" s="263">
        <f t="shared" si="327"/>
        <v>0.11404736258908865</v>
      </c>
      <c r="O266" s="263">
        <f t="shared" si="327"/>
        <v>0.11648825676737048</v>
      </c>
      <c r="P266" s="263">
        <f t="shared" si="327"/>
        <v>0.10393992913553815</v>
      </c>
      <c r="Q266" s="263">
        <f t="shared" si="327"/>
        <v>6.6313431385439284E-2</v>
      </c>
      <c r="R266" s="263">
        <f t="shared" si="327"/>
        <v>6.9472200892572389E-2</v>
      </c>
      <c r="S266" s="258">
        <f t="shared" si="327"/>
        <v>6.8005533649216243E-2</v>
      </c>
      <c r="T266" s="258">
        <f t="shared" si="327"/>
        <v>6.8679385598206841E-2</v>
      </c>
      <c r="U266" s="258">
        <f t="shared" si="327"/>
        <v>7.9925497189384714E-2</v>
      </c>
      <c r="V266" s="258">
        <f t="shared" si="327"/>
        <v>7.1074380165289261E-2</v>
      </c>
      <c r="W266" s="258">
        <f t="shared" ref="W266:AB266" si="328">W264/W265</f>
        <v>6.9559891504068591E-2</v>
      </c>
      <c r="X266" s="258">
        <f t="shared" si="328"/>
        <v>6.9510641309990087E-2</v>
      </c>
      <c r="Y266" s="258">
        <f t="shared" si="328"/>
        <v>5.9813865941650113E-2</v>
      </c>
      <c r="Z266" s="258">
        <f t="shared" si="328"/>
        <v>6.4255037991410635E-2</v>
      </c>
      <c r="AA266" s="258">
        <f t="shared" si="328"/>
        <v>5.6307958985926804E-2</v>
      </c>
      <c r="AB266" s="258">
        <f t="shared" si="328"/>
        <v>5.5163329820864068E-2</v>
      </c>
      <c r="AC266" s="640">
        <f t="shared" ref="AC266:AI266" si="329">AB266</f>
        <v>5.5163329820864068E-2</v>
      </c>
      <c r="AD266" s="640">
        <f t="shared" si="329"/>
        <v>5.5163329820864068E-2</v>
      </c>
      <c r="AE266" s="640">
        <f t="shared" si="329"/>
        <v>5.5163329820864068E-2</v>
      </c>
      <c r="AF266" s="640">
        <f t="shared" si="329"/>
        <v>5.5163329820864068E-2</v>
      </c>
      <c r="AG266" s="640">
        <f t="shared" si="329"/>
        <v>5.5163329820864068E-2</v>
      </c>
      <c r="AH266" s="640">
        <f t="shared" si="329"/>
        <v>5.5163329820864068E-2</v>
      </c>
      <c r="AI266" s="640">
        <f t="shared" si="329"/>
        <v>5.5163329820864068E-2</v>
      </c>
      <c r="AJ266" s="640">
        <f t="shared" ref="AJ266" si="330">AI266</f>
        <v>5.5163329820864068E-2</v>
      </c>
      <c r="AK266" s="640">
        <f t="shared" ref="AK266:AL266" si="331">AJ266</f>
        <v>5.5163329820864068E-2</v>
      </c>
      <c r="AL266" s="640">
        <f t="shared" si="331"/>
        <v>5.5163329820864068E-2</v>
      </c>
      <c r="AM266" s="2"/>
      <c r="AN266" s="2"/>
    </row>
    <row r="267" spans="1:40" outlineLevel="1">
      <c r="A267" s="2"/>
      <c r="B267" s="2"/>
      <c r="C267" s="18"/>
      <c r="D267" s="2"/>
      <c r="E267" s="2"/>
      <c r="F267" s="2"/>
      <c r="G267" s="2"/>
      <c r="H267" s="2"/>
      <c r="I267" s="2"/>
      <c r="J267" s="2"/>
      <c r="K267" s="2"/>
      <c r="L267" s="263"/>
      <c r="M267" s="263"/>
      <c r="N267" s="263"/>
      <c r="O267" s="263"/>
      <c r="P267" s="263"/>
      <c r="Q267" s="263"/>
      <c r="R267" s="263"/>
      <c r="S267" s="263"/>
      <c r="T267" s="263"/>
      <c r="U267" s="263"/>
      <c r="V267" s="263"/>
      <c r="W267" s="263"/>
      <c r="X267" s="263"/>
      <c r="Y267" s="263"/>
      <c r="Z267" s="263"/>
      <c r="AA267" s="263"/>
      <c r="AB267" s="263"/>
      <c r="AC267" s="263"/>
      <c r="AD267" s="263"/>
      <c r="AE267" s="263"/>
      <c r="AF267" s="263"/>
      <c r="AG267" s="263"/>
      <c r="AH267" s="263"/>
      <c r="AI267" s="263"/>
      <c r="AJ267" s="263"/>
      <c r="AK267" s="263"/>
      <c r="AL267" s="263"/>
      <c r="AM267" s="2"/>
      <c r="AN267" s="2"/>
    </row>
    <row r="268" spans="1:40" outlineLevel="1">
      <c r="A268" s="2"/>
      <c r="B268" s="2" t="s">
        <v>28</v>
      </c>
      <c r="C268" s="18" t="s">
        <v>732</v>
      </c>
      <c r="D268" s="2"/>
      <c r="E268" s="168">
        <f t="shared" ref="E268:V268" si="332">E246</f>
        <v>464</v>
      </c>
      <c r="F268" s="168">
        <f t="shared" si="332"/>
        <v>337</v>
      </c>
      <c r="G268" s="168">
        <f t="shared" si="332"/>
        <v>346</v>
      </c>
      <c r="H268" s="168">
        <f t="shared" si="332"/>
        <v>501</v>
      </c>
      <c r="I268" s="168">
        <f t="shared" si="332"/>
        <v>361</v>
      </c>
      <c r="J268" s="168">
        <f t="shared" si="332"/>
        <v>554</v>
      </c>
      <c r="K268" s="168">
        <f t="shared" si="332"/>
        <v>395</v>
      </c>
      <c r="L268" s="254">
        <f t="shared" si="332"/>
        <v>426</v>
      </c>
      <c r="M268" s="254">
        <f t="shared" si="332"/>
        <v>466</v>
      </c>
      <c r="N268" s="254">
        <f t="shared" si="332"/>
        <v>402</v>
      </c>
      <c r="O268" s="254">
        <f t="shared" si="332"/>
        <v>316</v>
      </c>
      <c r="P268" s="254">
        <f t="shared" si="332"/>
        <v>533</v>
      </c>
      <c r="Q268" s="254">
        <f t="shared" si="332"/>
        <v>1272.5889209431348</v>
      </c>
      <c r="R268" s="254">
        <f t="shared" si="332"/>
        <v>1944.6489209431347</v>
      </c>
      <c r="S268" s="254">
        <f t="shared" si="332"/>
        <v>2196.8719209431347</v>
      </c>
      <c r="T268" s="254">
        <f t="shared" si="332"/>
        <v>2281</v>
      </c>
      <c r="U268" s="254">
        <f t="shared" si="332"/>
        <v>2398</v>
      </c>
      <c r="V268" s="254">
        <f t="shared" si="332"/>
        <v>2759</v>
      </c>
      <c r="W268" s="254">
        <f t="shared" ref="W268:AB268" si="333">W246</f>
        <v>3036</v>
      </c>
      <c r="X268" s="254">
        <f t="shared" si="333"/>
        <v>1982</v>
      </c>
      <c r="Y268" s="254">
        <f t="shared" si="333"/>
        <v>1674</v>
      </c>
      <c r="Z268" s="254">
        <f t="shared" si="333"/>
        <v>1501</v>
      </c>
      <c r="AA268" s="254">
        <f t="shared" si="333"/>
        <v>1603</v>
      </c>
      <c r="AB268" s="254">
        <f t="shared" si="333"/>
        <v>1533</v>
      </c>
      <c r="AC268" s="254">
        <f t="shared" ref="AC268:AI268" si="334">AB268*(1+AC269)</f>
        <v>1533</v>
      </c>
      <c r="AD268" s="254">
        <f t="shared" si="334"/>
        <v>1533</v>
      </c>
      <c r="AE268" s="254">
        <f t="shared" si="334"/>
        <v>1533</v>
      </c>
      <c r="AF268" s="254">
        <f t="shared" si="334"/>
        <v>1533</v>
      </c>
      <c r="AG268" s="254">
        <f t="shared" si="334"/>
        <v>1533</v>
      </c>
      <c r="AH268" s="254">
        <f t="shared" si="334"/>
        <v>1533</v>
      </c>
      <c r="AI268" s="254">
        <f t="shared" si="334"/>
        <v>1533</v>
      </c>
      <c r="AJ268" s="254">
        <f t="shared" ref="AJ268" si="335">AI268*(1+AJ269)</f>
        <v>1533</v>
      </c>
      <c r="AK268" s="254">
        <f t="shared" ref="AK268:AL268" si="336">AJ268*(1+AK269)</f>
        <v>1533</v>
      </c>
      <c r="AL268" s="254">
        <f t="shared" si="336"/>
        <v>1533</v>
      </c>
      <c r="AM268" s="2"/>
      <c r="AN268" s="2"/>
    </row>
    <row r="269" spans="1:40" outlineLevel="1">
      <c r="A269" s="258"/>
      <c r="B269" s="439" t="s">
        <v>294</v>
      </c>
      <c r="C269" s="18" t="s">
        <v>733</v>
      </c>
      <c r="D269" s="258"/>
      <c r="E269" s="258"/>
      <c r="F269" s="258">
        <f t="shared" ref="F269:P269" si="337">F268/E268-1</f>
        <v>-0.27370689655172409</v>
      </c>
      <c r="G269" s="258">
        <f t="shared" si="337"/>
        <v>2.6706231454005858E-2</v>
      </c>
      <c r="H269" s="258">
        <f t="shared" si="337"/>
        <v>0.44797687861271673</v>
      </c>
      <c r="I269" s="258">
        <f t="shared" si="337"/>
        <v>-0.279441117764471</v>
      </c>
      <c r="J269" s="258">
        <f t="shared" si="337"/>
        <v>0.53462603878116344</v>
      </c>
      <c r="K269" s="258">
        <f t="shared" si="337"/>
        <v>-0.28700361010830322</v>
      </c>
      <c r="L269" s="258">
        <f t="shared" si="337"/>
        <v>7.8481012658227822E-2</v>
      </c>
      <c r="M269" s="258">
        <f t="shared" si="337"/>
        <v>9.3896713615023497E-2</v>
      </c>
      <c r="N269" s="258">
        <f t="shared" si="337"/>
        <v>-0.13733905579399142</v>
      </c>
      <c r="O269" s="258">
        <f t="shared" si="337"/>
        <v>-0.21393034825870649</v>
      </c>
      <c r="P269" s="258">
        <f t="shared" si="337"/>
        <v>0.68670886075949378</v>
      </c>
      <c r="Q269" s="620">
        <v>0.02</v>
      </c>
      <c r="R269" s="620">
        <v>3.5999999999999997E-2</v>
      </c>
      <c r="S269" s="258">
        <f t="shared" ref="S269:AB269" si="338">S268/R268-1</f>
        <v>0.12970104643756186</v>
      </c>
      <c r="T269" s="258">
        <f t="shared" si="338"/>
        <v>3.829448510623612E-2</v>
      </c>
      <c r="U269" s="258">
        <f t="shared" si="338"/>
        <v>5.1293292415607095E-2</v>
      </c>
      <c r="V269" s="258">
        <f t="shared" si="338"/>
        <v>0.15054211843202658</v>
      </c>
      <c r="W269" s="258">
        <f t="shared" si="338"/>
        <v>0.10039869517941291</v>
      </c>
      <c r="X269" s="258">
        <f t="shared" si="338"/>
        <v>-0.34716732542819495</v>
      </c>
      <c r="Y269" s="258">
        <f t="shared" si="338"/>
        <v>-0.1553985872855701</v>
      </c>
      <c r="Z269" s="258">
        <f t="shared" si="338"/>
        <v>-0.10334528076463556</v>
      </c>
      <c r="AA269" s="258">
        <f t="shared" si="338"/>
        <v>6.7954696868754105E-2</v>
      </c>
      <c r="AB269" s="258">
        <f t="shared" si="338"/>
        <v>-4.3668122270742349E-2</v>
      </c>
      <c r="AC269" s="640">
        <v>0</v>
      </c>
      <c r="AD269" s="640">
        <v>0</v>
      </c>
      <c r="AE269" s="640">
        <v>0</v>
      </c>
      <c r="AF269" s="640">
        <v>0</v>
      </c>
      <c r="AG269" s="640">
        <v>0</v>
      </c>
      <c r="AH269" s="640">
        <v>0</v>
      </c>
      <c r="AI269" s="640">
        <v>0</v>
      </c>
      <c r="AJ269" s="640">
        <v>0</v>
      </c>
      <c r="AK269" s="640">
        <v>0</v>
      </c>
      <c r="AL269" s="640">
        <v>0</v>
      </c>
      <c r="AM269" s="258"/>
      <c r="AN269" s="258"/>
    </row>
    <row r="270" spans="1:40" outlineLevel="1">
      <c r="A270" s="2"/>
      <c r="B270" s="2" t="s">
        <v>324</v>
      </c>
      <c r="C270" s="18" t="s">
        <v>732</v>
      </c>
      <c r="D270" s="2"/>
      <c r="E270" s="168">
        <f t="shared" ref="E270:P270" si="339">E248</f>
        <v>301</v>
      </c>
      <c r="F270" s="168">
        <f t="shared" si="339"/>
        <v>276</v>
      </c>
      <c r="G270" s="168">
        <f t="shared" si="339"/>
        <v>316</v>
      </c>
      <c r="H270" s="168">
        <f t="shared" si="339"/>
        <v>333</v>
      </c>
      <c r="I270" s="168">
        <f t="shared" si="339"/>
        <v>330</v>
      </c>
      <c r="J270" s="168">
        <f t="shared" si="339"/>
        <v>356</v>
      </c>
      <c r="K270" s="168">
        <f t="shared" si="339"/>
        <v>422</v>
      </c>
      <c r="L270" s="168">
        <f t="shared" si="339"/>
        <v>457</v>
      </c>
      <c r="M270" s="168">
        <f t="shared" si="339"/>
        <v>379</v>
      </c>
      <c r="N270" s="168">
        <f t="shared" si="339"/>
        <v>349</v>
      </c>
      <c r="O270" s="168">
        <f t="shared" si="339"/>
        <v>334</v>
      </c>
      <c r="P270" s="168">
        <f t="shared" si="339"/>
        <v>327</v>
      </c>
      <c r="Q270" s="19">
        <f t="shared" ref="Q270:AB270" si="340">P270*(1+Q271)</f>
        <v>333.54</v>
      </c>
      <c r="R270" s="19">
        <f t="shared" si="340"/>
        <v>343.54620000000006</v>
      </c>
      <c r="S270" s="19">
        <f t="shared" si="340"/>
        <v>353.85258600000009</v>
      </c>
      <c r="T270" s="19">
        <f t="shared" si="340"/>
        <v>364.46816358000012</v>
      </c>
      <c r="U270" s="19">
        <f t="shared" si="340"/>
        <v>375.40220848740012</v>
      </c>
      <c r="V270" s="19">
        <f t="shared" si="340"/>
        <v>405.43438516639213</v>
      </c>
      <c r="W270" s="19">
        <f t="shared" si="340"/>
        <v>433.81479212803958</v>
      </c>
      <c r="X270" s="19">
        <f t="shared" si="340"/>
        <v>459.84367965572199</v>
      </c>
      <c r="Y270" s="19">
        <f t="shared" si="340"/>
        <v>487.43430043506532</v>
      </c>
      <c r="Z270" s="19">
        <f t="shared" si="340"/>
        <v>516.68035846116925</v>
      </c>
      <c r="AA270" s="19">
        <f t="shared" si="340"/>
        <v>1064.3615384300087</v>
      </c>
      <c r="AB270" s="19">
        <f t="shared" si="340"/>
        <v>3256.946307595827</v>
      </c>
      <c r="AC270" s="19">
        <f t="shared" ref="AC270:AI270" si="341">AB270*(1+AC271)</f>
        <v>3452.3630860515768</v>
      </c>
      <c r="AD270" s="19">
        <f t="shared" si="341"/>
        <v>3659.5048712146718</v>
      </c>
      <c r="AE270" s="19">
        <f t="shared" si="341"/>
        <v>3879.0751634875523</v>
      </c>
      <c r="AF270" s="19">
        <f t="shared" si="341"/>
        <v>4111.8196732968054</v>
      </c>
      <c r="AG270" s="19">
        <f t="shared" si="341"/>
        <v>4358.5288536946136</v>
      </c>
      <c r="AH270" s="19">
        <f t="shared" si="341"/>
        <v>4620.0405849162908</v>
      </c>
      <c r="AI270" s="19">
        <f t="shared" si="341"/>
        <v>4897.2430200112685</v>
      </c>
      <c r="AJ270" s="19">
        <f t="shared" ref="AJ270" si="342">AI270*(1+AJ271)</f>
        <v>5191.077601211945</v>
      </c>
      <c r="AK270" s="19">
        <f t="shared" ref="AK270:AL270" si="343">AJ270*(1+AK271)</f>
        <v>5502.5422572846619</v>
      </c>
      <c r="AL270" s="19">
        <f t="shared" si="343"/>
        <v>5832.6947927217416</v>
      </c>
      <c r="AM270" s="2"/>
      <c r="AN270" s="2"/>
    </row>
    <row r="271" spans="1:40" outlineLevel="1">
      <c r="A271" s="2"/>
      <c r="B271" s="55" t="s">
        <v>294</v>
      </c>
      <c r="C271" s="18" t="s">
        <v>733</v>
      </c>
      <c r="D271" s="2"/>
      <c r="E271" s="2"/>
      <c r="F271" s="2">
        <f t="shared" ref="F271:P271" si="344">F270/E270-1</f>
        <v>-8.3056478405315604E-2</v>
      </c>
      <c r="G271" s="2">
        <f t="shared" si="344"/>
        <v>0.14492753623188404</v>
      </c>
      <c r="H271" s="2">
        <f t="shared" si="344"/>
        <v>5.3797468354430444E-2</v>
      </c>
      <c r="I271" s="2">
        <f t="shared" si="344"/>
        <v>-9.009009009009028E-3</v>
      </c>
      <c r="J271" s="2">
        <f t="shared" si="344"/>
        <v>7.8787878787878851E-2</v>
      </c>
      <c r="K271" s="2">
        <f t="shared" si="344"/>
        <v>0.18539325842696619</v>
      </c>
      <c r="L271" s="2">
        <f t="shared" si="344"/>
        <v>8.293838862559233E-2</v>
      </c>
      <c r="M271" s="2">
        <f t="shared" si="344"/>
        <v>-0.17067833698030632</v>
      </c>
      <c r="N271" s="2">
        <f t="shared" si="344"/>
        <v>-7.9155672823219003E-2</v>
      </c>
      <c r="O271" s="2">
        <f t="shared" si="344"/>
        <v>-4.2979942693409767E-2</v>
      </c>
      <c r="P271" s="2">
        <f t="shared" si="344"/>
        <v>-2.0958083832335328E-2</v>
      </c>
      <c r="Q271" s="870">
        <v>0.02</v>
      </c>
      <c r="R271" s="869">
        <v>0.03</v>
      </c>
      <c r="S271" s="869">
        <v>0.03</v>
      </c>
      <c r="T271" s="869">
        <v>0.03</v>
      </c>
      <c r="U271" s="869">
        <v>0.03</v>
      </c>
      <c r="V271" s="869">
        <v>0.08</v>
      </c>
      <c r="W271" s="869">
        <v>7.0000000000000007E-2</v>
      </c>
      <c r="X271" s="869">
        <v>0.06</v>
      </c>
      <c r="Y271" s="869">
        <v>0.06</v>
      </c>
      <c r="Z271" s="869">
        <v>0.06</v>
      </c>
      <c r="AA271" s="869">
        <v>1.06</v>
      </c>
      <c r="AB271" s="869">
        <v>2.06</v>
      </c>
      <c r="AC271" s="869">
        <v>0.06</v>
      </c>
      <c r="AD271" s="869">
        <v>0.06</v>
      </c>
      <c r="AE271" s="869">
        <v>0.06</v>
      </c>
      <c r="AF271" s="869">
        <v>0.06</v>
      </c>
      <c r="AG271" s="869">
        <v>0.06</v>
      </c>
      <c r="AH271" s="869">
        <v>0.06</v>
      </c>
      <c r="AI271" s="869">
        <v>0.06</v>
      </c>
      <c r="AJ271" s="869">
        <v>0.06</v>
      </c>
      <c r="AK271" s="869">
        <v>0.06</v>
      </c>
      <c r="AL271" s="869">
        <v>0.06</v>
      </c>
      <c r="AM271" s="2"/>
      <c r="AN271" s="2"/>
    </row>
    <row r="272" spans="1:40" outlineLevel="1">
      <c r="A272" s="2"/>
      <c r="B272" s="2"/>
      <c r="C272" s="18"/>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row>
    <row r="273" spans="1:40" outlineLevel="1">
      <c r="A273" s="2"/>
      <c r="B273" s="2" t="s">
        <v>325</v>
      </c>
      <c r="C273" s="18" t="s">
        <v>732</v>
      </c>
      <c r="D273" s="2"/>
      <c r="E273" s="168">
        <f t="shared" ref="E273:P273" si="345">E249</f>
        <v>781</v>
      </c>
      <c r="F273" s="168">
        <f t="shared" si="345"/>
        <v>753</v>
      </c>
      <c r="G273" s="168">
        <f t="shared" si="345"/>
        <v>770</v>
      </c>
      <c r="H273" s="168">
        <f t="shared" si="345"/>
        <v>803</v>
      </c>
      <c r="I273" s="168">
        <f t="shared" si="345"/>
        <v>806</v>
      </c>
      <c r="J273" s="168">
        <f t="shared" si="345"/>
        <v>793</v>
      </c>
      <c r="K273" s="168">
        <f t="shared" si="345"/>
        <v>949</v>
      </c>
      <c r="L273" s="168">
        <f t="shared" si="345"/>
        <v>0</v>
      </c>
      <c r="M273" s="168">
        <f t="shared" si="345"/>
        <v>0</v>
      </c>
      <c r="N273" s="168">
        <f t="shared" si="345"/>
        <v>0</v>
      </c>
      <c r="O273" s="168">
        <f t="shared" si="345"/>
        <v>0</v>
      </c>
      <c r="P273" s="168">
        <f t="shared" si="345"/>
        <v>0</v>
      </c>
      <c r="Q273" s="19">
        <f t="shared" ref="Q273:AB273" si="346">P273*(1+Q274)</f>
        <v>0</v>
      </c>
      <c r="R273" s="19">
        <f t="shared" si="346"/>
        <v>0</v>
      </c>
      <c r="S273" s="19">
        <f t="shared" si="346"/>
        <v>0</v>
      </c>
      <c r="T273" s="19">
        <f t="shared" si="346"/>
        <v>0</v>
      </c>
      <c r="U273" s="19">
        <f t="shared" si="346"/>
        <v>0</v>
      </c>
      <c r="V273" s="19">
        <f t="shared" si="346"/>
        <v>0</v>
      </c>
      <c r="W273" s="19">
        <f t="shared" si="346"/>
        <v>0</v>
      </c>
      <c r="X273" s="19">
        <f t="shared" si="346"/>
        <v>0</v>
      </c>
      <c r="Y273" s="19">
        <f t="shared" si="346"/>
        <v>0</v>
      </c>
      <c r="Z273" s="19">
        <f t="shared" si="346"/>
        <v>0</v>
      </c>
      <c r="AA273" s="19">
        <f t="shared" si="346"/>
        <v>0</v>
      </c>
      <c r="AB273" s="19">
        <f t="shared" si="346"/>
        <v>0</v>
      </c>
      <c r="AC273" s="19">
        <f t="shared" ref="AC273:AI273" si="347">AB273*(1+AC274)</f>
        <v>0</v>
      </c>
      <c r="AD273" s="19">
        <f t="shared" si="347"/>
        <v>0</v>
      </c>
      <c r="AE273" s="19">
        <f t="shared" si="347"/>
        <v>0</v>
      </c>
      <c r="AF273" s="19">
        <f t="shared" si="347"/>
        <v>0</v>
      </c>
      <c r="AG273" s="19">
        <f t="shared" si="347"/>
        <v>0</v>
      </c>
      <c r="AH273" s="19">
        <f t="shared" si="347"/>
        <v>0</v>
      </c>
      <c r="AI273" s="19">
        <f t="shared" si="347"/>
        <v>0</v>
      </c>
      <c r="AJ273" s="19">
        <f t="shared" ref="AJ273" si="348">AI273*(1+AJ274)</f>
        <v>0</v>
      </c>
      <c r="AK273" s="19">
        <f t="shared" ref="AK273:AL273" si="349">AJ273*(1+AK274)</f>
        <v>0</v>
      </c>
      <c r="AL273" s="19">
        <f t="shared" si="349"/>
        <v>0</v>
      </c>
      <c r="AM273" s="2"/>
      <c r="AN273" s="2"/>
    </row>
    <row r="274" spans="1:40" outlineLevel="1">
      <c r="A274" s="2"/>
      <c r="B274" s="55" t="s">
        <v>294</v>
      </c>
      <c r="C274" s="18" t="s">
        <v>733</v>
      </c>
      <c r="D274" s="2"/>
      <c r="E274" s="2"/>
      <c r="F274" s="2">
        <f t="shared" ref="F274:L274" si="350">F273/E273-1</f>
        <v>-3.5851472471190804E-2</v>
      </c>
      <c r="G274" s="2">
        <f t="shared" si="350"/>
        <v>2.2576361221779528E-2</v>
      </c>
      <c r="H274" s="2">
        <f t="shared" si="350"/>
        <v>4.2857142857142927E-2</v>
      </c>
      <c r="I274" s="2">
        <f t="shared" si="350"/>
        <v>3.7359900373599153E-3</v>
      </c>
      <c r="J274" s="2">
        <f t="shared" si="350"/>
        <v>-1.6129032258064502E-2</v>
      </c>
      <c r="K274" s="2">
        <f t="shared" si="350"/>
        <v>0.19672131147540983</v>
      </c>
      <c r="L274" s="2">
        <f t="shared" si="350"/>
        <v>-1</v>
      </c>
      <c r="M274" s="2"/>
      <c r="N274" s="2"/>
      <c r="O274" s="2"/>
      <c r="P274" s="831"/>
      <c r="Q274" s="869">
        <v>-0.03</v>
      </c>
      <c r="R274" s="869">
        <v>-0.01</v>
      </c>
      <c r="S274" s="869">
        <v>-2E-3</v>
      </c>
      <c r="T274" s="82">
        <f t="shared" ref="T274:AB274" si="351">S274</f>
        <v>-2E-3</v>
      </c>
      <c r="U274" s="82">
        <f t="shared" si="351"/>
        <v>-2E-3</v>
      </c>
      <c r="V274" s="82">
        <f t="shared" si="351"/>
        <v>-2E-3</v>
      </c>
      <c r="W274" s="82">
        <f t="shared" si="351"/>
        <v>-2E-3</v>
      </c>
      <c r="X274" s="98">
        <f t="shared" si="351"/>
        <v>-2E-3</v>
      </c>
      <c r="Y274" s="98">
        <f t="shared" si="351"/>
        <v>-2E-3</v>
      </c>
      <c r="Z274" s="98">
        <f t="shared" si="351"/>
        <v>-2E-3</v>
      </c>
      <c r="AA274" s="98">
        <f t="shared" si="351"/>
        <v>-2E-3</v>
      </c>
      <c r="AB274" s="98">
        <f t="shared" si="351"/>
        <v>-2E-3</v>
      </c>
      <c r="AC274" s="98">
        <f t="shared" ref="AC274:AI274" si="352">AB274</f>
        <v>-2E-3</v>
      </c>
      <c r="AD274" s="98">
        <f t="shared" si="352"/>
        <v>-2E-3</v>
      </c>
      <c r="AE274" s="98">
        <f t="shared" si="352"/>
        <v>-2E-3</v>
      </c>
      <c r="AF274" s="98">
        <f t="shared" si="352"/>
        <v>-2E-3</v>
      </c>
      <c r="AG274" s="98">
        <f t="shared" si="352"/>
        <v>-2E-3</v>
      </c>
      <c r="AH274" s="98">
        <f t="shared" si="352"/>
        <v>-2E-3</v>
      </c>
      <c r="AI274" s="98">
        <f t="shared" si="352"/>
        <v>-2E-3</v>
      </c>
      <c r="AJ274" s="98">
        <f t="shared" ref="AJ274" si="353">AI274</f>
        <v>-2E-3</v>
      </c>
      <c r="AK274" s="98">
        <f t="shared" ref="AK274:AL274" si="354">AJ274</f>
        <v>-2E-3</v>
      </c>
      <c r="AL274" s="98">
        <f t="shared" si="354"/>
        <v>-2E-3</v>
      </c>
      <c r="AM274" s="2"/>
      <c r="AN274" s="2"/>
    </row>
    <row r="275" spans="1:40" outlineLevel="1">
      <c r="A275" s="2"/>
      <c r="B275" s="2"/>
      <c r="C275" s="18"/>
      <c r="D275" s="2"/>
      <c r="E275" s="2"/>
      <c r="F275" s="2"/>
      <c r="G275" s="2"/>
      <c r="H275" s="2"/>
      <c r="I275" s="2"/>
      <c r="J275" s="2"/>
      <c r="K275" s="2"/>
      <c r="L275" s="2"/>
      <c r="M275" s="2"/>
      <c r="N275" s="2"/>
      <c r="O275" s="2"/>
      <c r="P275" s="2"/>
      <c r="Q275" s="2"/>
      <c r="R275" s="2"/>
      <c r="S275" s="2"/>
      <c r="T275" s="2"/>
      <c r="U275" s="2"/>
      <c r="V275" s="2"/>
      <c r="W275" s="2"/>
      <c r="X275" s="2"/>
      <c r="Y275" s="2"/>
      <c r="Z275" s="2">
        <f>7151-'P&amp;L'!Z46</f>
        <v>-100</v>
      </c>
      <c r="AA275" s="2">
        <f>7541-'P&amp;L'!AA46</f>
        <v>-409</v>
      </c>
      <c r="AB275" s="2">
        <f>7748-'P&amp;L'!AB46</f>
        <v>-495</v>
      </c>
      <c r="AC275" s="2">
        <f>8083-'P&amp;L'!AC46</f>
        <v>-538</v>
      </c>
      <c r="AD275" s="2"/>
      <c r="AE275" s="2"/>
      <c r="AF275" s="2"/>
      <c r="AG275" s="2"/>
      <c r="AH275" s="2"/>
      <c r="AI275" s="2"/>
      <c r="AJ275" s="2"/>
      <c r="AK275" s="2"/>
      <c r="AL275" s="2"/>
      <c r="AM275" s="2"/>
      <c r="AN275" s="2"/>
    </row>
    <row r="276" spans="1:40" outlineLevel="1">
      <c r="A276" s="299" t="s">
        <v>1163</v>
      </c>
      <c r="B276" s="1073" t="s">
        <v>1173</v>
      </c>
      <c r="C276" s="1073"/>
      <c r="D276" s="1073"/>
      <c r="E276" s="1073"/>
      <c r="F276" s="1073"/>
      <c r="G276" s="1073"/>
      <c r="H276" s="1073"/>
      <c r="I276" s="1073"/>
      <c r="J276" s="1073"/>
      <c r="K276" s="1073"/>
      <c r="L276" s="1073"/>
      <c r="M276" s="1073"/>
      <c r="N276" s="1073"/>
      <c r="O276" s="1073"/>
      <c r="P276" s="1073"/>
      <c r="Q276" s="1073"/>
      <c r="R276" s="1073"/>
      <c r="S276" s="1073"/>
      <c r="T276" s="1073"/>
      <c r="U276" s="1073"/>
      <c r="V276" s="1073"/>
      <c r="W276" s="1073"/>
      <c r="X276" s="1073"/>
      <c r="Y276" s="1073"/>
      <c r="Z276" s="1073"/>
      <c r="AA276" s="1073"/>
      <c r="AB276" s="1073"/>
      <c r="AC276" s="1073"/>
      <c r="AD276" s="1073"/>
      <c r="AE276" s="1073"/>
      <c r="AF276" s="1073"/>
      <c r="AG276" s="1073"/>
      <c r="AH276" s="1073"/>
      <c r="AI276" s="1073"/>
      <c r="AJ276" s="1073"/>
      <c r="AK276" s="1073"/>
      <c r="AL276" s="1073"/>
      <c r="AM276" s="2"/>
      <c r="AN276" s="2"/>
    </row>
    <row r="277" spans="1:40" outlineLevel="1">
      <c r="A277" s="2"/>
      <c r="B277" s="2"/>
      <c r="C277" s="18"/>
      <c r="D277" s="2"/>
      <c r="E277" s="2"/>
      <c r="F277" s="2"/>
      <c r="G277" s="2"/>
      <c r="H277" s="2"/>
      <c r="I277" s="2"/>
      <c r="J277" s="2"/>
      <c r="K277" s="2"/>
      <c r="L277" s="2"/>
      <c r="M277" s="2"/>
      <c r="N277" s="2"/>
      <c r="O277" s="2"/>
      <c r="P277" s="2"/>
      <c r="Q277" s="2"/>
      <c r="R277" s="2"/>
      <c r="S277" s="2"/>
      <c r="T277" s="168"/>
      <c r="U277" s="2"/>
      <c r="V277" s="2"/>
      <c r="W277" s="2"/>
      <c r="X277" s="2"/>
      <c r="Y277" s="2"/>
      <c r="Z277" s="2"/>
      <c r="AA277" s="2"/>
      <c r="AB277" s="2"/>
      <c r="AC277" s="2"/>
      <c r="AD277" s="2"/>
      <c r="AE277" s="2"/>
      <c r="AF277" s="2"/>
      <c r="AG277" s="2"/>
      <c r="AH277" s="2"/>
      <c r="AI277" s="2"/>
      <c r="AJ277" s="2"/>
      <c r="AK277" s="2"/>
      <c r="AL277" s="2"/>
      <c r="AM277" s="2"/>
      <c r="AN277" s="2"/>
    </row>
    <row r="278" spans="1:40" ht="15.6" outlineLevel="1">
      <c r="A278" s="2"/>
      <c r="B278" s="237" t="s">
        <v>1129</v>
      </c>
      <c r="C278" s="238"/>
      <c r="D278" s="239"/>
      <c r="E278" s="239"/>
      <c r="F278" s="239"/>
      <c r="G278" s="239"/>
      <c r="H278" s="239"/>
      <c r="I278" s="239"/>
      <c r="J278" s="239"/>
      <c r="K278" s="239"/>
      <c r="L278" s="239"/>
      <c r="M278" s="239"/>
      <c r="N278" s="239"/>
      <c r="O278" s="239"/>
      <c r="P278" s="239"/>
      <c r="Q278" s="239"/>
      <c r="R278" s="239"/>
      <c r="S278" s="239"/>
      <c r="T278" s="239"/>
      <c r="U278" s="239"/>
      <c r="V278" s="239"/>
      <c r="W278" s="239"/>
      <c r="X278" s="239"/>
      <c r="Y278" s="239"/>
      <c r="Z278" s="239"/>
      <c r="AA278" s="239"/>
      <c r="AB278" s="239"/>
      <c r="AC278" s="239"/>
      <c r="AD278" s="239"/>
      <c r="AE278" s="239"/>
      <c r="AF278" s="239"/>
      <c r="AG278" s="239"/>
      <c r="AH278" s="270"/>
      <c r="AI278" s="240"/>
      <c r="AJ278" s="240"/>
      <c r="AK278" s="240"/>
      <c r="AL278" s="240"/>
      <c r="AM278" s="2"/>
      <c r="AN278" s="2"/>
    </row>
    <row r="279" spans="1:40" outlineLevel="1">
      <c r="A279" s="2"/>
      <c r="B279" s="2"/>
      <c r="C279" s="18"/>
      <c r="D279" s="2"/>
      <c r="E279" s="2"/>
      <c r="F279" s="2"/>
      <c r="G279" s="2"/>
      <c r="H279" s="2"/>
      <c r="I279" s="2"/>
      <c r="J279" s="2"/>
      <c r="K279" s="2"/>
      <c r="L279" s="2"/>
      <c r="M279" s="2"/>
      <c r="N279" s="2"/>
      <c r="O279" s="2"/>
      <c r="P279" s="2"/>
      <c r="Q279" s="2"/>
      <c r="R279" s="2"/>
      <c r="S279" s="2"/>
      <c r="T279" s="168"/>
      <c r="U279" s="2"/>
      <c r="V279" s="2"/>
      <c r="W279" s="2"/>
      <c r="X279" s="2"/>
      <c r="Y279" s="2"/>
      <c r="Z279" s="2"/>
      <c r="AA279" s="2"/>
      <c r="AB279" s="2"/>
      <c r="AC279" s="2"/>
      <c r="AD279" s="2"/>
      <c r="AE279" s="2"/>
      <c r="AF279" s="2"/>
      <c r="AG279" s="2"/>
      <c r="AH279" s="2"/>
      <c r="AI279" s="2"/>
      <c r="AJ279" s="2"/>
      <c r="AK279" s="2"/>
      <c r="AL279" s="2"/>
      <c r="AM279" s="2"/>
      <c r="AN279" s="2"/>
    </row>
    <row r="280" spans="1:40" outlineLevel="1">
      <c r="A280" s="2"/>
      <c r="B280" s="164" t="s">
        <v>266</v>
      </c>
      <c r="C280" s="14" t="s">
        <v>732</v>
      </c>
      <c r="D280" s="2"/>
      <c r="E280" s="2"/>
      <c r="F280" s="2"/>
      <c r="G280" s="2"/>
      <c r="H280" s="2"/>
      <c r="I280" s="2"/>
      <c r="J280" s="2"/>
      <c r="K280" s="2"/>
      <c r="L280" s="2"/>
      <c r="M280" s="2"/>
      <c r="N280" s="2"/>
      <c r="O280" s="2"/>
      <c r="P280" s="2"/>
      <c r="Q280" s="2"/>
      <c r="R280" s="2"/>
      <c r="S280" s="2"/>
      <c r="T280" s="168"/>
      <c r="U280" s="2"/>
      <c r="V280" s="867">
        <f>+'Revenue Assumptions'!AC23</f>
        <v>10508</v>
      </c>
      <c r="W280" s="867">
        <f>+'Revenue Assumptions'!AD23</f>
        <v>10649</v>
      </c>
      <c r="X280" s="867">
        <f>+'Revenue Assumptions'!AE23</f>
        <v>10130</v>
      </c>
      <c r="Y280" s="867">
        <f>+'Revenue Assumptions'!AF23</f>
        <v>9310</v>
      </c>
      <c r="Z280" s="867">
        <f>+'Revenue Assumptions'!AG23</f>
        <v>9470</v>
      </c>
      <c r="AA280" s="867">
        <f>+'Revenue Assumptions'!AH23</f>
        <v>10258</v>
      </c>
      <c r="AB280" s="867">
        <f>+'Revenue Assumptions'!AI23</f>
        <v>10722</v>
      </c>
      <c r="AC280" s="867">
        <f>+'Revenue Assumptions'!AJ23</f>
        <v>11015</v>
      </c>
      <c r="AD280" s="867">
        <f>+'Revenue Assumptions'!AK23</f>
        <v>11520.457886304279</v>
      </c>
      <c r="AE280" s="867">
        <f>+'Revenue Assumptions'!AL23</f>
        <v>12044.693704684087</v>
      </c>
      <c r="AF280" s="867">
        <f>+'Revenue Assumptions'!AM23</f>
        <v>12605.381763112948</v>
      </c>
      <c r="AG280" s="867">
        <f>+'Revenue Assumptions'!AN23</f>
        <v>13205.718063253855</v>
      </c>
      <c r="AH280" s="867">
        <f>+'Revenue Assumptions'!AO23</f>
        <v>13849.030868798302</v>
      </c>
      <c r="AI280" s="867">
        <f>+'Revenue Assumptions'!AP23</f>
        <v>14539.011279591889</v>
      </c>
      <c r="AJ280" s="867">
        <f>+'Revenue Assumptions'!AQ23</f>
        <v>15279.756679914697</v>
      </c>
      <c r="AK280" s="867">
        <f>+'Revenue Assumptions'!AR23</f>
        <v>16075.819804879795</v>
      </c>
      <c r="AL280" s="867">
        <f>+'Revenue Assumptions'!AS23</f>
        <v>16932.264177371908</v>
      </c>
      <c r="AM280" s="2"/>
      <c r="AN280" s="8"/>
    </row>
    <row r="281" spans="1:40" outlineLevel="1">
      <c r="A281" s="2"/>
      <c r="B281" s="510" t="s">
        <v>1250</v>
      </c>
      <c r="C281" s="14" t="s">
        <v>732</v>
      </c>
      <c r="D281" s="2"/>
      <c r="E281" s="2"/>
      <c r="F281" s="2"/>
      <c r="G281" s="2"/>
      <c r="H281" s="2"/>
      <c r="I281" s="2"/>
      <c r="J281" s="2"/>
      <c r="K281" s="2"/>
      <c r="L281" s="2"/>
      <c r="M281" s="2"/>
      <c r="N281" s="2"/>
      <c r="O281" s="2"/>
      <c r="P281" s="2"/>
      <c r="Q281" s="2"/>
      <c r="R281" s="2"/>
      <c r="S281" s="2"/>
      <c r="T281" s="168"/>
      <c r="U281" s="2"/>
      <c r="V281" s="458">
        <f>'Revenue Assumptions'!AC33</f>
        <v>5811</v>
      </c>
      <c r="W281" s="871">
        <f>'Revenue Assumptions'!AD33</f>
        <v>5485</v>
      </c>
      <c r="X281" s="871">
        <f>'Revenue Assumptions'!AE33</f>
        <v>5083</v>
      </c>
      <c r="Y281" s="871">
        <f>'Revenue Assumptions'!AF33</f>
        <v>4736</v>
      </c>
      <c r="Z281" s="871">
        <f>'Revenue Assumptions'!AG33</f>
        <v>4486</v>
      </c>
      <c r="AA281" s="871">
        <f>'Revenue Assumptions'!AH33</f>
        <v>4457</v>
      </c>
      <c r="AB281" s="871">
        <f>'Revenue Assumptions'!AI33</f>
        <v>4355</v>
      </c>
      <c r="AC281" s="871">
        <f>'Revenue Assumptions'!AJ33</f>
        <v>4299</v>
      </c>
      <c r="AD281" s="871">
        <f>'Revenue Assumptions'!AK33</f>
        <v>4325.3584436216579</v>
      </c>
      <c r="AE281" s="871">
        <f>'Revenue Assumptions'!AL33</f>
        <v>4387.0258691284025</v>
      </c>
      <c r="AF281" s="871">
        <f>'Revenue Assumptions'!AM33</f>
        <v>4484.790945331737</v>
      </c>
      <c r="AG281" s="871">
        <f>'Revenue Assumptions'!AN33</f>
        <v>4621.0371563987828</v>
      </c>
      <c r="AH281" s="871">
        <f>'Revenue Assumptions'!AO33</f>
        <v>4799.8826558018109</v>
      </c>
      <c r="AI281" s="871">
        <f>'Revenue Assumptions'!AP33</f>
        <v>5027.40210760643</v>
      </c>
      <c r="AJ281" s="871">
        <f>'Revenue Assumptions'!AQ33</f>
        <v>5311.9422068170288</v>
      </c>
      <c r="AK281" s="871">
        <f>'Revenue Assumptions'!AR33</f>
        <v>5664.5470927074884</v>
      </c>
      <c r="AL281" s="871">
        <f>'Revenue Assumptions'!AS33</f>
        <v>5940.5152161880178</v>
      </c>
      <c r="AM281" s="2"/>
      <c r="AN281" s="8"/>
    </row>
    <row r="282" spans="1:40" outlineLevel="1">
      <c r="A282" s="2"/>
      <c r="B282" s="872" t="s">
        <v>1322</v>
      </c>
      <c r="C282" s="14" t="s">
        <v>732</v>
      </c>
      <c r="D282" s="2"/>
      <c r="E282" s="2"/>
      <c r="F282" s="2"/>
      <c r="G282" s="2"/>
      <c r="H282" s="2"/>
      <c r="I282" s="2"/>
      <c r="J282" s="2"/>
      <c r="K282" s="2"/>
      <c r="L282" s="2"/>
      <c r="M282" s="2"/>
      <c r="N282" s="2"/>
      <c r="O282" s="2"/>
      <c r="P282" s="2"/>
      <c r="Q282" s="2"/>
      <c r="R282" s="2"/>
      <c r="S282" s="2"/>
      <c r="T282" s="168"/>
      <c r="U282" s="2"/>
      <c r="V282" s="458">
        <f>'Revenue Assumptions'!AC37</f>
        <v>1366</v>
      </c>
      <c r="W282" s="871">
        <f>'Revenue Assumptions'!AD37</f>
        <v>1281</v>
      </c>
      <c r="X282" s="871">
        <f>'Revenue Assumptions'!AE37</f>
        <v>1193</v>
      </c>
      <c r="Y282" s="871">
        <f>'Revenue Assumptions'!AF37</f>
        <v>1103</v>
      </c>
      <c r="Z282" s="871">
        <f>'Revenue Assumptions'!AG37</f>
        <v>956</v>
      </c>
      <c r="AA282" s="871">
        <f>'Revenue Assumptions'!AH37</f>
        <v>801.00954000000002</v>
      </c>
      <c r="AB282" s="871">
        <f>'Revenue Assumptions'!AI37</f>
        <v>748</v>
      </c>
      <c r="AC282" s="871">
        <f>'Revenue Assumptions'!AJ37</f>
        <v>679</v>
      </c>
      <c r="AD282" s="871">
        <f>'Revenue Assumptions'!AK37</f>
        <v>897.31263085714272</v>
      </c>
      <c r="AE282" s="871">
        <f>'Revenue Assumptions'!AL37</f>
        <v>811.07739100853416</v>
      </c>
      <c r="AF282" s="871">
        <f>'Revenue Assumptions'!AM37</f>
        <v>733.12969369083089</v>
      </c>
      <c r="AG282" s="871">
        <f>'Revenue Assumptions'!AN37</f>
        <v>662.673073777686</v>
      </c>
      <c r="AH282" s="871">
        <f>'Revenue Assumptions'!AO37</f>
        <v>598.98760954450586</v>
      </c>
      <c r="AI282" s="871">
        <f>'Revenue Assumptions'!AP37</f>
        <v>541.42256654931964</v>
      </c>
      <c r="AJ282" s="871">
        <f>'Revenue Assumptions'!AQ37</f>
        <v>489.38974846535882</v>
      </c>
      <c r="AK282" s="871">
        <f>'Revenue Assumptions'!AR37</f>
        <v>442.35748692453217</v>
      </c>
      <c r="AL282" s="871">
        <f>'Revenue Assumptions'!AS37</f>
        <v>399.84520896035639</v>
      </c>
      <c r="AM282" s="2"/>
      <c r="AN282" s="8"/>
    </row>
    <row r="283" spans="1:40" outlineLevel="1">
      <c r="A283" s="2"/>
      <c r="B283" s="872" t="s">
        <v>1323</v>
      </c>
      <c r="C283" s="14" t="s">
        <v>732</v>
      </c>
      <c r="D283" s="2"/>
      <c r="E283" s="2"/>
      <c r="F283" s="2"/>
      <c r="G283" s="2"/>
      <c r="H283" s="2"/>
      <c r="I283" s="2"/>
      <c r="J283" s="2"/>
      <c r="K283" s="2"/>
      <c r="L283" s="2"/>
      <c r="M283" s="2"/>
      <c r="N283" s="2"/>
      <c r="O283" s="2"/>
      <c r="P283" s="2"/>
      <c r="Q283" s="2"/>
      <c r="R283" s="2"/>
      <c r="S283" s="2"/>
      <c r="T283" s="168"/>
      <c r="U283" s="2"/>
      <c r="V283" s="458">
        <f>'Revenue Assumptions'!AC44</f>
        <v>3228</v>
      </c>
      <c r="W283" s="871">
        <f>'Revenue Assumptions'!AD44</f>
        <v>3124</v>
      </c>
      <c r="X283" s="871">
        <f>'Revenue Assumptions'!AE44</f>
        <v>2913</v>
      </c>
      <c r="Y283" s="871">
        <f>'Revenue Assumptions'!AF44</f>
        <v>2621</v>
      </c>
      <c r="Z283" s="871">
        <f>'Revenue Assumptions'!AG44</f>
        <v>2773</v>
      </c>
      <c r="AA283" s="871">
        <f>'Revenue Assumptions'!AH44</f>
        <v>2835</v>
      </c>
      <c r="AB283" s="871">
        <f>'Revenue Assumptions'!AI44</f>
        <v>2789</v>
      </c>
      <c r="AC283" s="871">
        <f>'Revenue Assumptions'!AJ44</f>
        <v>2766</v>
      </c>
      <c r="AD283" s="871">
        <f>'Revenue Assumptions'!AK44</f>
        <v>2814.5073668137229</v>
      </c>
      <c r="AE283" s="871">
        <f>'Revenue Assumptions'!AL44</f>
        <v>2870.9978400065002</v>
      </c>
      <c r="AF283" s="871">
        <f>'Revenue Assumptions'!AM44</f>
        <v>2949.7276744566711</v>
      </c>
      <c r="AG283" s="871">
        <f>'Revenue Assumptions'!AN44</f>
        <v>3047.8040873071795</v>
      </c>
      <c r="AH283" s="871">
        <f>'Revenue Assumptions'!AO44</f>
        <v>3163.2287770390867</v>
      </c>
      <c r="AI283" s="871">
        <f>'Revenue Assumptions'!AP44</f>
        <v>3294.6827319744143</v>
      </c>
      <c r="AJ283" s="871">
        <f>'Revenue Assumptions'!AQ44</f>
        <v>3441.366712710796</v>
      </c>
      <c r="AK283" s="871">
        <f>'Revenue Assumptions'!AR44</f>
        <v>3602.8832924188291</v>
      </c>
      <c r="AL283" s="871">
        <f>'Revenue Assumptions'!AS44</f>
        <v>3779.149940722536</v>
      </c>
      <c r="AM283" s="2"/>
      <c r="AN283" s="2"/>
    </row>
    <row r="284" spans="1:40" outlineLevel="1">
      <c r="A284" s="8"/>
      <c r="B284" s="8" t="s">
        <v>1324</v>
      </c>
      <c r="C284" s="14" t="s">
        <v>732</v>
      </c>
      <c r="D284" s="8"/>
      <c r="E284" s="8"/>
      <c r="F284" s="8"/>
      <c r="G284" s="8"/>
      <c r="H284" s="8"/>
      <c r="I284" s="8"/>
      <c r="J284" s="8"/>
      <c r="K284" s="8"/>
      <c r="L284" s="8"/>
      <c r="M284" s="8"/>
      <c r="N284" s="8"/>
      <c r="O284" s="8"/>
      <c r="P284" s="8"/>
      <c r="Q284" s="8"/>
      <c r="R284" s="8"/>
      <c r="S284" s="8"/>
      <c r="T284" s="873"/>
      <c r="U284" s="8"/>
      <c r="V284" s="874">
        <f>SUM(V282:V283)</f>
        <v>4594</v>
      </c>
      <c r="W284" s="874">
        <f>SUM(W282:W283)</f>
        <v>4405</v>
      </c>
      <c r="X284" s="874">
        <f>SUM(X282:X283)</f>
        <v>4106</v>
      </c>
      <c r="Y284" s="874">
        <f t="shared" ref="Y284:AH284" si="355">SUM(Y282:Y283)</f>
        <v>3724</v>
      </c>
      <c r="Z284" s="874">
        <f t="shared" si="355"/>
        <v>3729</v>
      </c>
      <c r="AA284" s="874">
        <f t="shared" si="355"/>
        <v>3636.00954</v>
      </c>
      <c r="AB284" s="874">
        <f t="shared" si="355"/>
        <v>3537</v>
      </c>
      <c r="AC284" s="874">
        <f t="shared" si="355"/>
        <v>3445</v>
      </c>
      <c r="AD284" s="874">
        <f t="shared" si="355"/>
        <v>3711.8199976708656</v>
      </c>
      <c r="AE284" s="874">
        <f t="shared" si="355"/>
        <v>3682.0752310150342</v>
      </c>
      <c r="AF284" s="874">
        <f t="shared" si="355"/>
        <v>3682.8573681475018</v>
      </c>
      <c r="AG284" s="874">
        <f t="shared" si="355"/>
        <v>3710.4771610848657</v>
      </c>
      <c r="AH284" s="874">
        <f t="shared" si="355"/>
        <v>3762.2163865835928</v>
      </c>
      <c r="AI284" s="874">
        <f>SUM(AI282:AI283)</f>
        <v>3836.1052985237338</v>
      </c>
      <c r="AJ284" s="874">
        <f t="shared" ref="AJ284:AK284" si="356">SUM(AJ282:AJ283)</f>
        <v>3930.756461176155</v>
      </c>
      <c r="AK284" s="874">
        <f t="shared" si="356"/>
        <v>4045.2407793433613</v>
      </c>
      <c r="AL284" s="874">
        <f t="shared" ref="AL284" si="357">SUM(AL282:AL283)</f>
        <v>4178.9951496828926</v>
      </c>
      <c r="AM284" s="8"/>
      <c r="AN284" s="8"/>
    </row>
    <row r="285" spans="1:40" outlineLevel="1">
      <c r="A285" s="2"/>
      <c r="B285" s="510" t="s">
        <v>1321</v>
      </c>
      <c r="C285" s="14" t="s">
        <v>732</v>
      </c>
      <c r="D285" s="2"/>
      <c r="E285" s="2"/>
      <c r="F285" s="2"/>
      <c r="G285" s="2"/>
      <c r="H285" s="2"/>
      <c r="I285" s="2"/>
      <c r="J285" s="2"/>
      <c r="K285" s="2"/>
      <c r="L285" s="2"/>
      <c r="M285" s="2"/>
      <c r="N285" s="2"/>
      <c r="O285" s="2"/>
      <c r="P285" s="2"/>
      <c r="Q285" s="2"/>
      <c r="R285" s="2"/>
      <c r="S285" s="2"/>
      <c r="T285" s="168"/>
      <c r="U285" s="2"/>
      <c r="V285" s="458">
        <f>'Revenue Assumptions'!AC52</f>
        <v>2682</v>
      </c>
      <c r="W285" s="871">
        <f>'Revenue Assumptions'!AD52</f>
        <v>2319</v>
      </c>
      <c r="X285" s="871">
        <f>'Revenue Assumptions'!AE52</f>
        <v>1872</v>
      </c>
      <c r="Y285" s="871">
        <f>'Revenue Assumptions'!AF52</f>
        <v>1356</v>
      </c>
      <c r="Z285" s="871">
        <f>'Revenue Assumptions'!AG52</f>
        <v>477</v>
      </c>
      <c r="AA285" s="871">
        <f>'Revenue Assumptions'!AH52</f>
        <v>403</v>
      </c>
      <c r="AB285" s="871">
        <f>'Revenue Assumptions'!AI52</f>
        <v>366</v>
      </c>
      <c r="AC285" s="871">
        <f>'Revenue Assumptions'!AJ52</f>
        <v>349</v>
      </c>
      <c r="AD285" s="871">
        <f>'Revenue Assumptions'!AK52</f>
        <v>341.46781159589341</v>
      </c>
      <c r="AE285" s="871">
        <f>'Revenue Assumptions'!AL52</f>
        <v>339.1295548336692</v>
      </c>
      <c r="AF285" s="871">
        <f>'Revenue Assumptions'!AM52</f>
        <v>342.29413666545179</v>
      </c>
      <c r="AG285" s="871">
        <f>'Revenue Assumptions'!AN52</f>
        <v>351.38298958137932</v>
      </c>
      <c r="AH285" s="871">
        <f>'Revenue Assumptions'!AO52</f>
        <v>366.94464237323893</v>
      </c>
      <c r="AI285" s="871">
        <f>'Revenue Assumptions'!AP52</f>
        <v>389.67238796913477</v>
      </c>
      <c r="AJ285" s="871">
        <f>'Revenue Assumptions'!AQ52</f>
        <v>420.42555064904906</v>
      </c>
      <c r="AK285" s="871">
        <f>'Revenue Assumptions'!AR52</f>
        <v>460.2549486669152</v>
      </c>
      <c r="AL285" s="871">
        <f>'Revenue Assumptions'!AS52</f>
        <v>510.43325824498714</v>
      </c>
      <c r="AM285" s="2"/>
      <c r="AN285" s="2"/>
    </row>
    <row r="286" spans="1:40" outlineLevel="1">
      <c r="A286" s="2"/>
      <c r="B286" s="510" t="s">
        <v>42</v>
      </c>
      <c r="C286" s="14" t="s">
        <v>732</v>
      </c>
      <c r="D286" s="2"/>
      <c r="E286" s="2"/>
      <c r="F286" s="2"/>
      <c r="G286" s="2"/>
      <c r="H286" s="2"/>
      <c r="I286" s="2"/>
      <c r="J286" s="2"/>
      <c r="K286" s="2"/>
      <c r="L286" s="2"/>
      <c r="M286" s="2"/>
      <c r="N286" s="2"/>
      <c r="O286" s="2"/>
      <c r="P286" s="2"/>
      <c r="Q286" s="2"/>
      <c r="R286" s="2"/>
      <c r="S286" s="2"/>
      <c r="T286" s="168"/>
      <c r="U286" s="2"/>
      <c r="V286" s="458">
        <f>'Revenue Assumptions'!AC56</f>
        <v>1584</v>
      </c>
      <c r="W286" s="871">
        <f>'Revenue Assumptions'!AD56</f>
        <v>1705</v>
      </c>
      <c r="X286" s="871">
        <f>'Revenue Assumptions'!AE56</f>
        <v>1501</v>
      </c>
      <c r="Y286" s="871">
        <f>'Revenue Assumptions'!AF56</f>
        <v>1496</v>
      </c>
      <c r="Z286" s="871">
        <f>'Revenue Assumptions'!AG56</f>
        <v>1501</v>
      </c>
      <c r="AA286" s="871">
        <f>'Revenue Assumptions'!AH56</f>
        <v>2429</v>
      </c>
      <c r="AB286" s="871">
        <f>'Revenue Assumptions'!AI56</f>
        <v>2578</v>
      </c>
      <c r="AC286" s="871">
        <f>'Revenue Assumptions'!AJ56</f>
        <v>2587</v>
      </c>
      <c r="AD286" s="871">
        <f>'Revenue Assumptions'!AK56</f>
        <v>2640.3043352562854</v>
      </c>
      <c r="AE286" s="871">
        <f>'Revenue Assumptions'!AL56</f>
        <v>2695.2950275083417</v>
      </c>
      <c r="AF286" s="871">
        <f>'Revenue Assumptions'!AM56</f>
        <v>2743.6445603781808</v>
      </c>
      <c r="AG286" s="871">
        <f>'Revenue Assumptions'!AN56</f>
        <v>2793.2126655353018</v>
      </c>
      <c r="AH286" s="871">
        <f>'Revenue Assumptions'!AO56</f>
        <v>2844.0312618743483</v>
      </c>
      <c r="AI286" s="871">
        <f>'Revenue Assumptions'!AP56</f>
        <v>2896.1331330913213</v>
      </c>
      <c r="AJ286" s="871">
        <f>'Revenue Assumptions'!AQ56</f>
        <v>2949.5519517723142</v>
      </c>
      <c r="AK286" s="871">
        <f>'Revenue Assumptions'!AR56</f>
        <v>3004.3223041677975</v>
      </c>
      <c r="AL286" s="871">
        <f>'Revenue Assumptions'!AS56</f>
        <v>3060.1096895061055</v>
      </c>
      <c r="AM286" s="2"/>
      <c r="AN286" s="2"/>
    </row>
    <row r="287" spans="1:40" outlineLevel="1">
      <c r="A287" s="2"/>
      <c r="B287" s="510" t="s">
        <v>1462</v>
      </c>
      <c r="C287" s="14" t="s">
        <v>732</v>
      </c>
      <c r="D287" s="2"/>
      <c r="E287" s="2"/>
      <c r="F287" s="2"/>
      <c r="G287" s="2"/>
      <c r="H287" s="2"/>
      <c r="I287" s="2"/>
      <c r="J287" s="2"/>
      <c r="K287" s="2"/>
      <c r="L287" s="2"/>
      <c r="M287" s="2"/>
      <c r="N287" s="2"/>
      <c r="O287" s="2"/>
      <c r="P287" s="2"/>
      <c r="Q287" s="2"/>
      <c r="R287" s="2"/>
      <c r="S287" s="2"/>
      <c r="T287" s="168"/>
      <c r="U287" s="2"/>
      <c r="V287" s="458">
        <f>'Revenue Assumptions'!AC59</f>
        <v>642</v>
      </c>
      <c r="W287" s="871">
        <f>'Revenue Assumptions'!AD59</f>
        <v>784</v>
      </c>
      <c r="X287" s="871">
        <f>'Revenue Assumptions'!AE59</f>
        <v>874</v>
      </c>
      <c r="Y287" s="871">
        <f>'Revenue Assumptions'!AF59</f>
        <v>908</v>
      </c>
      <c r="Z287" s="871">
        <f>SUM('Revenue Assumptions'!AG59:AG61)</f>
        <v>2456</v>
      </c>
      <c r="AA287" s="871">
        <f>SUM('Revenue Assumptions'!AH59:AH61)</f>
        <v>2556</v>
      </c>
      <c r="AB287" s="871">
        <f>SUM('Revenue Assumptions'!AI59:AI61)</f>
        <v>2746</v>
      </c>
      <c r="AC287" s="871">
        <f>SUM('Revenue Assumptions'!AJ59:AJ61)</f>
        <v>2710</v>
      </c>
      <c r="AD287" s="871">
        <f>SUM('Revenue Assumptions'!AK59:AK61)</f>
        <v>2743.09</v>
      </c>
      <c r="AE287" s="871">
        <f>SUM('Revenue Assumptions'!AL59:AL61)</f>
        <v>2777.1418000000003</v>
      </c>
      <c r="AF287" s="871">
        <f>SUM('Revenue Assumptions'!AM59:AM61)</f>
        <v>2812.2151540000004</v>
      </c>
      <c r="AG287" s="871">
        <f>SUM('Revenue Assumptions'!AN59:AN61)</f>
        <v>2848.3407086200004</v>
      </c>
      <c r="AH287" s="871">
        <f>SUM('Revenue Assumptions'!AO59:AO61)</f>
        <v>2885.5500298786001</v>
      </c>
      <c r="AI287" s="871">
        <f>SUM('Revenue Assumptions'!AP59:AP61)</f>
        <v>2923.8756307749582</v>
      </c>
      <c r="AJ287" s="871">
        <f>SUM('Revenue Assumptions'!AQ59:AQ61)</f>
        <v>2963.3509996982075</v>
      </c>
      <c r="AK287" s="871">
        <f>SUM('Revenue Assumptions'!AR59:AR61)</f>
        <v>3004.0106296891536</v>
      </c>
      <c r="AL287" s="871">
        <f>SUM('Revenue Assumptions'!AS59:AS61)</f>
        <v>3045.8900485798285</v>
      </c>
      <c r="AM287" s="2"/>
      <c r="AN287" s="2"/>
    </row>
    <row r="288" spans="1:40" outlineLevel="1">
      <c r="A288" s="2"/>
      <c r="B288" s="510" t="s">
        <v>1269</v>
      </c>
      <c r="C288" s="14" t="s">
        <v>732</v>
      </c>
      <c r="D288" s="2"/>
      <c r="E288" s="2"/>
      <c r="F288" s="2"/>
      <c r="G288" s="2"/>
      <c r="H288" s="2"/>
      <c r="I288" s="2"/>
      <c r="J288" s="2"/>
      <c r="K288" s="2"/>
      <c r="L288" s="2"/>
      <c r="M288" s="2"/>
      <c r="N288" s="2"/>
      <c r="O288" s="2"/>
      <c r="P288" s="2"/>
      <c r="Q288" s="2"/>
      <c r="R288" s="2"/>
      <c r="S288" s="2"/>
      <c r="T288" s="168"/>
      <c r="U288" s="2"/>
      <c r="V288" s="458">
        <f>'Revenue Assumptions'!AC69</f>
        <v>738</v>
      </c>
      <c r="W288" s="871">
        <f>'Revenue Assumptions'!AD69-'Revenue Assumptions'!AD460</f>
        <v>341</v>
      </c>
      <c r="X288" s="871">
        <f>'Revenue Assumptions'!AE69-'Revenue Assumptions'!AE460</f>
        <v>334</v>
      </c>
      <c r="Y288" s="871">
        <f>'Revenue Assumptions'!AF69-'Revenue Assumptions'!AF460</f>
        <v>552</v>
      </c>
      <c r="Z288" s="871">
        <f>'Revenue Assumptions'!AG69-'Revenue Assumptions'!AG460</f>
        <v>755</v>
      </c>
      <c r="AA288" s="871">
        <f>'Revenue Assumptions'!AH69-'Revenue Assumptions'!AH460</f>
        <v>1076</v>
      </c>
      <c r="AB288" s="871">
        <f>'Revenue Assumptions'!AI69-'Revenue Assumptions'!AI460</f>
        <v>1262</v>
      </c>
      <c r="AC288" s="871">
        <f>'Revenue Assumptions'!AJ69-'Revenue Assumptions'!AJ460</f>
        <v>1159</v>
      </c>
      <c r="AD288" s="871">
        <f>'Revenue Assumptions'!AK69-'Revenue Assumptions'!AK460</f>
        <v>1182.18</v>
      </c>
      <c r="AE288" s="871">
        <f>'Revenue Assumptions'!AL69-'Revenue Assumptions'!AL460</f>
        <v>1205.8236000000002</v>
      </c>
      <c r="AF288" s="871">
        <f>'Revenue Assumptions'!AM69-'Revenue Assumptions'!AM460</f>
        <v>1229.9400720000001</v>
      </c>
      <c r="AG288" s="871">
        <f>'Revenue Assumptions'!AN69-'Revenue Assumptions'!AN460</f>
        <v>1254.5388734400001</v>
      </c>
      <c r="AH288" s="871">
        <f>'Revenue Assumptions'!AO69-'Revenue Assumptions'!AO460</f>
        <v>1279.6296509088002</v>
      </c>
      <c r="AI288" s="871">
        <f>'Revenue Assumptions'!AP69-'Revenue Assumptions'!AP460</f>
        <v>1305.2222439269763</v>
      </c>
      <c r="AJ288" s="871">
        <f>'Revenue Assumptions'!AQ69-'Revenue Assumptions'!AQ460</f>
        <v>1331.3266888055159</v>
      </c>
      <c r="AK288" s="871">
        <f>'Revenue Assumptions'!AR69-'Revenue Assumptions'!AR460</f>
        <v>1357.9532225816263</v>
      </c>
      <c r="AL288" s="871">
        <f>'Revenue Assumptions'!AS69-'Revenue Assumptions'!AS460</f>
        <v>1385.1122870332588</v>
      </c>
      <c r="AM288" s="2"/>
      <c r="AN288" s="2"/>
    </row>
    <row r="289" spans="1:40" outlineLevel="1">
      <c r="A289" s="2"/>
      <c r="B289" s="510" t="s">
        <v>1440</v>
      </c>
      <c r="C289" s="14" t="s">
        <v>732</v>
      </c>
      <c r="D289" s="2"/>
      <c r="E289" s="2"/>
      <c r="F289" s="2"/>
      <c r="G289" s="2"/>
      <c r="H289" s="2"/>
      <c r="I289" s="2"/>
      <c r="J289" s="2"/>
      <c r="K289" s="2"/>
      <c r="L289" s="2"/>
      <c r="M289" s="2"/>
      <c r="N289" s="2"/>
      <c r="O289" s="2"/>
      <c r="P289" s="2"/>
      <c r="Q289" s="2"/>
      <c r="R289" s="2"/>
      <c r="S289" s="2"/>
      <c r="T289" s="168"/>
      <c r="U289" s="2"/>
      <c r="V289" s="458"/>
      <c r="W289" s="871"/>
      <c r="X289" s="871"/>
      <c r="Y289" s="871"/>
      <c r="Z289" s="871"/>
      <c r="AA289" s="871"/>
      <c r="AB289" s="871"/>
      <c r="AC289" s="871"/>
      <c r="AD289" s="871">
        <f>'Revenue Assumptions'!AK62</f>
        <v>300</v>
      </c>
      <c r="AE289" s="871">
        <f>'Revenue Assumptions'!AL62</f>
        <v>300</v>
      </c>
      <c r="AF289" s="871">
        <f>'Revenue Assumptions'!AM62</f>
        <v>300</v>
      </c>
      <c r="AG289" s="871">
        <f>'Revenue Assumptions'!AN62</f>
        <v>300</v>
      </c>
      <c r="AH289" s="871">
        <f>'Revenue Assumptions'!AO62</f>
        <v>300</v>
      </c>
      <c r="AI289" s="871">
        <f>'Revenue Assumptions'!AP62</f>
        <v>300</v>
      </c>
      <c r="AJ289" s="871">
        <f>'Revenue Assumptions'!AQ62</f>
        <v>300</v>
      </c>
      <c r="AK289" s="871">
        <f>'Revenue Assumptions'!AR62</f>
        <v>300</v>
      </c>
      <c r="AL289" s="871">
        <f>'Revenue Assumptions'!AS62</f>
        <v>300</v>
      </c>
      <c r="AM289" s="2"/>
      <c r="AN289" s="2"/>
    </row>
    <row r="290" spans="1:40" outlineLevel="1">
      <c r="A290" s="2"/>
      <c r="B290" s="510" t="s">
        <v>1459</v>
      </c>
      <c r="C290" s="14" t="s">
        <v>732</v>
      </c>
      <c r="D290" s="2"/>
      <c r="E290" s="2"/>
      <c r="F290" s="2"/>
      <c r="G290" s="2"/>
      <c r="H290" s="2"/>
      <c r="I290" s="2"/>
      <c r="J290" s="2"/>
      <c r="K290" s="2"/>
      <c r="L290" s="2"/>
      <c r="M290" s="2"/>
      <c r="N290" s="2"/>
      <c r="O290" s="2"/>
      <c r="P290" s="2"/>
      <c r="Q290" s="2"/>
      <c r="R290" s="2"/>
      <c r="S290" s="2"/>
      <c r="T290" s="168"/>
      <c r="U290" s="2"/>
      <c r="V290" s="458"/>
      <c r="W290" s="871"/>
      <c r="X290" s="871"/>
      <c r="Y290" s="871"/>
      <c r="Z290" s="871">
        <f>'Revenue Assumptions'!AG65</f>
        <v>368</v>
      </c>
      <c r="AA290" s="871">
        <f>'Revenue Assumptions'!AH65</f>
        <v>401</v>
      </c>
      <c r="AB290" s="871">
        <f>'Revenue Assumptions'!AI65</f>
        <v>453</v>
      </c>
      <c r="AC290" s="871">
        <f>'Revenue Assumptions'!AJ65</f>
        <v>470</v>
      </c>
      <c r="AD290" s="871">
        <f>'Revenue Assumptions'!AK65</f>
        <v>470</v>
      </c>
      <c r="AE290" s="871">
        <f>'Revenue Assumptions'!AL65</f>
        <v>470</v>
      </c>
      <c r="AF290" s="871">
        <f>'Revenue Assumptions'!AM65</f>
        <v>470</v>
      </c>
      <c r="AG290" s="871">
        <f>'Revenue Assumptions'!AN65</f>
        <v>470</v>
      </c>
      <c r="AH290" s="871">
        <f>'Revenue Assumptions'!AO65</f>
        <v>470</v>
      </c>
      <c r="AI290" s="871">
        <f>'Revenue Assumptions'!AP65</f>
        <v>470</v>
      </c>
      <c r="AJ290" s="871">
        <f>'Revenue Assumptions'!AQ65</f>
        <v>470</v>
      </c>
      <c r="AK290" s="871">
        <f>'Revenue Assumptions'!AR65</f>
        <v>470</v>
      </c>
      <c r="AL290" s="871">
        <f>'Revenue Assumptions'!AS65</f>
        <v>470</v>
      </c>
      <c r="AM290" s="2"/>
      <c r="AN290" s="2"/>
    </row>
    <row r="291" spans="1:40" outlineLevel="1">
      <c r="A291" s="2"/>
      <c r="B291" s="510" t="s">
        <v>1455</v>
      </c>
      <c r="C291" s="14" t="s">
        <v>732</v>
      </c>
      <c r="D291" s="2"/>
      <c r="E291" s="2"/>
      <c r="F291" s="2"/>
      <c r="G291" s="2"/>
      <c r="H291" s="2"/>
      <c r="I291" s="2"/>
      <c r="J291" s="2"/>
      <c r="K291" s="2"/>
      <c r="L291" s="2"/>
      <c r="M291" s="2"/>
      <c r="N291" s="2"/>
      <c r="O291" s="2"/>
      <c r="P291" s="2"/>
      <c r="Q291" s="2"/>
      <c r="R291" s="2"/>
      <c r="S291" s="2"/>
      <c r="T291" s="168"/>
      <c r="U291" s="2"/>
      <c r="V291" s="458"/>
      <c r="W291" s="871"/>
      <c r="X291" s="871"/>
      <c r="Y291" s="871"/>
      <c r="Z291" s="871">
        <f>'Revenue Assumptions'!AG73</f>
        <v>-1575</v>
      </c>
      <c r="AA291" s="871">
        <f>'Revenue Assumptions'!AH73</f>
        <v>-2043</v>
      </c>
      <c r="AB291" s="871">
        <f>'Revenue Assumptions'!AI73</f>
        <v>-2537</v>
      </c>
      <c r="AC291" s="871">
        <f>'Revenue Assumptions'!AJ73</f>
        <v>-2424</v>
      </c>
      <c r="AD291" s="871">
        <f>'Revenue Assumptions'!AK73</f>
        <v>-2424</v>
      </c>
      <c r="AE291" s="871">
        <f>'Revenue Assumptions'!AL73</f>
        <v>-2424</v>
      </c>
      <c r="AF291" s="871">
        <f>'Revenue Assumptions'!AM73</f>
        <v>-2424</v>
      </c>
      <c r="AG291" s="871">
        <f>'Revenue Assumptions'!AN73</f>
        <v>-2424</v>
      </c>
      <c r="AH291" s="871">
        <f>'Revenue Assumptions'!AO73</f>
        <v>-2424</v>
      </c>
      <c r="AI291" s="871">
        <f>'Revenue Assumptions'!AP73</f>
        <v>-2424</v>
      </c>
      <c r="AJ291" s="871">
        <f>'Revenue Assumptions'!AQ73</f>
        <v>-2424</v>
      </c>
      <c r="AK291" s="871">
        <f>'Revenue Assumptions'!AR73</f>
        <v>-2424</v>
      </c>
      <c r="AL291" s="871">
        <f>'Revenue Assumptions'!AS73</f>
        <v>-2424</v>
      </c>
      <c r="AM291" s="2"/>
      <c r="AN291" s="2"/>
    </row>
    <row r="292" spans="1:40" outlineLevel="1">
      <c r="A292" s="9"/>
      <c r="B292" s="9" t="s">
        <v>1079</v>
      </c>
      <c r="C292" s="48" t="s">
        <v>732</v>
      </c>
      <c r="D292" s="9"/>
      <c r="E292" s="9"/>
      <c r="F292" s="9"/>
      <c r="G292" s="9"/>
      <c r="H292" s="9"/>
      <c r="I292" s="9"/>
      <c r="J292" s="9"/>
      <c r="K292" s="9"/>
      <c r="L292" s="9"/>
      <c r="M292" s="9"/>
      <c r="N292" s="9"/>
      <c r="O292" s="9"/>
      <c r="P292" s="9"/>
      <c r="Q292" s="9"/>
      <c r="R292" s="9"/>
      <c r="S292" s="9"/>
      <c r="T292" s="875"/>
      <c r="U292" s="9"/>
      <c r="V292" s="876">
        <f t="shared" ref="V292:Y292" si="358">SUM(V285:V288, V284, V280:V281)</f>
        <v>26559</v>
      </c>
      <c r="W292" s="876">
        <f t="shared" si="358"/>
        <v>25688</v>
      </c>
      <c r="X292" s="876">
        <f t="shared" si="358"/>
        <v>23900</v>
      </c>
      <c r="Y292" s="876">
        <f t="shared" si="358"/>
        <v>22082</v>
      </c>
      <c r="Z292" s="876">
        <f>SUM(Z285:Z291, Z284, Z280:Z281)</f>
        <v>21667</v>
      </c>
      <c r="AA292" s="876">
        <f t="shared" ref="AA292:AI292" si="359">SUM(AA285:AA291, AA284, AA280:AA281)</f>
        <v>23173.009539999999</v>
      </c>
      <c r="AB292" s="876">
        <f t="shared" si="359"/>
        <v>23482</v>
      </c>
      <c r="AC292" s="876">
        <f t="shared" si="359"/>
        <v>23610</v>
      </c>
      <c r="AD292" s="876">
        <f t="shared" si="359"/>
        <v>24810.678474448981</v>
      </c>
      <c r="AE292" s="876">
        <f t="shared" si="359"/>
        <v>25477.184787169535</v>
      </c>
      <c r="AF292" s="876">
        <f t="shared" si="359"/>
        <v>26247.12399963582</v>
      </c>
      <c r="AG292" s="876">
        <f t="shared" si="359"/>
        <v>27130.707617914184</v>
      </c>
      <c r="AH292" s="876">
        <f t="shared" si="359"/>
        <v>28133.285496218694</v>
      </c>
      <c r="AI292" s="876">
        <f t="shared" si="359"/>
        <v>29263.422081484445</v>
      </c>
      <c r="AJ292" s="876">
        <f t="shared" ref="AJ292:AK292" si="360">SUM(AJ285:AJ291, AJ284, AJ280:AJ281)</f>
        <v>30533.110538832967</v>
      </c>
      <c r="AK292" s="876">
        <f t="shared" si="360"/>
        <v>31958.14878203614</v>
      </c>
      <c r="AL292" s="876">
        <f t="shared" ref="AL292" si="361">SUM(AL285:AL291, AL284, AL280:AL281)</f>
        <v>33399.319826606996</v>
      </c>
      <c r="AM292" s="9"/>
      <c r="AN292" s="9"/>
    </row>
    <row r="293" spans="1:40" outlineLevel="1">
      <c r="A293" s="2"/>
      <c r="B293" s="510" t="s">
        <v>1270</v>
      </c>
      <c r="C293" s="14" t="s">
        <v>732</v>
      </c>
      <c r="D293" s="2"/>
      <c r="E293" s="2"/>
      <c r="F293" s="2"/>
      <c r="G293" s="2"/>
      <c r="H293" s="2"/>
      <c r="I293" s="2"/>
      <c r="J293" s="2"/>
      <c r="K293" s="2"/>
      <c r="L293" s="2"/>
      <c r="M293" s="2"/>
      <c r="N293" s="2"/>
      <c r="O293" s="2"/>
      <c r="P293" s="2"/>
      <c r="Q293" s="2"/>
      <c r="R293" s="2"/>
      <c r="S293" s="2"/>
      <c r="T293" s="168"/>
      <c r="U293" s="2"/>
      <c r="V293" s="458">
        <f>'Revenue Assumptions'!AC1988</f>
        <v>2282</v>
      </c>
      <c r="W293" s="871">
        <f>'Revenue Assumptions'!AD1988</f>
        <v>2116</v>
      </c>
      <c r="X293" s="871">
        <f>'Revenue Assumptions'!AE1988</f>
        <v>2004</v>
      </c>
      <c r="Y293" s="871">
        <f>'Revenue Assumptions'!AF1988</f>
        <v>1050</v>
      </c>
      <c r="Z293" s="871">
        <f>'Revenue Assumptions'!AG1988</f>
        <v>378</v>
      </c>
      <c r="AA293" s="871">
        <f>'Revenue Assumptions'!AH1988</f>
        <v>72</v>
      </c>
      <c r="AB293" s="871">
        <f>'Revenue Assumptions'!AI1988</f>
        <v>0</v>
      </c>
      <c r="AC293" s="871">
        <f>'Revenue Assumptions'!AJ1988</f>
        <v>0</v>
      </c>
      <c r="AD293" s="871">
        <f>'Revenue Assumptions'!AK1988</f>
        <v>9.9475983006414026E-14</v>
      </c>
      <c r="AE293" s="871">
        <f>'Revenue Assumptions'!AL1988</f>
        <v>9.9475983006414026E-14</v>
      </c>
      <c r="AF293" s="871">
        <f>'Revenue Assumptions'!AM1988</f>
        <v>9.9475983006414026E-14</v>
      </c>
      <c r="AG293" s="871">
        <f>'Revenue Assumptions'!AN1988</f>
        <v>9.9475983006414026E-14</v>
      </c>
      <c r="AH293" s="871">
        <f>'Revenue Assumptions'!AO1988</f>
        <v>9.9475983006414026E-14</v>
      </c>
      <c r="AI293" s="871">
        <f>'Revenue Assumptions'!AP1988</f>
        <v>9.9475983006414026E-14</v>
      </c>
      <c r="AJ293" s="871">
        <f>'Revenue Assumptions'!AQ1988</f>
        <v>9.9475983006414026E-14</v>
      </c>
      <c r="AK293" s="871">
        <f>'Revenue Assumptions'!AR1988</f>
        <v>9.9475983006414026E-14</v>
      </c>
      <c r="AL293" s="871">
        <f>'Revenue Assumptions'!AS1988</f>
        <v>9.9475983006414026E-14</v>
      </c>
      <c r="AM293" s="2"/>
      <c r="AN293" s="2"/>
    </row>
    <row r="294" spans="1:40" outlineLevel="1">
      <c r="A294" s="2"/>
      <c r="B294" s="510" t="s">
        <v>1325</v>
      </c>
      <c r="C294" s="14" t="s">
        <v>732</v>
      </c>
      <c r="D294" s="2"/>
      <c r="E294" s="2"/>
      <c r="F294" s="2"/>
      <c r="G294" s="2"/>
      <c r="H294" s="2"/>
      <c r="I294" s="2"/>
      <c r="J294" s="2"/>
      <c r="K294" s="2"/>
      <c r="L294" s="2"/>
      <c r="M294" s="2"/>
      <c r="N294" s="2"/>
      <c r="O294" s="2"/>
      <c r="P294" s="2"/>
      <c r="Q294" s="2"/>
      <c r="R294" s="2"/>
      <c r="S294" s="2"/>
      <c r="T294" s="168"/>
      <c r="U294" s="2"/>
      <c r="V294" s="8"/>
      <c r="W294" s="874">
        <f>+'Revenue Assumptions'!AD460</f>
        <v>3</v>
      </c>
      <c r="X294" s="874">
        <f>+'Revenue Assumptions'!AE460</f>
        <v>33</v>
      </c>
      <c r="Y294" s="874">
        <f>+'Revenue Assumptions'!AF460</f>
        <v>0</v>
      </c>
      <c r="Z294" s="874">
        <f>+'Revenue Assumptions'!AG460</f>
        <v>0</v>
      </c>
      <c r="AA294" s="874">
        <f>+'Revenue Assumptions'!AH460</f>
        <v>0</v>
      </c>
      <c r="AB294" s="874">
        <f>+'Revenue Assumptions'!AI460</f>
        <v>0</v>
      </c>
      <c r="AC294" s="874">
        <f>+'Revenue Assumptions'!AJ460</f>
        <v>0</v>
      </c>
      <c r="AD294" s="874">
        <f>+'Revenue Assumptions'!AK460</f>
        <v>0</v>
      </c>
      <c r="AE294" s="874">
        <f>+'Revenue Assumptions'!AL460</f>
        <v>0</v>
      </c>
      <c r="AF294" s="874">
        <f>+'Revenue Assumptions'!AM460</f>
        <v>0</v>
      </c>
      <c r="AG294" s="874">
        <f>+'Revenue Assumptions'!AN460</f>
        <v>0</v>
      </c>
      <c r="AH294" s="874">
        <f>+'Revenue Assumptions'!AO460</f>
        <v>0</v>
      </c>
      <c r="AI294" s="874">
        <f>+'Revenue Assumptions'!AP460</f>
        <v>0</v>
      </c>
      <c r="AJ294" s="874">
        <f>+'Revenue Assumptions'!AQ460</f>
        <v>0</v>
      </c>
      <c r="AK294" s="874">
        <f>+'Revenue Assumptions'!AR460</f>
        <v>0</v>
      </c>
      <c r="AL294" s="874">
        <f>+'Revenue Assumptions'!AS460</f>
        <v>0</v>
      </c>
      <c r="AM294" s="2"/>
      <c r="AN294" s="2"/>
    </row>
    <row r="295" spans="1:40" outlineLevel="1">
      <c r="A295" s="9"/>
      <c r="B295" s="9" t="s">
        <v>815</v>
      </c>
      <c r="C295" s="48" t="s">
        <v>732</v>
      </c>
      <c r="D295" s="9"/>
      <c r="E295" s="9"/>
      <c r="F295" s="9"/>
      <c r="G295" s="9"/>
      <c r="H295" s="9"/>
      <c r="I295" s="9"/>
      <c r="J295" s="9"/>
      <c r="K295" s="9"/>
      <c r="L295" s="9"/>
      <c r="M295" s="9"/>
      <c r="N295" s="9"/>
      <c r="O295" s="9"/>
      <c r="P295" s="9"/>
      <c r="Q295" s="9"/>
      <c r="R295" s="9"/>
      <c r="S295" s="9"/>
      <c r="T295" s="875"/>
      <c r="U295" s="9"/>
      <c r="V295" s="305">
        <f>SUM(V292:V294)</f>
        <v>28841</v>
      </c>
      <c r="W295" s="305">
        <f>SUM(W292:W294)</f>
        <v>27807</v>
      </c>
      <c r="X295" s="305">
        <f>SUM(X292:X294)</f>
        <v>25937</v>
      </c>
      <c r="Y295" s="305">
        <f t="shared" ref="Y295:AH295" si="362">SUM(Y292:Y294)</f>
        <v>23132</v>
      </c>
      <c r="Z295" s="305">
        <f>SUM(Z292:Z294)</f>
        <v>22045</v>
      </c>
      <c r="AA295" s="305">
        <f t="shared" si="362"/>
        <v>23245.009539999999</v>
      </c>
      <c r="AB295" s="305">
        <f t="shared" si="362"/>
        <v>23482</v>
      </c>
      <c r="AC295" s="305">
        <f t="shared" si="362"/>
        <v>23610</v>
      </c>
      <c r="AD295" s="305">
        <f t="shared" si="362"/>
        <v>24810.678474448981</v>
      </c>
      <c r="AE295" s="305">
        <f t="shared" si="362"/>
        <v>25477.184787169535</v>
      </c>
      <c r="AF295" s="305">
        <f t="shared" si="362"/>
        <v>26247.12399963582</v>
      </c>
      <c r="AG295" s="305">
        <f t="shared" si="362"/>
        <v>27130.707617914184</v>
      </c>
      <c r="AH295" s="305">
        <f t="shared" si="362"/>
        <v>28133.285496218694</v>
      </c>
      <c r="AI295" s="305">
        <f>SUM(AI292:AI294)</f>
        <v>29263.422081484445</v>
      </c>
      <c r="AJ295" s="305">
        <f t="shared" ref="AJ295:AK295" si="363">SUM(AJ292:AJ294)</f>
        <v>30533.110538832967</v>
      </c>
      <c r="AK295" s="305">
        <f t="shared" si="363"/>
        <v>31958.14878203614</v>
      </c>
      <c r="AL295" s="305">
        <f t="shared" ref="AL295" si="364">SUM(AL292:AL294)</f>
        <v>33399.319826606996</v>
      </c>
      <c r="AM295" s="9"/>
      <c r="AN295" s="9"/>
    </row>
    <row r="296" spans="1:40" outlineLevel="1">
      <c r="A296" s="2"/>
      <c r="B296" s="2"/>
      <c r="C296" s="18"/>
      <c r="D296" s="2"/>
      <c r="E296" s="2"/>
      <c r="F296" s="2"/>
      <c r="G296" s="2"/>
      <c r="H296" s="2"/>
      <c r="I296" s="2"/>
      <c r="J296" s="2"/>
      <c r="K296" s="2"/>
      <c r="L296" s="2"/>
      <c r="M296" s="2"/>
      <c r="N296" s="2"/>
      <c r="O296" s="2"/>
      <c r="P296" s="2"/>
      <c r="Q296" s="2"/>
      <c r="R296" s="2"/>
      <c r="S296" s="2"/>
      <c r="T296" s="168"/>
      <c r="U296" s="2"/>
      <c r="V296" s="2"/>
      <c r="W296" s="2"/>
      <c r="X296" s="2"/>
      <c r="Y296" s="2"/>
      <c r="Z296" s="2"/>
      <c r="AA296" s="2"/>
      <c r="AB296" s="2"/>
      <c r="AC296" s="2"/>
      <c r="AD296" s="2"/>
      <c r="AE296" s="2"/>
      <c r="AF296" s="2"/>
      <c r="AG296" s="2"/>
      <c r="AH296" s="2"/>
      <c r="AI296" s="2"/>
      <c r="AJ296" s="2"/>
      <c r="AK296" s="2"/>
      <c r="AL296" s="2"/>
      <c r="AM296" s="2"/>
      <c r="AN296" s="2"/>
    </row>
    <row r="297" spans="1:40" outlineLevel="1">
      <c r="A297" s="2"/>
      <c r="B297" s="2"/>
      <c r="C297" s="18"/>
      <c r="D297" s="2"/>
      <c r="E297" s="2"/>
      <c r="F297" s="2"/>
      <c r="G297" s="2"/>
      <c r="H297" s="2"/>
      <c r="I297" s="2"/>
      <c r="J297" s="2"/>
      <c r="K297" s="2"/>
      <c r="L297" s="2"/>
      <c r="M297" s="2"/>
      <c r="N297" s="2"/>
      <c r="O297" s="2"/>
      <c r="P297" s="2"/>
      <c r="Q297" s="2"/>
      <c r="R297" s="2"/>
      <c r="S297" s="2"/>
      <c r="T297" s="168"/>
      <c r="U297" s="2"/>
      <c r="V297" s="2"/>
      <c r="W297" s="2"/>
      <c r="X297" s="2"/>
      <c r="Y297" s="2"/>
      <c r="Z297" s="2"/>
      <c r="AA297" s="2"/>
      <c r="AB297" s="1166"/>
      <c r="AC297" s="1166"/>
      <c r="AD297" s="1166"/>
      <c r="AE297" s="2"/>
      <c r="AF297" s="2"/>
      <c r="AG297" s="2"/>
      <c r="AH297" s="2"/>
      <c r="AI297" s="2"/>
      <c r="AJ297" s="2"/>
      <c r="AK297" s="2"/>
      <c r="AL297" s="2"/>
      <c r="AM297" s="2"/>
      <c r="AN297" s="2"/>
    </row>
    <row r="298" spans="1:40" ht="15.6" outlineLevel="1">
      <c r="A298" s="2"/>
      <c r="B298" s="237" t="s">
        <v>1172</v>
      </c>
      <c r="C298" s="238"/>
      <c r="D298" s="239"/>
      <c r="E298" s="239"/>
      <c r="F298" s="239"/>
      <c r="G298" s="239"/>
      <c r="H298" s="239"/>
      <c r="I298" s="239"/>
      <c r="J298" s="239"/>
      <c r="K298" s="239"/>
      <c r="L298" s="239"/>
      <c r="M298" s="239"/>
      <c r="N298" s="239"/>
      <c r="O298" s="239"/>
      <c r="P298" s="239"/>
      <c r="Q298" s="239"/>
      <c r="R298" s="239"/>
      <c r="S298" s="239"/>
      <c r="T298" s="239"/>
      <c r="U298" s="239"/>
      <c r="V298" s="239"/>
      <c r="W298" s="239"/>
      <c r="X298" s="239"/>
      <c r="Y298" s="239"/>
      <c r="Z298" s="239"/>
      <c r="AA298" s="239"/>
      <c r="AB298" s="239"/>
      <c r="AC298" s="239"/>
      <c r="AD298" s="239"/>
      <c r="AE298" s="239"/>
      <c r="AF298" s="239"/>
      <c r="AG298" s="239"/>
      <c r="AH298" s="270"/>
      <c r="AI298" s="240"/>
      <c r="AJ298" s="240"/>
      <c r="AK298" s="240"/>
      <c r="AL298" s="240"/>
      <c r="AM298" s="2"/>
      <c r="AN298" s="2"/>
    </row>
    <row r="299" spans="1:40" outlineLevel="1">
      <c r="A299" s="2"/>
      <c r="B299" s="2"/>
      <c r="C299" s="18"/>
      <c r="D299" s="2"/>
      <c r="E299" s="2"/>
      <c r="F299" s="2"/>
      <c r="G299" s="2"/>
      <c r="H299" s="2"/>
      <c r="I299" s="2"/>
      <c r="J299" s="2"/>
      <c r="K299" s="2"/>
      <c r="L299" s="2"/>
      <c r="M299" s="2"/>
      <c r="N299" s="2"/>
      <c r="O299" s="2"/>
      <c r="P299" s="2"/>
      <c r="Q299" s="2"/>
      <c r="R299" s="2"/>
      <c r="S299" s="2"/>
      <c r="T299" s="168"/>
      <c r="U299" s="2"/>
      <c r="V299" s="2"/>
      <c r="W299" s="2"/>
      <c r="X299" s="2"/>
      <c r="Y299" s="2"/>
      <c r="Z299" s="2"/>
      <c r="AA299" s="2"/>
      <c r="AB299" s="2"/>
      <c r="AC299" s="2"/>
      <c r="AD299" s="2"/>
      <c r="AE299" s="2"/>
      <c r="AF299" s="2"/>
      <c r="AG299" s="2"/>
      <c r="AH299" s="2"/>
      <c r="AI299" s="2"/>
      <c r="AJ299" s="2"/>
      <c r="AK299" s="2"/>
      <c r="AL299" s="2"/>
      <c r="AM299" s="2"/>
      <c r="AN299" s="2"/>
    </row>
    <row r="300" spans="1:40" outlineLevel="1">
      <c r="A300" s="2"/>
      <c r="B300" s="164" t="s">
        <v>266</v>
      </c>
      <c r="C300" s="14" t="s">
        <v>733</v>
      </c>
      <c r="D300" s="2"/>
      <c r="E300" s="2"/>
      <c r="F300" s="2"/>
      <c r="G300" s="2"/>
      <c r="H300" s="2"/>
      <c r="I300" s="2"/>
      <c r="J300" s="2"/>
      <c r="K300" s="2"/>
      <c r="L300" s="2"/>
      <c r="M300" s="2"/>
      <c r="N300" s="2"/>
      <c r="O300" s="2"/>
      <c r="P300" s="2"/>
      <c r="Q300" s="2"/>
      <c r="R300" s="2"/>
      <c r="S300" s="2"/>
      <c r="T300" s="168"/>
      <c r="U300" s="2"/>
      <c r="V300" s="2"/>
      <c r="W300" s="366"/>
      <c r="X300" s="366">
        <f t="shared" ref="X300:AL300" si="365">IFERROR(X29/W29-1,"")</f>
        <v>-7.4527548575991531E-2</v>
      </c>
      <c r="Y300" s="366">
        <f t="shared" si="365"/>
        <v>4.8892723612309563E-2</v>
      </c>
      <c r="Z300" s="366">
        <f t="shared" si="365"/>
        <v>9.158212229229501E-2</v>
      </c>
      <c r="AA300" s="366">
        <f t="shared" si="365"/>
        <v>0.15599095704596833</v>
      </c>
      <c r="AB300" s="366">
        <f t="shared" si="365"/>
        <v>9.2133854845719343E-2</v>
      </c>
      <c r="AC300" s="366">
        <f t="shared" si="365"/>
        <v>4.6756864305610879E-2</v>
      </c>
      <c r="AD300" s="366">
        <f t="shared" si="365"/>
        <v>4.6717139261251761E-2</v>
      </c>
      <c r="AE300" s="366">
        <f t="shared" si="365"/>
        <v>4.550477277496312E-2</v>
      </c>
      <c r="AF300" s="366">
        <f t="shared" si="365"/>
        <v>4.6550628199936162E-2</v>
      </c>
      <c r="AG300" s="366">
        <f t="shared" si="365"/>
        <v>4.7625396154019395E-2</v>
      </c>
      <c r="AH300" s="366">
        <f t="shared" si="365"/>
        <v>4.871471603914701E-2</v>
      </c>
      <c r="AI300" s="366">
        <f t="shared" si="365"/>
        <v>4.9821566384699478E-2</v>
      </c>
      <c r="AJ300" s="366">
        <f t="shared" si="365"/>
        <v>5.0948815299605599E-2</v>
      </c>
      <c r="AK300" s="366">
        <f t="shared" si="365"/>
        <v>5.209920168503257E-2</v>
      </c>
      <c r="AL300" s="366">
        <f t="shared" si="365"/>
        <v>5.3275315528987122E-2</v>
      </c>
      <c r="AM300" s="2"/>
      <c r="AN300" s="8"/>
    </row>
    <row r="301" spans="1:40" outlineLevel="1">
      <c r="A301" s="2"/>
      <c r="B301" s="510" t="s">
        <v>1250</v>
      </c>
      <c r="C301" s="18" t="s">
        <v>733</v>
      </c>
      <c r="D301" s="2"/>
      <c r="E301" s="2"/>
      <c r="F301" s="2"/>
      <c r="G301" s="2"/>
      <c r="H301" s="2"/>
      <c r="I301" s="2"/>
      <c r="J301" s="2"/>
      <c r="K301" s="2"/>
      <c r="L301" s="2"/>
      <c r="M301" s="2"/>
      <c r="N301" s="2"/>
      <c r="O301" s="2"/>
      <c r="P301" s="2"/>
      <c r="Q301" s="2"/>
      <c r="R301" s="2"/>
      <c r="S301" s="2"/>
      <c r="T301" s="168"/>
      <c r="U301" s="2"/>
      <c r="V301" s="2"/>
      <c r="W301" s="366"/>
      <c r="X301" s="366">
        <f t="shared" ref="X301:AL301" si="366">IFERROR(X30/W30-1,"")</f>
        <v>-0.45375722543352603</v>
      </c>
      <c r="Y301" s="366">
        <f t="shared" si="366"/>
        <v>-0.5185185185185186</v>
      </c>
      <c r="Z301" s="366">
        <f t="shared" si="366"/>
        <v>-0.79853479853479858</v>
      </c>
      <c r="AA301" s="366">
        <f t="shared" si="366"/>
        <v>1.4545454545454546</v>
      </c>
      <c r="AB301" s="366">
        <f t="shared" si="366"/>
        <v>0.88148148148148153</v>
      </c>
      <c r="AC301" s="366">
        <f t="shared" si="366"/>
        <v>0.42913385826771644</v>
      </c>
      <c r="AD301" s="366">
        <f t="shared" si="366"/>
        <v>2.4740567910365163E-2</v>
      </c>
      <c r="AE301" s="366">
        <f t="shared" si="366"/>
        <v>1.425718268451992E-2</v>
      </c>
      <c r="AF301" s="366">
        <f t="shared" si="366"/>
        <v>2.2285046662548602E-2</v>
      </c>
      <c r="AG301" s="366">
        <f t="shared" si="366"/>
        <v>3.0379612500971875E-2</v>
      </c>
      <c r="AH301" s="366">
        <f t="shared" si="366"/>
        <v>3.8702458636451276E-2</v>
      </c>
      <c r="AI301" s="366">
        <f t="shared" si="366"/>
        <v>4.7401044592123132E-2</v>
      </c>
      <c r="AJ301" s="366">
        <f t="shared" si="366"/>
        <v>5.6597839822697171E-2</v>
      </c>
      <c r="AK301" s="366">
        <f t="shared" si="366"/>
        <v>6.6379654025216395E-2</v>
      </c>
      <c r="AL301" s="366">
        <f t="shared" si="366"/>
        <v>4.8718479865020425E-2</v>
      </c>
      <c r="AM301" s="2"/>
      <c r="AN301" s="8"/>
    </row>
    <row r="302" spans="1:40" outlineLevel="1">
      <c r="A302" s="2"/>
      <c r="B302" s="872" t="s">
        <v>1322</v>
      </c>
      <c r="C302" s="18" t="s">
        <v>733</v>
      </c>
      <c r="D302" s="2"/>
      <c r="E302" s="2"/>
      <c r="F302" s="2"/>
      <c r="G302" s="2"/>
      <c r="H302" s="2"/>
      <c r="I302" s="2"/>
      <c r="J302" s="2"/>
      <c r="K302" s="2"/>
      <c r="L302" s="2"/>
      <c r="M302" s="2"/>
      <c r="N302" s="2"/>
      <c r="O302" s="2"/>
      <c r="P302" s="2"/>
      <c r="Q302" s="2"/>
      <c r="R302" s="2"/>
      <c r="S302" s="2"/>
      <c r="T302" s="168"/>
      <c r="U302" s="2"/>
      <c r="V302" s="2"/>
      <c r="W302" s="366"/>
      <c r="X302" s="366">
        <f t="shared" ref="X302:AL302" si="367">IFERROR(X31/W31-1,"")</f>
        <v>-7.2176949941792801E-2</v>
      </c>
      <c r="Y302" s="366">
        <f t="shared" si="367"/>
        <v>-0.16813048933500629</v>
      </c>
      <c r="Z302" s="366">
        <f t="shared" si="367"/>
        <v>-0.47209653092006032</v>
      </c>
      <c r="AA302" s="366">
        <f t="shared" si="367"/>
        <v>-0.71142857142857141</v>
      </c>
      <c r="AB302" s="366">
        <f t="shared" si="367"/>
        <v>-5.9405940594059459E-2</v>
      </c>
      <c r="AC302" s="366">
        <f t="shared" si="367"/>
        <v>-9.4736842105263119E-2</v>
      </c>
      <c r="AD302" s="366">
        <f t="shared" si="367"/>
        <v>-0.53047594897009986</v>
      </c>
      <c r="AE302" s="366">
        <f t="shared" si="367"/>
        <v>-9.6103896103896136E-2</v>
      </c>
      <c r="AF302" s="366">
        <f t="shared" si="367"/>
        <v>-9.6103896103896025E-2</v>
      </c>
      <c r="AG302" s="366">
        <f t="shared" si="367"/>
        <v>-9.6103896103896247E-2</v>
      </c>
      <c r="AH302" s="366">
        <f t="shared" si="367"/>
        <v>-9.6103896103895914E-2</v>
      </c>
      <c r="AI302" s="366">
        <f t="shared" si="367"/>
        <v>-9.6103896103896025E-2</v>
      </c>
      <c r="AJ302" s="366">
        <f t="shared" si="367"/>
        <v>-9.6103896103896469E-2</v>
      </c>
      <c r="AK302" s="366">
        <f t="shared" si="367"/>
        <v>-9.6103896103896025E-2</v>
      </c>
      <c r="AL302" s="366">
        <f t="shared" si="367"/>
        <v>-9.6103896103896025E-2</v>
      </c>
      <c r="AM302" s="2"/>
      <c r="AN302" s="8"/>
    </row>
    <row r="303" spans="1:40" outlineLevel="1">
      <c r="A303" s="2"/>
      <c r="B303" s="872" t="s">
        <v>1323</v>
      </c>
      <c r="C303" s="18" t="s">
        <v>733</v>
      </c>
      <c r="D303" s="2"/>
      <c r="E303" s="2"/>
      <c r="F303" s="2"/>
      <c r="G303" s="2"/>
      <c r="H303" s="2"/>
      <c r="I303" s="2"/>
      <c r="J303" s="2"/>
      <c r="K303" s="2"/>
      <c r="L303" s="2"/>
      <c r="M303" s="2"/>
      <c r="N303" s="2"/>
      <c r="O303" s="2"/>
      <c r="P303" s="2"/>
      <c r="Q303" s="2"/>
      <c r="R303" s="2"/>
      <c r="S303" s="2"/>
      <c r="T303" s="168"/>
      <c r="U303" s="2"/>
      <c r="V303" s="2"/>
      <c r="W303" s="366"/>
      <c r="X303" s="366">
        <f t="shared" ref="X303:AL303" si="368">IFERROR(X32/W32-1,"")</f>
        <v>-3.5616438356164348E-2</v>
      </c>
      <c r="Y303" s="366">
        <f t="shared" si="368"/>
        <v>-0.36363636363636365</v>
      </c>
      <c r="Z303" s="366">
        <f t="shared" si="368"/>
        <v>0.3839285714285714</v>
      </c>
      <c r="AA303" s="366">
        <f t="shared" si="368"/>
        <v>0</v>
      </c>
      <c r="AB303" s="366">
        <f t="shared" si="368"/>
        <v>-0.86774193548387091</v>
      </c>
      <c r="AC303" s="366">
        <f t="shared" si="368"/>
        <v>2.7317073170731709</v>
      </c>
      <c r="AD303" s="366">
        <f t="shared" si="368"/>
        <v>-0.17220371564302273</v>
      </c>
      <c r="AE303" s="366">
        <f t="shared" si="368"/>
        <v>2.0071176170602723E-2</v>
      </c>
      <c r="AF303" s="366">
        <f t="shared" si="368"/>
        <v>2.7422463839259725E-2</v>
      </c>
      <c r="AG303" s="366">
        <f t="shared" si="368"/>
        <v>3.324931101260864E-2</v>
      </c>
      <c r="AH303" s="366">
        <f t="shared" si="368"/>
        <v>3.7871426911133321E-2</v>
      </c>
      <c r="AI303" s="366">
        <f t="shared" si="368"/>
        <v>4.155689145518382E-2</v>
      </c>
      <c r="AJ303" s="366">
        <f t="shared" si="368"/>
        <v>4.4521428213052383E-2</v>
      </c>
      <c r="AK303" s="366">
        <f t="shared" si="368"/>
        <v>4.6933847273952445E-2</v>
      </c>
      <c r="AL303" s="366">
        <f t="shared" si="368"/>
        <v>4.8923774099096207E-2</v>
      </c>
      <c r="AM303" s="2"/>
      <c r="AN303" s="8"/>
    </row>
    <row r="304" spans="1:40" outlineLevel="1">
      <c r="A304" s="2"/>
      <c r="B304" s="8" t="s">
        <v>1324</v>
      </c>
      <c r="C304" s="18" t="s">
        <v>733</v>
      </c>
      <c r="D304" s="2"/>
      <c r="E304" s="2"/>
      <c r="F304" s="2"/>
      <c r="G304" s="2"/>
      <c r="H304" s="2"/>
      <c r="I304" s="2"/>
      <c r="J304" s="2"/>
      <c r="K304" s="2"/>
      <c r="L304" s="2"/>
      <c r="M304" s="2"/>
      <c r="N304" s="2"/>
      <c r="O304" s="2"/>
      <c r="P304" s="2"/>
      <c r="Q304" s="2"/>
      <c r="R304" s="2"/>
      <c r="S304" s="2"/>
      <c r="T304" s="168"/>
      <c r="U304" s="2"/>
      <c r="V304" s="2"/>
      <c r="W304" s="366"/>
      <c r="X304" s="366">
        <f t="shared" ref="X304:AL304" si="369">IFERROR(X33/W33-1,"")</f>
        <v>-6.1274509803921573E-2</v>
      </c>
      <c r="Y304" s="366">
        <f t="shared" si="369"/>
        <v>-0.22802436901653611</v>
      </c>
      <c r="Z304" s="366">
        <f t="shared" si="369"/>
        <v>-0.25591882750845552</v>
      </c>
      <c r="AA304" s="366">
        <f t="shared" si="369"/>
        <v>-0.37727272727272732</v>
      </c>
      <c r="AB304" s="366">
        <f t="shared" si="369"/>
        <v>-0.66909975669099753</v>
      </c>
      <c r="AC304" s="366">
        <f t="shared" si="369"/>
        <v>0.75735294117647056</v>
      </c>
      <c r="AD304" s="366">
        <f t="shared" si="369"/>
        <v>-0.3011217577607157</v>
      </c>
      <c r="AE304" s="366">
        <f t="shared" si="369"/>
        <v>-8.0135261608849095E-3</v>
      </c>
      <c r="AF304" s="366">
        <f t="shared" si="369"/>
        <v>2.1241747748090845E-4</v>
      </c>
      <c r="AG304" s="366">
        <f t="shared" si="369"/>
        <v>7.4995554202677006E-3</v>
      </c>
      <c r="AH304" s="366">
        <f t="shared" si="369"/>
        <v>1.3944089466811249E-2</v>
      </c>
      <c r="AI304" s="366">
        <f t="shared" si="369"/>
        <v>1.9639729443430065E-2</v>
      </c>
      <c r="AJ304" s="366">
        <f t="shared" si="369"/>
        <v>2.4673765521725066E-2</v>
      </c>
      <c r="AK304" s="366">
        <f t="shared" si="369"/>
        <v>2.9125263622399533E-2</v>
      </c>
      <c r="AL304" s="366">
        <f t="shared" si="369"/>
        <v>3.3064625231342237E-2</v>
      </c>
      <c r="AM304" s="2"/>
      <c r="AN304" s="2"/>
    </row>
    <row r="305" spans="1:40" outlineLevel="1">
      <c r="A305" s="2"/>
      <c r="B305" s="510" t="s">
        <v>1321</v>
      </c>
      <c r="C305" s="18" t="s">
        <v>733</v>
      </c>
      <c r="D305" s="2"/>
      <c r="E305" s="2"/>
      <c r="F305" s="2"/>
      <c r="G305" s="2"/>
      <c r="H305" s="2"/>
      <c r="I305" s="2"/>
      <c r="J305" s="2"/>
      <c r="K305" s="2"/>
      <c r="L305" s="2"/>
      <c r="M305" s="2"/>
      <c r="N305" s="2"/>
      <c r="O305" s="2"/>
      <c r="P305" s="2"/>
      <c r="Q305" s="2"/>
      <c r="R305" s="2"/>
      <c r="S305" s="2"/>
      <c r="T305" s="168"/>
      <c r="U305" s="2"/>
      <c r="V305" s="2"/>
      <c r="W305" s="366"/>
      <c r="X305" s="366">
        <f t="shared" ref="X305:AL305" si="370">IFERROR(X34/W34-1,"")</f>
        <v>-0.24431339511373207</v>
      </c>
      <c r="Y305" s="366">
        <f t="shared" si="370"/>
        <v>-0.30769230769230771</v>
      </c>
      <c r="Z305" s="366">
        <f t="shared" si="370"/>
        <v>-0.7439613526570048</v>
      </c>
      <c r="AA305" s="366">
        <f t="shared" si="370"/>
        <v>-0.26415094339622647</v>
      </c>
      <c r="AB305" s="366">
        <f t="shared" si="370"/>
        <v>-0.19658119658119655</v>
      </c>
      <c r="AC305" s="366">
        <f t="shared" si="370"/>
        <v>-0.12765957446808507</v>
      </c>
      <c r="AD305" s="366">
        <f t="shared" si="370"/>
        <v>-0.1671516790344062</v>
      </c>
      <c r="AE305" s="366">
        <f t="shared" si="370"/>
        <v>-6.8476637704036891E-3</v>
      </c>
      <c r="AF305" s="366">
        <f t="shared" si="370"/>
        <v>9.3314834601621044E-3</v>
      </c>
      <c r="AG305" s="366">
        <f t="shared" si="370"/>
        <v>2.6552756656801124E-2</v>
      </c>
      <c r="AH305" s="366">
        <f t="shared" si="370"/>
        <v>4.4286870034315085E-2</v>
      </c>
      <c r="AI305" s="366">
        <f t="shared" si="370"/>
        <v>6.1937804702373311E-2</v>
      </c>
      <c r="AJ305" s="366">
        <f t="shared" si="370"/>
        <v>7.8920558985950517E-2</v>
      </c>
      <c r="AK305" s="366">
        <f t="shared" si="370"/>
        <v>9.4735912116611143E-2</v>
      </c>
      <c r="AL305" s="366">
        <f t="shared" si="370"/>
        <v>0.10902285727379701</v>
      </c>
      <c r="AM305" s="2"/>
      <c r="AN305" s="2"/>
    </row>
    <row r="306" spans="1:40" outlineLevel="1">
      <c r="A306" s="2"/>
      <c r="B306" s="510" t="s">
        <v>42</v>
      </c>
      <c r="C306" s="18" t="s">
        <v>733</v>
      </c>
      <c r="D306" s="2"/>
      <c r="E306" s="2"/>
      <c r="F306" s="2"/>
      <c r="G306" s="2"/>
      <c r="H306" s="2"/>
      <c r="I306" s="2"/>
      <c r="J306" s="2"/>
      <c r="K306" s="2"/>
      <c r="L306" s="2"/>
      <c r="M306" s="2"/>
      <c r="N306" s="2"/>
      <c r="O306" s="2"/>
      <c r="P306" s="2"/>
      <c r="Q306" s="2"/>
      <c r="R306" s="2"/>
      <c r="S306" s="2"/>
      <c r="T306" s="168"/>
      <c r="U306" s="2"/>
      <c r="V306" s="2"/>
      <c r="W306" s="366"/>
      <c r="X306" s="366">
        <f t="shared" ref="X306:AL306" si="371">IFERROR(X35/W35-1,"")</f>
        <v>0.39114391143911442</v>
      </c>
      <c r="Y306" s="366">
        <f t="shared" si="371"/>
        <v>-0.10875331564986734</v>
      </c>
      <c r="Z306" s="366">
        <f t="shared" si="371"/>
        <v>0.15178571428571419</v>
      </c>
      <c r="AA306" s="366">
        <f t="shared" si="371"/>
        <v>0.84237726098191223</v>
      </c>
      <c r="AB306" s="366">
        <f t="shared" si="371"/>
        <v>8.5553997194950826E-2</v>
      </c>
      <c r="AC306" s="366">
        <f t="shared" si="371"/>
        <v>-0.12403100775193798</v>
      </c>
      <c r="AD306" s="366">
        <f t="shared" si="371"/>
        <v>2.0604690860566599E-2</v>
      </c>
      <c r="AE306" s="366">
        <f t="shared" si="371"/>
        <v>2.0827406718899377E-2</v>
      </c>
      <c r="AF306" s="366">
        <f t="shared" si="371"/>
        <v>1.7938493699717784E-2</v>
      </c>
      <c r="AG306" s="366">
        <f t="shared" si="371"/>
        <v>1.8066518481639093E-2</v>
      </c>
      <c r="AH306" s="366">
        <f t="shared" si="371"/>
        <v>1.8193600854701675E-2</v>
      </c>
      <c r="AI306" s="366">
        <f t="shared" si="371"/>
        <v>1.8319725213792104E-2</v>
      </c>
      <c r="AJ306" s="366">
        <f t="shared" si="371"/>
        <v>1.8444876746385619E-2</v>
      </c>
      <c r="AK306" s="366">
        <f t="shared" si="371"/>
        <v>1.8569041431046207E-2</v>
      </c>
      <c r="AL306" s="366">
        <f t="shared" si="371"/>
        <v>1.8569041431046207E-2</v>
      </c>
      <c r="AM306" s="2"/>
      <c r="AN306" s="2"/>
    </row>
    <row r="307" spans="1:40" outlineLevel="1">
      <c r="A307" s="2"/>
      <c r="B307" s="510" t="s">
        <v>1071</v>
      </c>
      <c r="C307" s="18" t="s">
        <v>733</v>
      </c>
      <c r="D307" s="2"/>
      <c r="E307" s="2"/>
      <c r="F307" s="2"/>
      <c r="G307" s="2"/>
      <c r="H307" s="2"/>
      <c r="I307" s="2"/>
      <c r="J307" s="2"/>
      <c r="K307" s="2"/>
      <c r="L307" s="2"/>
      <c r="M307" s="2"/>
      <c r="N307" s="2"/>
      <c r="O307" s="2"/>
      <c r="P307" s="2"/>
      <c r="Q307" s="2"/>
      <c r="R307" s="2"/>
      <c r="S307" s="2"/>
      <c r="T307" s="168"/>
      <c r="U307" s="2"/>
      <c r="V307" s="2"/>
      <c r="W307" s="366"/>
      <c r="X307" s="366">
        <f t="shared" ref="X307:AL307" si="372">IFERROR(X36/W36-1,"")</f>
        <v>0.12175102599179199</v>
      </c>
      <c r="Y307" s="366">
        <f t="shared" si="372"/>
        <v>4.8780487804878092E-2</v>
      </c>
      <c r="Z307" s="366">
        <f t="shared" si="372"/>
        <v>0.92441860465116288</v>
      </c>
      <c r="AA307" s="366">
        <f t="shared" si="372"/>
        <v>4.8338368580060909E-3</v>
      </c>
      <c r="AB307" s="366">
        <f t="shared" si="372"/>
        <v>5.7726999398677092E-2</v>
      </c>
      <c r="AC307" s="366">
        <f t="shared" si="372"/>
        <v>3.0699260943717999E-2</v>
      </c>
      <c r="AD307" s="366">
        <f t="shared" si="372"/>
        <v>1.221033210332112E-2</v>
      </c>
      <c r="AE307" s="366">
        <f t="shared" si="372"/>
        <v>1.2413664881575137E-2</v>
      </c>
      <c r="AF307" s="366">
        <f t="shared" si="372"/>
        <v>1.262929894325171E-2</v>
      </c>
      <c r="AG307" s="366">
        <f t="shared" si="372"/>
        <v>1.2845942661469545E-2</v>
      </c>
      <c r="AH307" s="366">
        <f t="shared" si="372"/>
        <v>1.3063507868279922E-2</v>
      </c>
      <c r="AI307" s="366">
        <f t="shared" si="372"/>
        <v>1.3281904835997782E-2</v>
      </c>
      <c r="AJ307" s="366">
        <f t="shared" si="372"/>
        <v>1.3501042420462683E-2</v>
      </c>
      <c r="AK307" s="366">
        <f t="shared" si="372"/>
        <v>1.3720828209377478E-2</v>
      </c>
      <c r="AL307" s="366">
        <f t="shared" si="372"/>
        <v>1.394116867522821E-2</v>
      </c>
      <c r="AM307" s="2"/>
      <c r="AN307" s="2"/>
    </row>
    <row r="308" spans="1:40" outlineLevel="1">
      <c r="A308" s="2"/>
      <c r="B308" s="510" t="s">
        <v>1269</v>
      </c>
      <c r="C308" s="18" t="s">
        <v>733</v>
      </c>
      <c r="D308" s="2"/>
      <c r="E308" s="2"/>
      <c r="F308" s="2"/>
      <c r="G308" s="2"/>
      <c r="H308" s="2"/>
      <c r="I308" s="2"/>
      <c r="J308" s="2"/>
      <c r="K308" s="2"/>
      <c r="L308" s="2"/>
      <c r="M308" s="2"/>
      <c r="N308" s="2"/>
      <c r="O308" s="2"/>
      <c r="P308" s="2"/>
      <c r="Q308" s="2"/>
      <c r="R308" s="2"/>
      <c r="S308" s="2"/>
      <c r="T308" s="168"/>
      <c r="U308" s="2"/>
      <c r="V308" s="2"/>
      <c r="W308" s="366"/>
      <c r="X308" s="366">
        <f t="shared" ref="X308:AL308" si="373">IFERROR(X38/W38-1,"")</f>
        <v>-25.4</v>
      </c>
      <c r="Y308" s="366">
        <f t="shared" si="373"/>
        <v>-0.46721311475409832</v>
      </c>
      <c r="Z308" s="366">
        <f t="shared" si="373"/>
        <v>-7.6923076923076872E-2</v>
      </c>
      <c r="AA308" s="366">
        <f t="shared" si="373"/>
        <v>-1.1499999999999999</v>
      </c>
      <c r="AB308" s="366">
        <f t="shared" si="373"/>
        <v>17.777777777777779</v>
      </c>
      <c r="AC308" s="366">
        <f t="shared" si="373"/>
        <v>0.16568047337278102</v>
      </c>
      <c r="AD308" s="366">
        <f t="shared" si="373"/>
        <v>2.000000000000024E-2</v>
      </c>
      <c r="AE308" s="366">
        <f t="shared" si="373"/>
        <v>2.000000000000024E-2</v>
      </c>
      <c r="AF308" s="366">
        <f t="shared" si="373"/>
        <v>1.9999999999999796E-2</v>
      </c>
      <c r="AG308" s="366">
        <f t="shared" si="373"/>
        <v>2.0000000000000018E-2</v>
      </c>
      <c r="AH308" s="366">
        <f t="shared" si="373"/>
        <v>2.0000000000000018E-2</v>
      </c>
      <c r="AI308" s="366">
        <f t="shared" si="373"/>
        <v>2.0000000000000018E-2</v>
      </c>
      <c r="AJ308" s="366">
        <f t="shared" si="373"/>
        <v>2.000000000000024E-2</v>
      </c>
      <c r="AK308" s="366">
        <f t="shared" si="373"/>
        <v>2.0000000000000018E-2</v>
      </c>
      <c r="AL308" s="366">
        <f t="shared" si="373"/>
        <v>2.0000000000000018E-2</v>
      </c>
      <c r="AM308" s="2"/>
      <c r="AN308" s="2"/>
    </row>
    <row r="309" spans="1:40" outlineLevel="1">
      <c r="A309" s="9"/>
      <c r="B309" s="9" t="s">
        <v>1079</v>
      </c>
      <c r="C309" s="48" t="s">
        <v>733</v>
      </c>
      <c r="D309" s="9"/>
      <c r="E309" s="9"/>
      <c r="F309" s="9"/>
      <c r="G309" s="9"/>
      <c r="H309" s="9"/>
      <c r="I309" s="9"/>
      <c r="J309" s="9"/>
      <c r="K309" s="9"/>
      <c r="L309" s="9"/>
      <c r="M309" s="9"/>
      <c r="N309" s="9"/>
      <c r="O309" s="9"/>
      <c r="P309" s="9"/>
      <c r="Q309" s="9"/>
      <c r="R309" s="9"/>
      <c r="S309" s="9"/>
      <c r="T309" s="875"/>
      <c r="U309" s="9"/>
      <c r="V309" s="9"/>
      <c r="W309" s="877"/>
      <c r="X309" s="877">
        <f t="shared" ref="X309:AL309" si="374">IFERROR(X40/W40-1,"")</f>
        <v>-9.6793855906375681E-2</v>
      </c>
      <c r="Y309" s="877">
        <f t="shared" si="374"/>
        <v>-9.717910649210415E-2</v>
      </c>
      <c r="Z309" s="877">
        <f t="shared" si="374"/>
        <v>8.401853789804159E-2</v>
      </c>
      <c r="AA309" s="877">
        <f t="shared" si="374"/>
        <v>9.6400496483243669E-2</v>
      </c>
      <c r="AB309" s="877">
        <f t="shared" si="374"/>
        <v>3.6855345911949611E-2</v>
      </c>
      <c r="AC309" s="877">
        <f t="shared" si="374"/>
        <v>4.5857090864976247E-2</v>
      </c>
      <c r="AD309" s="877">
        <f t="shared" si="374"/>
        <v>3.9595461144421806E-2</v>
      </c>
      <c r="AE309" s="877">
        <f t="shared" si="374"/>
        <v>3.2051392192327111E-2</v>
      </c>
      <c r="AF309" s="877">
        <f t="shared" si="374"/>
        <v>3.3419929189048903E-2</v>
      </c>
      <c r="AG309" s="877">
        <f t="shared" si="374"/>
        <v>3.5016823501372363E-2</v>
      </c>
      <c r="AH309" s="877">
        <f t="shared" si="374"/>
        <v>3.6617346575111398E-2</v>
      </c>
      <c r="AI309" s="877">
        <f t="shared" si="374"/>
        <v>3.8241359647292583E-2</v>
      </c>
      <c r="AJ309" s="877">
        <f t="shared" si="374"/>
        <v>3.990724428307213E-2</v>
      </c>
      <c r="AK309" s="877">
        <f t="shared" si="374"/>
        <v>4.1632473940735437E-2</v>
      </c>
      <c r="AL309" s="877">
        <f t="shared" si="374"/>
        <v>4.224010728639449E-2</v>
      </c>
      <c r="AM309" s="9"/>
      <c r="AN309" s="9"/>
    </row>
    <row r="310" spans="1:40" outlineLevel="1">
      <c r="A310" s="2"/>
      <c r="B310" s="510" t="s">
        <v>1326</v>
      </c>
      <c r="C310" s="18" t="s">
        <v>733</v>
      </c>
      <c r="D310" s="2"/>
      <c r="E310" s="2"/>
      <c r="F310" s="2"/>
      <c r="G310" s="2"/>
      <c r="H310" s="2"/>
      <c r="I310" s="2"/>
      <c r="J310" s="2"/>
      <c r="K310" s="2"/>
      <c r="L310" s="2"/>
      <c r="M310" s="2"/>
      <c r="N310" s="2"/>
      <c r="O310" s="2"/>
      <c r="P310" s="2"/>
      <c r="Q310" s="2"/>
      <c r="R310" s="2"/>
      <c r="S310" s="2"/>
      <c r="T310" s="168"/>
      <c r="U310" s="2"/>
      <c r="V310" s="2"/>
      <c r="W310" s="366"/>
      <c r="X310" s="366">
        <f t="shared" ref="X310:AL310" si="375">IFERROR(X41/W41-1,"")</f>
        <v>-4.7737135771853678E-2</v>
      </c>
      <c r="Y310" s="366">
        <f t="shared" si="375"/>
        <v>-0.47786458333333337</v>
      </c>
      <c r="Z310" s="366">
        <f t="shared" si="375"/>
        <v>-0.70947630922693272</v>
      </c>
      <c r="AA310" s="366">
        <f t="shared" si="375"/>
        <v>-0.84120171673819744</v>
      </c>
      <c r="AB310" s="366">
        <f t="shared" si="375"/>
        <v>-1</v>
      </c>
      <c r="AC310" s="366" t="str">
        <f t="shared" si="375"/>
        <v/>
      </c>
      <c r="AD310" s="366">
        <f t="shared" si="375"/>
        <v>-0.99999999999990052</v>
      </c>
      <c r="AE310" s="366">
        <f t="shared" si="375"/>
        <v>0</v>
      </c>
      <c r="AF310" s="366">
        <f t="shared" si="375"/>
        <v>0</v>
      </c>
      <c r="AG310" s="366">
        <f t="shared" si="375"/>
        <v>0</v>
      </c>
      <c r="AH310" s="366">
        <f t="shared" si="375"/>
        <v>0</v>
      </c>
      <c r="AI310" s="366">
        <f t="shared" si="375"/>
        <v>0</v>
      </c>
      <c r="AJ310" s="366">
        <f t="shared" si="375"/>
        <v>0</v>
      </c>
      <c r="AK310" s="366">
        <f t="shared" si="375"/>
        <v>0</v>
      </c>
      <c r="AL310" s="366">
        <f t="shared" si="375"/>
        <v>0</v>
      </c>
      <c r="AM310" s="2"/>
      <c r="AN310" s="2"/>
    </row>
    <row r="311" spans="1:40" outlineLevel="1">
      <c r="A311" s="2"/>
      <c r="B311" s="510" t="s">
        <v>1069</v>
      </c>
      <c r="C311" s="18" t="s">
        <v>733</v>
      </c>
      <c r="D311" s="2"/>
      <c r="E311" s="2"/>
      <c r="F311" s="2"/>
      <c r="G311" s="2"/>
      <c r="H311" s="2"/>
      <c r="I311" s="2"/>
      <c r="J311" s="2"/>
      <c r="K311" s="2"/>
      <c r="L311" s="2"/>
      <c r="M311" s="2"/>
      <c r="N311" s="2"/>
      <c r="O311" s="2"/>
      <c r="P311" s="2"/>
      <c r="Q311" s="2"/>
      <c r="R311" s="2"/>
      <c r="S311" s="2"/>
      <c r="T311" s="168"/>
      <c r="U311" s="2"/>
      <c r="V311" s="2"/>
      <c r="W311" s="878"/>
      <c r="X311" s="366">
        <f t="shared" ref="X311:AL311" si="376">IFERROR(X42/W42-1,"")</f>
        <v>-0.69288389513108617</v>
      </c>
      <c r="Y311" s="366">
        <f t="shared" si="376"/>
        <v>-0.14227642276422769</v>
      </c>
      <c r="Z311" s="366">
        <f t="shared" si="376"/>
        <v>-0.6635071090047393</v>
      </c>
      <c r="AA311" s="366">
        <f t="shared" si="376"/>
        <v>0.76056338028169024</v>
      </c>
      <c r="AB311" s="366">
        <f t="shared" si="376"/>
        <v>-1</v>
      </c>
      <c r="AC311" s="366" t="str">
        <f t="shared" si="376"/>
        <v/>
      </c>
      <c r="AD311" s="366" t="str">
        <f t="shared" si="376"/>
        <v/>
      </c>
      <c r="AE311" s="366" t="str">
        <f t="shared" si="376"/>
        <v/>
      </c>
      <c r="AF311" s="366" t="str">
        <f t="shared" si="376"/>
        <v/>
      </c>
      <c r="AG311" s="366" t="str">
        <f t="shared" si="376"/>
        <v/>
      </c>
      <c r="AH311" s="366" t="str">
        <f t="shared" si="376"/>
        <v/>
      </c>
      <c r="AI311" s="366" t="str">
        <f t="shared" si="376"/>
        <v/>
      </c>
      <c r="AJ311" s="366" t="str">
        <f t="shared" si="376"/>
        <v/>
      </c>
      <c r="AK311" s="366" t="str">
        <f t="shared" si="376"/>
        <v/>
      </c>
      <c r="AL311" s="366" t="str">
        <f t="shared" si="376"/>
        <v/>
      </c>
      <c r="AM311" s="2"/>
      <c r="AN311" s="2"/>
    </row>
    <row r="312" spans="1:40" outlineLevel="1">
      <c r="A312" s="2"/>
      <c r="B312" s="510" t="s">
        <v>1165</v>
      </c>
      <c r="C312" s="18" t="s">
        <v>733</v>
      </c>
      <c r="D312" s="2"/>
      <c r="E312" s="2"/>
      <c r="F312" s="2"/>
      <c r="G312" s="2"/>
      <c r="H312" s="2"/>
      <c r="I312" s="2"/>
      <c r="J312" s="2"/>
      <c r="K312" s="2"/>
      <c r="L312" s="2"/>
      <c r="M312" s="2"/>
      <c r="N312" s="2"/>
      <c r="O312" s="2"/>
      <c r="P312" s="2"/>
      <c r="Q312" s="2"/>
      <c r="R312" s="2"/>
      <c r="S312" s="2"/>
      <c r="T312" s="168"/>
      <c r="U312" s="2"/>
      <c r="V312" s="2"/>
      <c r="W312" s="878"/>
      <c r="X312" s="366">
        <f t="shared" ref="X312:AL312" si="377">IFERROR(X43/W43-1,"")</f>
        <v>-0.50430292598967297</v>
      </c>
      <c r="Y312" s="366">
        <f t="shared" si="377"/>
        <v>-1.5694444444444444</v>
      </c>
      <c r="Z312" s="366">
        <f t="shared" si="377"/>
        <v>-1.9573170731707317</v>
      </c>
      <c r="AA312" s="366">
        <f t="shared" si="377"/>
        <v>-1</v>
      </c>
      <c r="AB312" s="366" t="str">
        <f t="shared" si="377"/>
        <v/>
      </c>
      <c r="AC312" s="366">
        <f t="shared" si="377"/>
        <v>-0.98041958041958044</v>
      </c>
      <c r="AD312" s="366">
        <f t="shared" si="377"/>
        <v>-1</v>
      </c>
      <c r="AE312" s="366" t="str">
        <f t="shared" si="377"/>
        <v/>
      </c>
      <c r="AF312" s="366" t="str">
        <f t="shared" si="377"/>
        <v/>
      </c>
      <c r="AG312" s="366" t="str">
        <f t="shared" si="377"/>
        <v/>
      </c>
      <c r="AH312" s="366" t="str">
        <f t="shared" si="377"/>
        <v/>
      </c>
      <c r="AI312" s="366" t="str">
        <f t="shared" si="377"/>
        <v/>
      </c>
      <c r="AJ312" s="366" t="str">
        <f t="shared" si="377"/>
        <v/>
      </c>
      <c r="AK312" s="366" t="str">
        <f t="shared" si="377"/>
        <v/>
      </c>
      <c r="AL312" s="366" t="str">
        <f t="shared" si="377"/>
        <v/>
      </c>
      <c r="AM312" s="2"/>
      <c r="AN312" s="2"/>
    </row>
    <row r="313" spans="1:40" outlineLevel="1">
      <c r="A313" s="9"/>
      <c r="B313" s="9" t="s">
        <v>1327</v>
      </c>
      <c r="C313" s="48" t="s">
        <v>733</v>
      </c>
      <c r="D313" s="9"/>
      <c r="E313" s="9"/>
      <c r="F313" s="9"/>
      <c r="G313" s="9"/>
      <c r="H313" s="9"/>
      <c r="I313" s="9"/>
      <c r="J313" s="9"/>
      <c r="K313" s="9"/>
      <c r="L313" s="9"/>
      <c r="M313" s="9"/>
      <c r="N313" s="9"/>
      <c r="O313" s="9"/>
      <c r="P313" s="9"/>
      <c r="Q313" s="9"/>
      <c r="R313" s="9"/>
      <c r="S313" s="9"/>
      <c r="T313" s="875"/>
      <c r="U313" s="9"/>
      <c r="V313" s="9"/>
      <c r="W313" s="877"/>
      <c r="X313" s="877">
        <f t="shared" ref="X313:AL313" si="378">IFERROR(X44/W44-1,"")</f>
        <v>-2.7270571496323948E-3</v>
      </c>
      <c r="Y313" s="877">
        <f t="shared" si="378"/>
        <v>-0.11496849363928185</v>
      </c>
      <c r="Z313" s="877">
        <f t="shared" si="378"/>
        <v>-2.5255239118753381E-2</v>
      </c>
      <c r="AA313" s="877">
        <f t="shared" si="378"/>
        <v>8.351708930540247E-2</v>
      </c>
      <c r="AB313" s="877">
        <f t="shared" si="378"/>
        <v>-4.248282879674381E-2</v>
      </c>
      <c r="AC313" s="877">
        <f t="shared" si="378"/>
        <v>0.1434643995749203</v>
      </c>
      <c r="AD313" s="877">
        <f t="shared" si="378"/>
        <v>4.1165482170778311E-2</v>
      </c>
      <c r="AE313" s="877">
        <f t="shared" si="378"/>
        <v>3.2051392192327111E-2</v>
      </c>
      <c r="AF313" s="877">
        <f t="shared" si="378"/>
        <v>3.3419929189048903E-2</v>
      </c>
      <c r="AG313" s="877">
        <f t="shared" si="378"/>
        <v>3.5016823501372363E-2</v>
      </c>
      <c r="AH313" s="877">
        <f t="shared" si="378"/>
        <v>3.6617346575111398E-2</v>
      </c>
      <c r="AI313" s="877">
        <f t="shared" si="378"/>
        <v>3.8241359647292583E-2</v>
      </c>
      <c r="AJ313" s="877">
        <f t="shared" si="378"/>
        <v>3.990724428307213E-2</v>
      </c>
      <c r="AK313" s="877">
        <f t="shared" si="378"/>
        <v>4.1632473940735437E-2</v>
      </c>
      <c r="AL313" s="877">
        <f t="shared" si="378"/>
        <v>4.224010728639449E-2</v>
      </c>
      <c r="AM313" s="9"/>
      <c r="AN313" s="9"/>
    </row>
    <row r="314" spans="1:40" outlineLevel="1">
      <c r="A314" s="2"/>
      <c r="B314" s="2"/>
      <c r="C314" s="18"/>
      <c r="D314" s="2"/>
      <c r="E314" s="2"/>
      <c r="F314" s="2"/>
      <c r="G314" s="2"/>
      <c r="H314" s="2"/>
      <c r="I314" s="2"/>
      <c r="J314" s="2"/>
      <c r="K314" s="2"/>
      <c r="L314" s="2"/>
      <c r="M314" s="2"/>
      <c r="N314" s="2"/>
      <c r="O314" s="2"/>
      <c r="P314" s="2"/>
      <c r="Q314" s="2"/>
      <c r="R314" s="2"/>
      <c r="S314" s="2"/>
      <c r="T314" s="168"/>
      <c r="U314" s="2"/>
      <c r="V314" s="2"/>
      <c r="W314" s="2"/>
      <c r="X314" s="2"/>
      <c r="Y314" s="2"/>
      <c r="Z314" s="2"/>
      <c r="AA314" s="2"/>
      <c r="AB314" s="2"/>
      <c r="AC314" s="2"/>
      <c r="AD314" s="2"/>
      <c r="AE314" s="2"/>
      <c r="AF314" s="2"/>
      <c r="AG314" s="2"/>
      <c r="AH314" s="2"/>
      <c r="AI314" s="2"/>
      <c r="AJ314" s="2"/>
      <c r="AK314" s="2"/>
      <c r="AL314" s="2"/>
      <c r="AM314" s="2"/>
      <c r="AN314" s="2"/>
    </row>
    <row r="315" spans="1:40" outlineLevel="1">
      <c r="A315" s="299" t="s">
        <v>1163</v>
      </c>
      <c r="B315" s="1073" t="s">
        <v>1014</v>
      </c>
      <c r="C315" s="1074"/>
      <c r="D315" s="1073"/>
      <c r="E315" s="1073"/>
      <c r="F315" s="1073"/>
      <c r="G315" s="1073"/>
      <c r="H315" s="1073"/>
      <c r="I315" s="1073"/>
      <c r="J315" s="1073"/>
      <c r="K315" s="1073"/>
      <c r="L315" s="1073"/>
      <c r="M315" s="1073"/>
      <c r="N315" s="1073"/>
      <c r="O315" s="1073"/>
      <c r="P315" s="1073"/>
      <c r="Q315" s="1073"/>
      <c r="R315" s="1073"/>
      <c r="S315" s="1073"/>
      <c r="T315" s="1073"/>
      <c r="U315" s="1073"/>
      <c r="V315" s="1073"/>
      <c r="W315" s="1073"/>
      <c r="X315" s="1073"/>
      <c r="Y315" s="1073"/>
      <c r="Z315" s="1073"/>
      <c r="AA315" s="1073"/>
      <c r="AB315" s="1073"/>
      <c r="AC315" s="1073"/>
      <c r="AD315" s="1073"/>
      <c r="AE315" s="1073"/>
      <c r="AF315" s="1073"/>
      <c r="AG315" s="1073"/>
      <c r="AH315" s="1073"/>
      <c r="AI315" s="1073"/>
      <c r="AJ315" s="1073"/>
      <c r="AK315" s="1073"/>
      <c r="AL315" s="1073"/>
      <c r="AM315" s="2"/>
      <c r="AN315" s="2"/>
    </row>
    <row r="316" spans="1:40" outlineLevel="1">
      <c r="A316" s="2"/>
      <c r="B316" s="2"/>
      <c r="C316" s="18"/>
      <c r="D316" s="2"/>
      <c r="E316" s="2"/>
      <c r="F316" s="2"/>
      <c r="G316" s="2"/>
      <c r="H316" s="2"/>
      <c r="I316" s="2"/>
      <c r="J316" s="2"/>
      <c r="K316" s="2"/>
      <c r="L316" s="2"/>
      <c r="M316" s="2"/>
      <c r="N316" s="2"/>
      <c r="O316" s="2"/>
      <c r="P316" s="2"/>
      <c r="Q316" s="2"/>
      <c r="R316" s="2"/>
      <c r="S316" s="2"/>
      <c r="T316" s="168"/>
      <c r="U316" s="2"/>
      <c r="V316" s="2"/>
      <c r="W316" s="2"/>
      <c r="X316" s="2"/>
      <c r="Y316" s="2"/>
      <c r="Z316" s="2"/>
      <c r="AA316" s="2"/>
      <c r="AB316" s="2"/>
      <c r="AC316" s="2"/>
      <c r="AD316" s="2"/>
      <c r="AE316" s="2"/>
      <c r="AF316" s="2"/>
      <c r="AG316" s="2"/>
      <c r="AH316" s="2"/>
      <c r="AI316" s="2"/>
      <c r="AJ316" s="2"/>
      <c r="AK316" s="2"/>
      <c r="AL316" s="2"/>
      <c r="AM316" s="2"/>
      <c r="AN316" s="2"/>
    </row>
    <row r="317" spans="1:40" outlineLevel="1">
      <c r="A317" s="2"/>
      <c r="B317" s="243" t="s">
        <v>266</v>
      </c>
      <c r="C317" s="18" t="s">
        <v>732</v>
      </c>
      <c r="D317" s="468">
        <f>'Revenue Assumptions'!K23</f>
        <v>2992.6451999999999</v>
      </c>
      <c r="E317" s="468">
        <f>'Revenue Assumptions'!L23</f>
        <v>3155.4239999999995</v>
      </c>
      <c r="F317" s="468">
        <f>'Revenue Assumptions'!M23</f>
        <v>3468.3998000000001</v>
      </c>
      <c r="G317" s="468">
        <f>'Revenue Assumptions'!N23</f>
        <v>3613.1893599999999</v>
      </c>
      <c r="H317" s="468">
        <f>'Revenue Assumptions'!O23</f>
        <v>4362.5991799999993</v>
      </c>
      <c r="I317" s="468">
        <f>'Revenue Assumptions'!P23</f>
        <v>4687.57492</v>
      </c>
      <c r="J317" s="468">
        <f>'Revenue Assumptions'!Q23</f>
        <v>4986.4064400000007</v>
      </c>
      <c r="K317" s="468">
        <f>'Revenue Assumptions'!R23</f>
        <v>5682.7675999999992</v>
      </c>
      <c r="L317" s="465">
        <f>'Revenue Assumptions'!S23</f>
        <v>6365.4806800000006</v>
      </c>
      <c r="M317" s="465">
        <f>'Revenue Assumptions'!T23</f>
        <v>6822</v>
      </c>
      <c r="N317" s="465">
        <f>'Revenue Assumptions'!U23</f>
        <v>7259</v>
      </c>
      <c r="O317" s="465">
        <f>'Revenue Assumptions'!V23</f>
        <v>7989</v>
      </c>
      <c r="P317" s="465">
        <f>'Revenue Assumptions'!W23</f>
        <v>8668</v>
      </c>
      <c r="Q317" s="465">
        <f>'Revenue Assumptions'!X23</f>
        <v>9187</v>
      </c>
      <c r="R317" s="465">
        <f>'Revenue Assumptions'!Y23</f>
        <v>9654</v>
      </c>
      <c r="S317" s="465">
        <f>'Revenue Assumptions'!Z23</f>
        <v>10635</v>
      </c>
      <c r="T317" s="465">
        <f>'Revenue Assumptions'!AA23</f>
        <v>10423</v>
      </c>
      <c r="U317" s="465">
        <f>'Revenue Assumptions'!AB23</f>
        <v>10088</v>
      </c>
      <c r="V317" s="465">
        <f>'Revenue Assumptions'!AC23</f>
        <v>10508</v>
      </c>
      <c r="W317" s="465">
        <f>'Revenue Assumptions'!AD23</f>
        <v>10649</v>
      </c>
      <c r="X317" s="465">
        <f>'Revenue Assumptions'!AE23</f>
        <v>10130</v>
      </c>
      <c r="Y317" s="465">
        <f>'Revenue Assumptions'!AF23</f>
        <v>9310</v>
      </c>
      <c r="Z317" s="465">
        <f>'Revenue Assumptions'!AG23</f>
        <v>9470</v>
      </c>
      <c r="AA317" s="465">
        <f>'Revenue Assumptions'!AH23</f>
        <v>10258</v>
      </c>
      <c r="AB317" s="465">
        <f>'Revenue Assumptions'!AI23</f>
        <v>10722</v>
      </c>
      <c r="AC317" s="465">
        <f>'Revenue Assumptions'!AJ23</f>
        <v>11015</v>
      </c>
      <c r="AD317" s="465">
        <f>'Revenue Assumptions'!AK23</f>
        <v>11520.457886304279</v>
      </c>
      <c r="AE317" s="465">
        <f>'Revenue Assumptions'!AL23</f>
        <v>12044.693704684087</v>
      </c>
      <c r="AF317" s="465">
        <f>'Revenue Assumptions'!AM23</f>
        <v>12605.381763112948</v>
      </c>
      <c r="AG317" s="465">
        <f>'Revenue Assumptions'!AN23</f>
        <v>13205.718063253855</v>
      </c>
      <c r="AH317" s="465">
        <f>'Revenue Assumptions'!AO23</f>
        <v>13849.030868798302</v>
      </c>
      <c r="AI317" s="465">
        <f>'Revenue Assumptions'!AP23</f>
        <v>14539.011279591889</v>
      </c>
      <c r="AJ317" s="465">
        <f>'Revenue Assumptions'!AQ23</f>
        <v>15279.756679914697</v>
      </c>
      <c r="AK317" s="465">
        <f>'Revenue Assumptions'!AR23</f>
        <v>16075.819804879795</v>
      </c>
      <c r="AL317" s="465">
        <f>'Revenue Assumptions'!AS23</f>
        <v>16932.264177371908</v>
      </c>
      <c r="AM317" s="2"/>
      <c r="AN317" s="2"/>
    </row>
    <row r="318" spans="1:40" outlineLevel="1">
      <c r="A318" s="2"/>
      <c r="B318" s="243" t="s">
        <v>1028</v>
      </c>
      <c r="C318" s="18" t="s">
        <v>732</v>
      </c>
      <c r="D318" s="168"/>
      <c r="E318" s="168"/>
      <c r="F318" s="168"/>
      <c r="G318" s="168"/>
      <c r="H318" s="168"/>
      <c r="I318" s="168"/>
      <c r="J318" s="168"/>
      <c r="K318" s="168"/>
      <c r="L318" s="254"/>
      <c r="M318" s="254"/>
      <c r="N318" s="254"/>
      <c r="O318" s="254"/>
      <c r="P318" s="254"/>
      <c r="Q318" s="254"/>
      <c r="R318" s="254"/>
      <c r="S318" s="254"/>
      <c r="T318" s="254"/>
      <c r="U318" s="254"/>
      <c r="V318" s="465">
        <f>'Revenue Assumptions'!AC588</f>
        <v>4755</v>
      </c>
      <c r="W318" s="465">
        <f>'Revenue Assumptions'!AD588</f>
        <v>4418</v>
      </c>
      <c r="X318" s="465">
        <f>'Revenue Assumptions'!AE588</f>
        <v>4009</v>
      </c>
      <c r="Y318" s="465">
        <f>'Revenue Assumptions'!AF588</f>
        <v>3677.070954854204</v>
      </c>
      <c r="Z318" s="465">
        <f>'Revenue Assumptions'!AG588</f>
        <v>3483.8600992738739</v>
      </c>
      <c r="AA318" s="465">
        <f>'Revenue Assumptions'!AH588</f>
        <v>3329.5651054448995</v>
      </c>
      <c r="AB318" s="465">
        <f>'Revenue Assumptions'!AI588</f>
        <v>3201.8138812174234</v>
      </c>
      <c r="AC318" s="465">
        <f>'Revenue Assumptions'!AJ588</f>
        <v>3092.3629021191368</v>
      </c>
      <c r="AD318" s="465">
        <f>'Revenue Assumptions'!AK588</f>
        <v>2995.7136810763914</v>
      </c>
      <c r="AE318" s="465">
        <f>'Revenue Assumptions'!AL588</f>
        <v>2908.1930631624864</v>
      </c>
      <c r="AF318" s="465">
        <f>'Revenue Assumptions'!AM588</f>
        <v>2827.3418422268901</v>
      </c>
      <c r="AG318" s="465">
        <f>'Revenue Assumptions'!AN588</f>
        <v>2751.5083309276656</v>
      </c>
      <c r="AH318" s="465">
        <f>'Revenue Assumptions'!AO588</f>
        <v>2679.5781714464283</v>
      </c>
      <c r="AI318" s="465">
        <f>'Revenue Assumptions'!AP588</f>
        <v>2610.7947110724822</v>
      </c>
      <c r="AJ318" s="465">
        <f>'Revenue Assumptions'!AQ588</f>
        <v>2610.7947110724822</v>
      </c>
      <c r="AK318" s="465">
        <f>'Revenue Assumptions'!AR588</f>
        <v>2610.7947110724822</v>
      </c>
      <c r="AL318" s="465">
        <f>'Revenue Assumptions'!AS588</f>
        <v>2610.7947110724822</v>
      </c>
      <c r="AM318" s="2"/>
      <c r="AN318" s="2"/>
    </row>
    <row r="319" spans="1:40" outlineLevel="1">
      <c r="A319" s="2"/>
      <c r="B319" s="243" t="s">
        <v>1152</v>
      </c>
      <c r="C319" s="18" t="s">
        <v>732</v>
      </c>
      <c r="D319" s="168"/>
      <c r="E319" s="168"/>
      <c r="F319" s="168"/>
      <c r="G319" s="168"/>
      <c r="H319" s="168"/>
      <c r="I319" s="168"/>
      <c r="J319" s="168"/>
      <c r="K319" s="168"/>
      <c r="L319" s="254"/>
      <c r="M319" s="254"/>
      <c r="N319" s="254"/>
      <c r="O319" s="254"/>
      <c r="P319" s="254"/>
      <c r="Q319" s="254"/>
      <c r="R319" s="254"/>
      <c r="S319" s="254"/>
      <c r="T319" s="465">
        <v>387</v>
      </c>
      <c r="U319" s="465">
        <v>466</v>
      </c>
      <c r="V319" s="465">
        <v>642</v>
      </c>
      <c r="W319" s="465">
        <v>784</v>
      </c>
      <c r="X319" s="465">
        <v>874</v>
      </c>
      <c r="Y319" s="465">
        <v>908</v>
      </c>
      <c r="Z319" s="465">
        <v>930</v>
      </c>
      <c r="AA319" s="465">
        <v>963.2972000000002</v>
      </c>
      <c r="AB319" s="465">
        <v>992.19611600000007</v>
      </c>
      <c r="AC319" s="465">
        <v>1102</v>
      </c>
      <c r="AD319" s="465">
        <v>1135.0600000000002</v>
      </c>
      <c r="AE319" s="465">
        <v>1169.1118000000001</v>
      </c>
      <c r="AF319" s="465">
        <v>1204.1851540000002</v>
      </c>
      <c r="AG319" s="465">
        <v>1240.3107086200002</v>
      </c>
      <c r="AH319" s="465">
        <v>1277.5200298786003</v>
      </c>
      <c r="AI319" s="465">
        <v>1315.8456307749584</v>
      </c>
      <c r="AJ319" s="465">
        <v>1355.3209996982071</v>
      </c>
      <c r="AK319" s="465">
        <v>1395.9806296891534</v>
      </c>
      <c r="AL319" s="465">
        <v>0</v>
      </c>
      <c r="AM319" s="2"/>
      <c r="AN319" s="2"/>
    </row>
    <row r="320" spans="1:40" outlineLevel="1">
      <c r="A320" s="2"/>
      <c r="B320" s="243" t="s">
        <v>1064</v>
      </c>
      <c r="C320" s="18" t="s">
        <v>732</v>
      </c>
      <c r="D320" s="468">
        <f>'Revenue Assumptions'!K603</f>
        <v>2592</v>
      </c>
      <c r="E320" s="468">
        <f>'Revenue Assumptions'!L603</f>
        <v>2803</v>
      </c>
      <c r="F320" s="468">
        <f>'Revenue Assumptions'!M603</f>
        <v>2088</v>
      </c>
      <c r="G320" s="468">
        <f>'Revenue Assumptions'!N603</f>
        <v>2224</v>
      </c>
      <c r="H320" s="468">
        <f>'Revenue Assumptions'!O603</f>
        <v>2284</v>
      </c>
      <c r="I320" s="468">
        <f>'Revenue Assumptions'!P603</f>
        <v>2538</v>
      </c>
      <c r="J320" s="468">
        <f>'Revenue Assumptions'!Q603</f>
        <v>2536</v>
      </c>
      <c r="K320" s="468">
        <f>'Revenue Assumptions'!R603</f>
        <v>2529</v>
      </c>
      <c r="L320" s="465">
        <f>'Revenue Assumptions'!S603</f>
        <v>3199</v>
      </c>
      <c r="M320" s="465">
        <f>'Revenue Assumptions'!T603</f>
        <v>3241.2065690542145</v>
      </c>
      <c r="N320" s="465">
        <f>'Revenue Assumptions'!U603</f>
        <v>3190.8527898694101</v>
      </c>
      <c r="O320" s="465">
        <f>'Revenue Assumptions'!V603</f>
        <v>3146.9683419073999</v>
      </c>
      <c r="P320" s="465">
        <f>'Revenue Assumptions'!W603</f>
        <v>3122</v>
      </c>
      <c r="Q320" s="465">
        <f>'Revenue Assumptions'!X603</f>
        <v>3041</v>
      </c>
      <c r="R320" s="465">
        <f>'Revenue Assumptions'!Y603</f>
        <v>2968</v>
      </c>
      <c r="S320" s="465">
        <f>+'Revenue Assumptions'!Z603</f>
        <v>2883</v>
      </c>
      <c r="T320" s="465">
        <f>+'Revenue Assumptions'!AA603</f>
        <v>2829</v>
      </c>
      <c r="U320" s="465">
        <f>+'Revenue Assumptions'!AB603</f>
        <v>2698</v>
      </c>
      <c r="V320" s="465">
        <f>+'Revenue Assumptions'!AC603</f>
        <v>4693</v>
      </c>
      <c r="W320" s="465">
        <f>+'Revenue Assumptions'!AD603</f>
        <v>4308</v>
      </c>
      <c r="X320" s="465">
        <f>+'Revenue Assumptions'!AE603</f>
        <v>4003.3130970246034</v>
      </c>
      <c r="Y320" s="465">
        <f>+'Revenue Assumptions'!AF603</f>
        <v>3759.4870432632547</v>
      </c>
      <c r="Z320" s="465">
        <f>+'Revenue Assumptions'!AG603</f>
        <v>3576.41171163539</v>
      </c>
      <c r="AA320" s="465">
        <f>+'Revenue Assumptions'!AH603</f>
        <v>3410.0066876998253</v>
      </c>
      <c r="AB320" s="465">
        <f>+'Revenue Assumptions'!AI603</f>
        <v>3335.0629976768482</v>
      </c>
      <c r="AC320" s="465">
        <f>+'Revenue Assumptions'!AJ603</f>
        <v>3273.7297392285582</v>
      </c>
      <c r="AD320" s="465">
        <f>+'Revenue Assumptions'!AK603</f>
        <v>3220.6336637051195</v>
      </c>
      <c r="AE320" s="465">
        <f>+'Revenue Assumptions'!AL603</f>
        <v>3174.8389024925218</v>
      </c>
      <c r="AF320" s="465">
        <f>+'Revenue Assumptions'!AM603</f>
        <v>3135.5370922843931</v>
      </c>
      <c r="AG320" s="465">
        <f>+'Revenue Assumptions'!AN603</f>
        <v>3102.0292427623062</v>
      </c>
      <c r="AH320" s="465">
        <f>+'Revenue Assumptions'!AO603</f>
        <v>3073.7102535384261</v>
      </c>
      <c r="AI320" s="465">
        <f>+'Revenue Assumptions'!AP603</f>
        <v>3050.0556885468659</v>
      </c>
      <c r="AJ320" s="465">
        <f>+'Revenue Assumptions'!AQ603</f>
        <v>3050.0556885468659</v>
      </c>
      <c r="AK320" s="465">
        <f>+'Revenue Assumptions'!AR603</f>
        <v>3050.0556885468659</v>
      </c>
      <c r="AL320" s="465">
        <f>+'Revenue Assumptions'!AS603</f>
        <v>3050.0556885468659</v>
      </c>
      <c r="AM320" s="2"/>
      <c r="AN320" s="2"/>
    </row>
    <row r="321" spans="1:40" outlineLevel="1">
      <c r="A321" s="2"/>
      <c r="B321" s="243" t="s">
        <v>657</v>
      </c>
      <c r="C321" s="18" t="s">
        <v>732</v>
      </c>
      <c r="D321" s="168"/>
      <c r="E321" s="168"/>
      <c r="F321" s="168"/>
      <c r="G321" s="168"/>
      <c r="H321" s="168"/>
      <c r="I321" s="168"/>
      <c r="J321" s="168"/>
      <c r="K321" s="168"/>
      <c r="L321" s="254"/>
      <c r="M321" s="254"/>
      <c r="N321" s="254"/>
      <c r="O321" s="254"/>
      <c r="P321" s="254"/>
      <c r="Q321" s="465">
        <f>'Revenue Assumptions'!X612</f>
        <v>1487</v>
      </c>
      <c r="R321" s="465">
        <f>'Revenue Assumptions'!Y612</f>
        <v>1896</v>
      </c>
      <c r="S321" s="465">
        <f>'Revenue Assumptions'!Z612</f>
        <v>2418</v>
      </c>
      <c r="T321" s="465">
        <f>'Revenue Assumptions'!AA612</f>
        <v>2581</v>
      </c>
      <c r="U321" s="465">
        <f>'Revenue Assumptions'!AB612</f>
        <v>3358</v>
      </c>
      <c r="V321" s="465">
        <f>'Revenue Assumptions'!AC612</f>
        <v>3627</v>
      </c>
      <c r="W321" s="465">
        <f>'Revenue Assumptions'!AD612</f>
        <v>3477</v>
      </c>
      <c r="X321" s="465">
        <f>'Revenue Assumptions'!AE612</f>
        <v>3379</v>
      </c>
      <c r="Y321" s="465">
        <f>'Revenue Assumptions'!AF612</f>
        <v>3379</v>
      </c>
      <c r="Z321" s="465">
        <f>'Revenue Assumptions'!AG612</f>
        <v>3379</v>
      </c>
      <c r="AA321" s="465">
        <f>'Revenue Assumptions'!AH612</f>
        <v>3379</v>
      </c>
      <c r="AB321" s="465">
        <f>'Revenue Assumptions'!AI612</f>
        <v>3379</v>
      </c>
      <c r="AC321" s="465">
        <f>'Revenue Assumptions'!AJ612</f>
        <v>3379</v>
      </c>
      <c r="AD321" s="465">
        <f>'Revenue Assumptions'!AK612</f>
        <v>3379</v>
      </c>
      <c r="AE321" s="465">
        <f>'Revenue Assumptions'!AL612</f>
        <v>3379</v>
      </c>
      <c r="AF321" s="465">
        <f>'Revenue Assumptions'!AM612</f>
        <v>3379</v>
      </c>
      <c r="AG321" s="465">
        <f>'Revenue Assumptions'!AN612</f>
        <v>3379</v>
      </c>
      <c r="AH321" s="465">
        <f>'Revenue Assumptions'!AO612</f>
        <v>3379</v>
      </c>
      <c r="AI321" s="465">
        <f>'Revenue Assumptions'!AP612</f>
        <v>3379</v>
      </c>
      <c r="AJ321" s="465">
        <f>'Revenue Assumptions'!AQ612</f>
        <v>3379</v>
      </c>
      <c r="AK321" s="465">
        <f>'Revenue Assumptions'!AR612</f>
        <v>3379</v>
      </c>
      <c r="AL321" s="465">
        <f>'Revenue Assumptions'!AS612</f>
        <v>3379</v>
      </c>
      <c r="AM321" s="2"/>
      <c r="AN321" s="2"/>
    </row>
    <row r="322" spans="1:40" outlineLevel="1">
      <c r="A322" s="2"/>
      <c r="B322" s="243" t="s">
        <v>1018</v>
      </c>
      <c r="C322" s="18" t="s">
        <v>732</v>
      </c>
      <c r="D322" s="168"/>
      <c r="E322" s="168"/>
      <c r="F322" s="168"/>
      <c r="G322" s="168"/>
      <c r="H322" s="168"/>
      <c r="I322" s="168"/>
      <c r="J322" s="168"/>
      <c r="K322" s="168"/>
      <c r="L322" s="254"/>
      <c r="M322" s="254"/>
      <c r="N322" s="254"/>
      <c r="O322" s="254"/>
      <c r="P322" s="254"/>
      <c r="Q322" s="254"/>
      <c r="R322" s="254"/>
      <c r="S322" s="465">
        <f>'Revenue Assumptions'!Z630</f>
        <v>888</v>
      </c>
      <c r="T322" s="465">
        <f>'Revenue Assumptions'!AA630</f>
        <v>1454</v>
      </c>
      <c r="U322" s="465">
        <f>'Revenue Assumptions'!AB630</f>
        <v>1449</v>
      </c>
      <c r="V322" s="465">
        <f>'Revenue Assumptions'!AC630</f>
        <v>1584</v>
      </c>
      <c r="W322" s="465">
        <f>'Revenue Assumptions'!AD630</f>
        <v>1705</v>
      </c>
      <c r="X322" s="465">
        <f>'Revenue Assumptions'!AE630</f>
        <v>1725</v>
      </c>
      <c r="Y322" s="465">
        <f>'Revenue Assumptions'!AF630</f>
        <v>1494</v>
      </c>
      <c r="Z322" s="465">
        <f>'Revenue Assumptions'!AG630</f>
        <v>1550.65</v>
      </c>
      <c r="AA322" s="465">
        <f>'Revenue Assumptions'!AH630</f>
        <v>1594.63975</v>
      </c>
      <c r="AB322" s="465">
        <f>'Revenue Assumptions'!AI630</f>
        <v>1635.5013400000003</v>
      </c>
      <c r="AC322" s="465">
        <f>'Revenue Assumptions'!AJ630</f>
        <v>1672.6853869000001</v>
      </c>
      <c r="AD322" s="465">
        <f>'Revenue Assumptions'!AK630</f>
        <v>1705.672948507</v>
      </c>
      <c r="AE322" s="465">
        <f>'Revenue Assumptions'!AL630</f>
        <v>1733.9872722196751</v>
      </c>
      <c r="AF322" s="465">
        <f>'Revenue Assumptions'!AM630</f>
        <v>1768.8138903862655</v>
      </c>
      <c r="AG322" s="465">
        <f>'Revenue Assumptions'!AN630</f>
        <v>1804.6853070978532</v>
      </c>
      <c r="AH322" s="465">
        <f>'Revenue Assumptions'!AO630</f>
        <v>1841.6328663107888</v>
      </c>
      <c r="AI322" s="465">
        <f>'Revenue Assumptions'!AP630</f>
        <v>1879.6888523001126</v>
      </c>
      <c r="AJ322" s="465">
        <f>'Revenue Assumptions'!AQ630</f>
        <v>1879.6888523001126</v>
      </c>
      <c r="AK322" s="465">
        <f>'Revenue Assumptions'!AR630</f>
        <v>1879.6888523001126</v>
      </c>
      <c r="AL322" s="465">
        <f>'Revenue Assumptions'!AS630</f>
        <v>1879.6888523001126</v>
      </c>
      <c r="AM322" s="2"/>
      <c r="AN322" s="2"/>
    </row>
    <row r="323" spans="1:40" outlineLevel="1">
      <c r="A323" s="2"/>
      <c r="B323" s="243" t="s">
        <v>1033</v>
      </c>
      <c r="C323" s="18" t="s">
        <v>732</v>
      </c>
      <c r="D323" s="168"/>
      <c r="E323" s="168"/>
      <c r="F323" s="168"/>
      <c r="G323" s="168"/>
      <c r="H323" s="168"/>
      <c r="I323" s="168"/>
      <c r="J323" s="168"/>
      <c r="K323" s="168"/>
      <c r="L323" s="254"/>
      <c r="M323" s="254"/>
      <c r="N323" s="254"/>
      <c r="O323" s="254"/>
      <c r="P323" s="254"/>
      <c r="Q323" s="254"/>
      <c r="R323" s="254"/>
      <c r="S323" s="254"/>
      <c r="T323" s="254"/>
      <c r="U323" s="254"/>
      <c r="V323" s="254"/>
      <c r="W323" s="254"/>
      <c r="X323" s="254"/>
      <c r="Y323" s="254"/>
      <c r="Z323" s="254"/>
      <c r="AA323" s="254"/>
      <c r="AB323" s="254"/>
      <c r="AC323" s="254"/>
      <c r="AD323" s="254"/>
      <c r="AE323" s="254"/>
      <c r="AF323" s="254"/>
      <c r="AG323" s="254"/>
      <c r="AH323" s="254"/>
      <c r="AI323" s="254"/>
      <c r="AJ323" s="254"/>
      <c r="AK323" s="254"/>
      <c r="AL323" s="254"/>
      <c r="AM323" s="2"/>
      <c r="AN323" s="2"/>
    </row>
    <row r="324" spans="1:40" outlineLevel="1">
      <c r="A324" s="2"/>
      <c r="B324" s="243" t="s">
        <v>1070</v>
      </c>
      <c r="C324" s="18" t="s">
        <v>732</v>
      </c>
      <c r="D324" s="168"/>
      <c r="E324" s="168"/>
      <c r="F324" s="168"/>
      <c r="G324" s="168"/>
      <c r="H324" s="168"/>
      <c r="I324" s="168"/>
      <c r="J324" s="168"/>
      <c r="K324" s="168"/>
      <c r="L324" s="254"/>
      <c r="M324" s="254"/>
      <c r="N324" s="254"/>
      <c r="O324" s="254"/>
      <c r="P324" s="254"/>
      <c r="Q324" s="254"/>
      <c r="R324" s="254"/>
      <c r="S324" s="254"/>
      <c r="T324" s="465">
        <v>717</v>
      </c>
      <c r="U324" s="465">
        <v>1690</v>
      </c>
      <c r="V324" s="465">
        <v>2150</v>
      </c>
      <c r="W324" s="465">
        <v>1998</v>
      </c>
      <c r="X324" s="465">
        <v>1931</v>
      </c>
      <c r="Y324" s="465">
        <v>1050</v>
      </c>
      <c r="Z324" s="465">
        <v>340.66666666666771</v>
      </c>
      <c r="AA324" s="465">
        <v>141.94444444444454</v>
      </c>
      <c r="AB324" s="465">
        <v>141.94444444444454</v>
      </c>
      <c r="AC324" s="465">
        <v>0</v>
      </c>
      <c r="AD324" s="465">
        <v>0</v>
      </c>
      <c r="AE324" s="465">
        <v>0</v>
      </c>
      <c r="AF324" s="465">
        <v>0</v>
      </c>
      <c r="AG324" s="465">
        <v>0</v>
      </c>
      <c r="AH324" s="465">
        <v>0</v>
      </c>
      <c r="AI324" s="465">
        <v>0</v>
      </c>
      <c r="AJ324" s="465">
        <v>0</v>
      </c>
      <c r="AK324" s="465">
        <v>0</v>
      </c>
      <c r="AL324" s="465">
        <v>0</v>
      </c>
      <c r="AM324" s="2"/>
      <c r="AN324" s="2"/>
    </row>
    <row r="325" spans="1:40" outlineLevel="1">
      <c r="A325" s="2"/>
      <c r="B325" s="73"/>
      <c r="C325" s="18"/>
      <c r="D325" s="168"/>
      <c r="E325" s="168"/>
      <c r="F325" s="168"/>
      <c r="G325" s="168"/>
      <c r="H325" s="168"/>
      <c r="I325" s="168"/>
      <c r="J325" s="168"/>
      <c r="K325" s="168"/>
      <c r="L325" s="254"/>
      <c r="M325" s="254"/>
      <c r="N325" s="254"/>
      <c r="O325" s="254"/>
      <c r="P325" s="254"/>
      <c r="Q325" s="254"/>
      <c r="R325" s="254"/>
      <c r="S325" s="254"/>
      <c r="T325" s="254"/>
      <c r="U325" s="254"/>
      <c r="V325" s="254"/>
      <c r="W325" s="254"/>
      <c r="X325" s="254"/>
      <c r="Y325" s="254"/>
      <c r="Z325" s="254"/>
      <c r="AA325" s="254"/>
      <c r="AB325" s="254"/>
      <c r="AC325" s="254"/>
      <c r="AD325" s="254"/>
      <c r="AE325" s="254"/>
      <c r="AF325" s="254"/>
      <c r="AG325" s="254"/>
      <c r="AH325" s="254"/>
      <c r="AI325" s="254"/>
      <c r="AJ325" s="254"/>
      <c r="AK325" s="254"/>
      <c r="AL325" s="254"/>
      <c r="AM325" s="2"/>
      <c r="AN325" s="2"/>
    </row>
    <row r="326" spans="1:40" outlineLevel="1">
      <c r="A326" s="2"/>
      <c r="B326" s="243" t="s">
        <v>1026</v>
      </c>
      <c r="C326" s="18" t="s">
        <v>732</v>
      </c>
      <c r="D326" s="468">
        <f>'Revenue Assumptions'!K565</f>
        <v>8249</v>
      </c>
      <c r="E326" s="468">
        <f>'Revenue Assumptions'!L565</f>
        <v>7843</v>
      </c>
      <c r="F326" s="468">
        <f>'Revenue Assumptions'!M565</f>
        <v>7756</v>
      </c>
      <c r="G326" s="468">
        <f>'Revenue Assumptions'!N565</f>
        <v>8266</v>
      </c>
      <c r="H326" s="468">
        <f>'Revenue Assumptions'!O565</f>
        <v>8330</v>
      </c>
      <c r="I326" s="468">
        <f>'Revenue Assumptions'!P565</f>
        <v>7740</v>
      </c>
      <c r="J326" s="468">
        <f>'Revenue Assumptions'!Q565</f>
        <v>7201</v>
      </c>
      <c r="K326" s="468">
        <f>'Revenue Assumptions'!R565</f>
        <v>6887</v>
      </c>
      <c r="L326" s="465">
        <f>'Revenue Assumptions'!S565</f>
        <v>6666</v>
      </c>
      <c r="M326" s="465">
        <f>'Revenue Assumptions'!T565</f>
        <v>6336</v>
      </c>
      <c r="N326" s="465">
        <f>'Revenue Assumptions'!U565</f>
        <v>5832</v>
      </c>
      <c r="O326" s="465">
        <f>'Revenue Assumptions'!V565</f>
        <v>5356</v>
      </c>
      <c r="P326" s="465">
        <f>'Revenue Assumptions'!W565</f>
        <v>4817.7105600000004</v>
      </c>
      <c r="Q326" s="465">
        <f>'Revenue Assumptions'!X565</f>
        <v>4359.1102600000004</v>
      </c>
      <c r="R326" s="465">
        <f>'Revenue Assumptions'!Y565</f>
        <v>4034</v>
      </c>
      <c r="S326" s="465">
        <f>'Revenue Assumptions'!Z565</f>
        <v>3746</v>
      </c>
      <c r="T326" s="465">
        <f>'Revenue Assumptions'!AA565</f>
        <v>3437</v>
      </c>
      <c r="U326" s="465">
        <f>'Revenue Assumptions'!AB565</f>
        <v>3124</v>
      </c>
      <c r="V326" s="465">
        <f>'Revenue Assumptions'!AC565</f>
        <v>2642</v>
      </c>
      <c r="W326" s="465">
        <f>'Revenue Assumptions'!AD565</f>
        <v>2236.4238078000003</v>
      </c>
      <c r="X326" s="465">
        <f>'Revenue Assumptions'!AE565</f>
        <v>2018.3724865394995</v>
      </c>
      <c r="Y326" s="465">
        <f>'Revenue Assumptions'!AF565</f>
        <v>1821.5811691018982</v>
      </c>
      <c r="Z326" s="465">
        <f>'Revenue Assumptions'!AG565</f>
        <v>1643.9770051144628</v>
      </c>
      <c r="AA326" s="465">
        <f>'Revenue Assumptions'!AH565</f>
        <v>1483.6892471158026</v>
      </c>
      <c r="AB326" s="465">
        <f>'Revenue Assumptions'!AI565</f>
        <v>1339.0295455220116</v>
      </c>
      <c r="AC326" s="465">
        <f>'Revenue Assumptions'!AJ565</f>
        <v>1208.4741648336153</v>
      </c>
      <c r="AD326" s="465">
        <f>'Revenue Assumptions'!AK565</f>
        <v>1090.6479337623375</v>
      </c>
      <c r="AE326" s="465">
        <f>'Revenue Assumptions'!AL565</f>
        <v>984.30976022050947</v>
      </c>
      <c r="AF326" s="465">
        <f>'Revenue Assumptions'!AM565</f>
        <v>888.33955859900971</v>
      </c>
      <c r="AG326" s="465">
        <f>'Revenue Assumptions'!AN565</f>
        <v>801.72645163560617</v>
      </c>
      <c r="AH326" s="465">
        <f>'Revenue Assumptions'!AO565</f>
        <v>723.55812260113453</v>
      </c>
      <c r="AI326" s="465">
        <f>'Revenue Assumptions'!AP565</f>
        <v>653.01120564752375</v>
      </c>
      <c r="AJ326" s="465">
        <f>'Revenue Assumptions'!AQ565</f>
        <v>653.01120564752375</v>
      </c>
      <c r="AK326" s="465">
        <f>'Revenue Assumptions'!AR565</f>
        <v>653.01120564752375</v>
      </c>
      <c r="AL326" s="465">
        <f>'Revenue Assumptions'!AS565</f>
        <v>653.01120564752375</v>
      </c>
      <c r="AM326" s="2"/>
      <c r="AN326" s="2"/>
    </row>
    <row r="327" spans="1:40" outlineLevel="1">
      <c r="A327" s="2"/>
      <c r="B327" s="243" t="s">
        <v>1027</v>
      </c>
      <c r="C327" s="18" t="s">
        <v>732</v>
      </c>
      <c r="D327" s="468">
        <f>'Revenue Assumptions'!K573</f>
        <v>249</v>
      </c>
      <c r="E327" s="468">
        <f>'Revenue Assumptions'!L573</f>
        <v>69</v>
      </c>
      <c r="F327" s="468">
        <f>'Revenue Assumptions'!M573</f>
        <v>246</v>
      </c>
      <c r="G327" s="468">
        <f>'Revenue Assumptions'!N573</f>
        <v>519</v>
      </c>
      <c r="H327" s="468">
        <f>'Revenue Assumptions'!O573</f>
        <v>422</v>
      </c>
      <c r="I327" s="468">
        <f>'Revenue Assumptions'!P573</f>
        <v>823</v>
      </c>
      <c r="J327" s="468">
        <f>'Revenue Assumptions'!Q573</f>
        <v>1243.28</v>
      </c>
      <c r="K327" s="468">
        <f>'Revenue Assumptions'!R573</f>
        <v>1622.9824000000001</v>
      </c>
      <c r="L327" s="465">
        <f>'Revenue Assumptions'!S573</f>
        <v>1791.9992</v>
      </c>
      <c r="M327" s="465">
        <f>'Revenue Assumptions'!T573</f>
        <v>1980</v>
      </c>
      <c r="N327" s="465">
        <f>'Revenue Assumptions'!U573</f>
        <v>2016</v>
      </c>
      <c r="O327" s="465">
        <f>'Revenue Assumptions'!V573</f>
        <v>1957</v>
      </c>
      <c r="P327" s="465">
        <f>'Revenue Assumptions'!W573</f>
        <v>2013</v>
      </c>
      <c r="Q327" s="465">
        <f>'Revenue Assumptions'!X573</f>
        <v>2087</v>
      </c>
      <c r="R327" s="465">
        <f>'Revenue Assumptions'!Y573</f>
        <v>2218.2227599999997</v>
      </c>
      <c r="S327" s="465">
        <f>'Revenue Assumptions'!Z573</f>
        <v>2379.4909910141205</v>
      </c>
      <c r="T327" s="465">
        <f>'Revenue Assumptions'!AA573</f>
        <v>2513.0748000000003</v>
      </c>
      <c r="U327" s="465">
        <f>'Revenue Assumptions'!AB573</f>
        <v>2548.9967515764429</v>
      </c>
      <c r="V327" s="465">
        <f>'Revenue Assumptions'!AC573</f>
        <v>2544.0020655562171</v>
      </c>
      <c r="W327" s="465">
        <f>'Revenue Assumptions'!AD573</f>
        <v>2415.7206602031124</v>
      </c>
      <c r="X327" s="465">
        <f>'Revenue Assumptions'!AE573</f>
        <v>2354.7237066884372</v>
      </c>
      <c r="Y327" s="465">
        <f>'Revenue Assumptions'!AF573</f>
        <v>2401.8535842763822</v>
      </c>
      <c r="Z327" s="465">
        <f>'Revenue Assumptions'!AG573</f>
        <v>2439.2359899276798</v>
      </c>
      <c r="AA327" s="465">
        <f>'Revenue Assumptions'!AH573</f>
        <v>2455.0766366295943</v>
      </c>
      <c r="AB327" s="465">
        <f>'Revenue Assumptions'!AI573</f>
        <v>2471.3579349445035</v>
      </c>
      <c r="AC327" s="465">
        <f>'Revenue Assumptions'!AJ573</f>
        <v>2488.0998262053809</v>
      </c>
      <c r="AD327" s="465">
        <f>'Revenue Assumptions'!AK573</f>
        <v>2505.3232177651494</v>
      </c>
      <c r="AE327" s="465">
        <f>'Revenue Assumptions'!AL573</f>
        <v>2523.0500306292902</v>
      </c>
      <c r="AF327" s="465">
        <f>'Revenue Assumptions'!AM573</f>
        <v>2541.3032494547638</v>
      </c>
      <c r="AG327" s="465">
        <f>'Revenue Assumptions'!AN573</f>
        <v>2560.1069750332017</v>
      </c>
      <c r="AH327" s="465">
        <f>'Revenue Assumptions'!AO573</f>
        <v>2579.4864793822289</v>
      </c>
      <c r="AI327" s="465">
        <f>'Revenue Assumptions'!AP573</f>
        <v>2599.4682635749496</v>
      </c>
      <c r="AJ327" s="465">
        <f>'Revenue Assumptions'!AQ573</f>
        <v>2599.4682635749496</v>
      </c>
      <c r="AK327" s="465">
        <f>'Revenue Assumptions'!AR573</f>
        <v>2599.4682635749496</v>
      </c>
      <c r="AL327" s="465">
        <f>'Revenue Assumptions'!AS573</f>
        <v>2599.4682635749496</v>
      </c>
      <c r="AM327" s="2"/>
      <c r="AN327" s="2"/>
    </row>
    <row r="328" spans="1:40" outlineLevel="1">
      <c r="A328" s="2"/>
      <c r="B328" s="243" t="s">
        <v>1023</v>
      </c>
      <c r="C328" s="18" t="s">
        <v>732</v>
      </c>
      <c r="D328" s="168"/>
      <c r="E328" s="168"/>
      <c r="F328" s="168"/>
      <c r="G328" s="168"/>
      <c r="H328" s="168"/>
      <c r="I328" s="168"/>
      <c r="J328" s="168"/>
      <c r="K328" s="168"/>
      <c r="L328" s="254"/>
      <c r="M328" s="254"/>
      <c r="N328" s="254"/>
      <c r="O328" s="254"/>
      <c r="P328" s="254"/>
      <c r="Q328" s="254"/>
      <c r="R328" s="254"/>
      <c r="S328" s="465">
        <f>'Revenue Assumptions'!Z582</f>
        <v>819</v>
      </c>
      <c r="T328" s="465">
        <f>'Revenue Assumptions'!AA582</f>
        <v>771</v>
      </c>
      <c r="U328" s="465">
        <f>'Revenue Assumptions'!AB582</f>
        <v>729</v>
      </c>
      <c r="V328" s="465">
        <f>'Revenue Assumptions'!AC582</f>
        <v>626.00119238055868</v>
      </c>
      <c r="W328" s="465">
        <f>'Revenue Assumptions'!AD582</f>
        <v>554.59007246541898</v>
      </c>
      <c r="X328" s="465">
        <f>'Revenue Assumptions'!AE582</f>
        <v>501.51152473221026</v>
      </c>
      <c r="Y328" s="465">
        <f>'Revenue Assumptions'!AF582</f>
        <v>450.76239189483948</v>
      </c>
      <c r="Z328" s="465">
        <f>'Revenue Assumptions'!AG582</f>
        <v>401.729030359212</v>
      </c>
      <c r="AA328" s="465">
        <f>'Revenue Assumptions'!AH582</f>
        <v>359.2269608133771</v>
      </c>
      <c r="AB328" s="465">
        <f>'Revenue Assumptions'!AI582</f>
        <v>321.92483465248353</v>
      </c>
      <c r="AC328" s="465">
        <f>'Revenue Assumptions'!AJ582</f>
        <v>288.80130942060123</v>
      </c>
      <c r="AD328" s="465">
        <f>'Revenue Assumptions'!AK582</f>
        <v>259.08093400883376</v>
      </c>
      <c r="AE328" s="465">
        <f>'Revenue Assumptions'!AL582</f>
        <v>232.17905692888414</v>
      </c>
      <c r="AF328" s="465">
        <f>'Revenue Assumptions'!AM582</f>
        <v>207.65608060434917</v>
      </c>
      <c r="AG328" s="465">
        <f>'Revenue Assumptions'!AN582</f>
        <v>185.18062529952007</v>
      </c>
      <c r="AH328" s="465">
        <f>'Revenue Assumptions'!AO582</f>
        <v>164.50069142064712</v>
      </c>
      <c r="AI328" s="465">
        <f>'Revenue Assumptions'!AP582</f>
        <v>145.42166772586057</v>
      </c>
      <c r="AJ328" s="465">
        <f>'Revenue Assumptions'!AQ582</f>
        <v>145.42166772586057</v>
      </c>
      <c r="AK328" s="465">
        <f>'Revenue Assumptions'!AR582</f>
        <v>145.42166772586057</v>
      </c>
      <c r="AL328" s="465">
        <f>'Revenue Assumptions'!AS582</f>
        <v>145.42166772586057</v>
      </c>
      <c r="AM328" s="2"/>
      <c r="AN328" s="2"/>
    </row>
    <row r="329" spans="1:40" outlineLevel="1">
      <c r="A329" s="2"/>
      <c r="B329" s="73"/>
      <c r="C329" s="18"/>
      <c r="D329" s="168"/>
      <c r="E329" s="168"/>
      <c r="F329" s="168"/>
      <c r="G329" s="168"/>
      <c r="H329" s="168"/>
      <c r="I329" s="168"/>
      <c r="J329" s="168"/>
      <c r="K329" s="168"/>
      <c r="L329" s="254"/>
      <c r="M329" s="254"/>
      <c r="N329" s="254"/>
      <c r="O329" s="254"/>
      <c r="P329" s="254"/>
      <c r="Q329" s="254"/>
      <c r="R329" s="254"/>
      <c r="S329" s="254"/>
      <c r="T329" s="254"/>
      <c r="U329" s="254"/>
      <c r="V329" s="465"/>
      <c r="W329" s="465"/>
      <c r="X329" s="465"/>
      <c r="Y329" s="465"/>
      <c r="Z329" s="465"/>
      <c r="AA329" s="465"/>
      <c r="AB329" s="465"/>
      <c r="AC329" s="465"/>
      <c r="AD329" s="465"/>
      <c r="AE329" s="465"/>
      <c r="AF329" s="465"/>
      <c r="AG329" s="465"/>
      <c r="AH329" s="465"/>
      <c r="AI329" s="465"/>
      <c r="AJ329" s="465"/>
      <c r="AK329" s="465"/>
      <c r="AL329" s="465"/>
      <c r="AM329" s="2"/>
      <c r="AN329" s="2"/>
    </row>
    <row r="330" spans="1:40" outlineLevel="1">
      <c r="A330" s="2"/>
      <c r="B330" s="55" t="s">
        <v>1156</v>
      </c>
      <c r="C330" s="18" t="s">
        <v>732</v>
      </c>
      <c r="D330" s="168"/>
      <c r="E330" s="168"/>
      <c r="F330" s="168"/>
      <c r="G330" s="168"/>
      <c r="H330" s="168"/>
      <c r="I330" s="168"/>
      <c r="J330" s="168"/>
      <c r="K330" s="168"/>
      <c r="L330" s="254"/>
      <c r="M330" s="254"/>
      <c r="N330" s="254"/>
      <c r="O330" s="254"/>
      <c r="P330" s="254"/>
      <c r="Q330" s="254"/>
      <c r="R330" s="254"/>
      <c r="S330" s="465">
        <f>'Revenue Assumptions'!Z598</f>
        <v>0</v>
      </c>
      <c r="T330" s="465">
        <f>'Revenue Assumptions'!AA598</f>
        <v>0</v>
      </c>
      <c r="U330" s="465">
        <f>'Revenue Assumptions'!AB598</f>
        <v>0</v>
      </c>
      <c r="V330" s="465">
        <f>'Revenue Assumptions'!AC598</f>
        <v>0</v>
      </c>
      <c r="W330" s="465">
        <f>'Revenue Assumptions'!AD598</f>
        <v>0</v>
      </c>
      <c r="X330" s="465">
        <f>'Revenue Assumptions'!AE598</f>
        <v>0</v>
      </c>
      <c r="Y330" s="465">
        <f>'Revenue Assumptions'!AF598</f>
        <v>0</v>
      </c>
      <c r="Z330" s="465">
        <f>'Revenue Assumptions'!AG598</f>
        <v>0</v>
      </c>
      <c r="AA330" s="465">
        <f>'Revenue Assumptions'!AH598</f>
        <v>0</v>
      </c>
      <c r="AB330" s="465">
        <f>'Revenue Assumptions'!AI598</f>
        <v>0</v>
      </c>
      <c r="AC330" s="465">
        <f>'Revenue Assumptions'!AJ598</f>
        <v>0</v>
      </c>
      <c r="AD330" s="465">
        <f>'Revenue Assumptions'!AK598</f>
        <v>0</v>
      </c>
      <c r="AE330" s="465">
        <f>'Revenue Assumptions'!AL598</f>
        <v>0</v>
      </c>
      <c r="AF330" s="465">
        <f>'Revenue Assumptions'!AM598</f>
        <v>0</v>
      </c>
      <c r="AG330" s="465">
        <f>'Revenue Assumptions'!AN598</f>
        <v>0</v>
      </c>
      <c r="AH330" s="465">
        <f>'Revenue Assumptions'!AO598</f>
        <v>0</v>
      </c>
      <c r="AI330" s="465">
        <f>'Revenue Assumptions'!AP598</f>
        <v>0</v>
      </c>
      <c r="AJ330" s="465">
        <f>'Revenue Assumptions'!AQ598</f>
        <v>0</v>
      </c>
      <c r="AK330" s="465">
        <f>'Revenue Assumptions'!AR598</f>
        <v>0</v>
      </c>
      <c r="AL330" s="465">
        <f>'Revenue Assumptions'!AS598</f>
        <v>0</v>
      </c>
      <c r="AM330" s="2"/>
      <c r="AN330" s="2"/>
    </row>
    <row r="331" spans="1:40" outlineLevel="1">
      <c r="A331" s="2"/>
      <c r="B331" s="55" t="s">
        <v>236</v>
      </c>
      <c r="C331" s="18" t="s">
        <v>732</v>
      </c>
      <c r="D331" s="468">
        <f>'Revenue Assumptions'!K775</f>
        <v>1122</v>
      </c>
      <c r="E331" s="468">
        <f>'Revenue Assumptions'!L775</f>
        <v>978</v>
      </c>
      <c r="F331" s="468">
        <f>'Revenue Assumptions'!M775</f>
        <v>957</v>
      </c>
      <c r="G331" s="468">
        <f>'Revenue Assumptions'!N775</f>
        <v>1010</v>
      </c>
      <c r="H331" s="468">
        <f>'Revenue Assumptions'!O775</f>
        <v>1111</v>
      </c>
      <c r="I331" s="468">
        <f>'Revenue Assumptions'!P775</f>
        <v>1696</v>
      </c>
      <c r="J331" s="468">
        <f>'Revenue Assumptions'!Q775</f>
        <v>1814</v>
      </c>
      <c r="K331" s="468">
        <f>'Revenue Assumptions'!R775</f>
        <v>1904.7618387391126</v>
      </c>
      <c r="L331" s="465">
        <f>'Revenue Assumptions'!S621</f>
        <v>2037.3193035791758</v>
      </c>
      <c r="M331" s="465">
        <f>'Revenue Assumptions'!T621</f>
        <v>2067.0459722864534</v>
      </c>
      <c r="N331" s="465">
        <f>'Revenue Assumptions'!U621</f>
        <v>1946</v>
      </c>
      <c r="O331" s="465">
        <f>'Revenue Assumptions'!V621</f>
        <v>1804.0005000000001</v>
      </c>
      <c r="P331" s="465">
        <f>'Revenue Assumptions'!W621</f>
        <v>1513.1067278999999</v>
      </c>
      <c r="Q331" s="465">
        <f>'Revenue Assumptions'!X621</f>
        <v>1336.4433528383997</v>
      </c>
      <c r="R331" s="465">
        <f>'Revenue Assumptions'!Y621</f>
        <v>103</v>
      </c>
      <c r="S331" s="465">
        <f>'Revenue Assumptions'!Z621</f>
        <v>79</v>
      </c>
      <c r="T331" s="465">
        <f>'Revenue Assumptions'!AA621</f>
        <v>70</v>
      </c>
      <c r="U331" s="465">
        <f>'Revenue Assumptions'!AB621</f>
        <v>83</v>
      </c>
      <c r="V331" s="465">
        <f>'Revenue Assumptions'!AC621</f>
        <v>95</v>
      </c>
      <c r="W331" s="465">
        <f>'Revenue Assumptions'!AD621</f>
        <v>84</v>
      </c>
      <c r="X331" s="465">
        <f>'Revenue Assumptions'!AE621</f>
        <v>49</v>
      </c>
      <c r="Y331" s="465">
        <f>'Revenue Assumptions'!AF621</f>
        <v>40.833333333333336</v>
      </c>
      <c r="Z331" s="465">
        <f>'Revenue Assumptions'!AG621</f>
        <v>34.027777777777779</v>
      </c>
      <c r="AA331" s="465">
        <f>'Revenue Assumptions'!AH621</f>
        <v>28.356481481481488</v>
      </c>
      <c r="AB331" s="465">
        <f>'Revenue Assumptions'!AI621</f>
        <v>23.630401234567909</v>
      </c>
      <c r="AC331" s="465">
        <f>'Revenue Assumptions'!AJ621</f>
        <v>19.69200102880659</v>
      </c>
      <c r="AD331" s="465">
        <f>'Revenue Assumptions'!AK621</f>
        <v>16.410000857338826</v>
      </c>
      <c r="AE331" s="465">
        <f>'Revenue Assumptions'!AL621</f>
        <v>13.675000714449022</v>
      </c>
      <c r="AF331" s="465">
        <f>'Revenue Assumptions'!AM621</f>
        <v>11.395833928707518</v>
      </c>
      <c r="AG331" s="465">
        <f>'Revenue Assumptions'!AN621</f>
        <v>9.496528273922932</v>
      </c>
      <c r="AH331" s="465">
        <f>'Revenue Assumptions'!AO621</f>
        <v>7.9137735616024436</v>
      </c>
      <c r="AI331" s="465">
        <f>'Revenue Assumptions'!AP621</f>
        <v>6.59481130133537</v>
      </c>
      <c r="AJ331" s="465">
        <f>'Revenue Assumptions'!AQ621</f>
        <v>6.59481130133537</v>
      </c>
      <c r="AK331" s="465">
        <f>'Revenue Assumptions'!AR621</f>
        <v>6.59481130133537</v>
      </c>
      <c r="AL331" s="465">
        <f>'Revenue Assumptions'!AS621</f>
        <v>6.59481130133537</v>
      </c>
      <c r="AM331" s="2"/>
      <c r="AN331" s="2"/>
    </row>
    <row r="332" spans="1:40" outlineLevel="1">
      <c r="A332" s="2"/>
      <c r="B332" s="2"/>
      <c r="C332" s="18"/>
      <c r="D332" s="6"/>
      <c r="E332" s="6"/>
      <c r="F332" s="6"/>
      <c r="G332" s="6"/>
      <c r="H332" s="6"/>
      <c r="I332" s="6"/>
      <c r="J332" s="6"/>
      <c r="K332" s="6"/>
      <c r="L332" s="259"/>
      <c r="M332" s="254"/>
      <c r="N332" s="254"/>
      <c r="O332" s="254"/>
      <c r="P332" s="254"/>
      <c r="Q332" s="254"/>
      <c r="R332" s="254"/>
      <c r="S332" s="254"/>
      <c r="T332" s="254"/>
      <c r="U332" s="254"/>
      <c r="V332" s="254"/>
      <c r="W332" s="254"/>
      <c r="X332" s="254"/>
      <c r="Y332" s="254"/>
      <c r="Z332" s="254"/>
      <c r="AA332" s="254"/>
      <c r="AB332" s="254"/>
      <c r="AC332" s="254"/>
      <c r="AD332" s="254"/>
      <c r="AE332" s="254"/>
      <c r="AF332" s="254"/>
      <c r="AG332" s="254"/>
      <c r="AH332" s="254"/>
      <c r="AI332" s="254"/>
      <c r="AJ332" s="254"/>
      <c r="AK332" s="254"/>
      <c r="AL332" s="254"/>
      <c r="AM332" s="2"/>
      <c r="AN332" s="2"/>
    </row>
    <row r="333" spans="1:40" outlineLevel="1">
      <c r="A333" s="2"/>
      <c r="B333" s="55" t="s">
        <v>28</v>
      </c>
      <c r="C333" s="18" t="s">
        <v>732</v>
      </c>
      <c r="D333" s="468">
        <f>'Revenue Assumptions'!K582+'Revenue Assumptions'!K612+'Revenue Assumptions'!K622+'Revenue Assumptions'!K620+'Revenue Assumptions'!K619+'Revenue Assumptions'!K1279+'Revenue Assumptions'!K1297-'Revenue Assumptions'!K1273</f>
        <v>3404.354800000001</v>
      </c>
      <c r="E333" s="468">
        <f>'Revenue Assumptions'!L582+'Revenue Assumptions'!L612+'Revenue Assumptions'!L622+'Revenue Assumptions'!L620+'Revenue Assumptions'!L619+'Revenue Assumptions'!L1279+'Revenue Assumptions'!L1297-'Revenue Assumptions'!L1273</f>
        <v>4115.5760000000009</v>
      </c>
      <c r="F333" s="468">
        <f>'Revenue Assumptions'!M582+'Revenue Assumptions'!M612+'Revenue Assumptions'!M622+'Revenue Assumptions'!M620+'Revenue Assumptions'!M619+'Revenue Assumptions'!M1279+'Revenue Assumptions'!M1297-'Revenue Assumptions'!M1273</f>
        <v>4307.6002000000008</v>
      </c>
      <c r="G333" s="468">
        <f>'Revenue Assumptions'!N582+'Revenue Assumptions'!N612+'Revenue Assumptions'!N622+'Revenue Assumptions'!N620+'Revenue Assumptions'!N619+'Revenue Assumptions'!N1279+'Revenue Assumptions'!N1297-'Revenue Assumptions'!N1273</f>
        <v>3291.8106399999997</v>
      </c>
      <c r="H333" s="468">
        <f>'Revenue Assumptions'!O582+'Revenue Assumptions'!O612+'Revenue Assumptions'!O622+'Revenue Assumptions'!O620+'Revenue Assumptions'!O619+'Revenue Assumptions'!O1279+'Revenue Assumptions'!O1297-'Revenue Assumptions'!O1273</f>
        <v>2563.4008200000026</v>
      </c>
      <c r="I333" s="468">
        <f>'Revenue Assumptions'!P582+'Revenue Assumptions'!P612+'Revenue Assumptions'!P622+'Revenue Assumptions'!P620+'Revenue Assumptions'!P619+'Revenue Assumptions'!P1279+'Revenue Assumptions'!P1297-'Revenue Assumptions'!P1273</f>
        <v>3317.4250800000009</v>
      </c>
      <c r="J333" s="468">
        <f>'Revenue Assumptions'!Q582+'Revenue Assumptions'!Q612+'Revenue Assumptions'!Q622+'Revenue Assumptions'!Q620+'Revenue Assumptions'!Q619+'Revenue Assumptions'!Q1279+'Revenue Assumptions'!Q1297-'Revenue Assumptions'!Q1273</f>
        <v>3481.3135599999987</v>
      </c>
      <c r="K333" s="468">
        <f>'Revenue Assumptions'!R582+'Revenue Assumptions'!R612+'Revenue Assumptions'!R622+'Revenue Assumptions'!R620+'Revenue Assumptions'!R619+'Revenue Assumptions'!R1279+'Revenue Assumptions'!R1297-'Revenue Assumptions'!R1273</f>
        <v>3473.4881612608879</v>
      </c>
      <c r="L333" s="465">
        <f>'Revenue Assumptions'!S582+'Revenue Assumptions'!S612+'Revenue Assumptions'!S622+'Revenue Assumptions'!S620+'Revenue Assumptions'!S619+'Revenue Assumptions'!S1279+'Revenue Assumptions'!S1297-'Revenue Assumptions'!S1273</f>
        <v>3111</v>
      </c>
      <c r="M333" s="465">
        <f>'Revenue Assumptions'!T582+'Revenue Assumptions'!T612+'Revenue Assumptions'!T622+'Revenue Assumptions'!T620+'Revenue Assumptions'!T619+'Revenue Assumptions'!T1279+'Revenue Assumptions'!T1297-'Revenue Assumptions'!T1273</f>
        <v>3390</v>
      </c>
      <c r="N333" s="465">
        <f>'Revenue Assumptions'!U582+'Revenue Assumptions'!U612+'Revenue Assumptions'!U622+'Revenue Assumptions'!U620+'Revenue Assumptions'!U619+'Revenue Assumptions'!U1279+'Revenue Assumptions'!U1297-'Revenue Assumptions'!U1273</f>
        <v>3269</v>
      </c>
      <c r="O333" s="465">
        <f>'Revenue Assumptions'!V582+'Revenue Assumptions'!V612+'Revenue Assumptions'!V622+'Revenue Assumptions'!V620+'Revenue Assumptions'!V619+'Revenue Assumptions'!V1279+'Revenue Assumptions'!V1297-'Revenue Assumptions'!V1273</f>
        <v>3400</v>
      </c>
      <c r="P333" s="465">
        <f>'Revenue Assumptions'!W582+'Revenue Assumptions'!W612+'Revenue Assumptions'!W622+'Revenue Assumptions'!W620+'Revenue Assumptions'!W619+'Revenue Assumptions'!W1279+'Revenue Assumptions'!W1297-'Revenue Assumptions'!W1273-P335</f>
        <v>3732.7828571428572</v>
      </c>
      <c r="Q333" s="465">
        <f>'Revenue Assumptions'!X582+'Revenue Assumptions'!X622+'Revenue Assumptions'!X620+'Revenue Assumptions'!X619+'Revenue Assumptions'!X1279+'Revenue Assumptions'!X1297-'Revenue Assumptions'!X1273-Q335</f>
        <v>2728.4780000000001</v>
      </c>
      <c r="R333" s="465">
        <f>'Revenue Assumptions'!Y582+'Revenue Assumptions'!Y622+'Revenue Assumptions'!Y620+'Revenue Assumptions'!Y619+'Revenue Assumptions'!Y1279+'Revenue Assumptions'!Y1297-'Revenue Assumptions'!Y1273-R335</f>
        <v>2769.0200000000004</v>
      </c>
      <c r="S333" s="465">
        <f>'Revenue Assumptions'!Z623+'Revenue Assumptions'!Z1275+'Revenue Assumptions'!Z1297-S331+'Revenue Assumptions'!Z582</f>
        <v>2393</v>
      </c>
      <c r="T333" s="465">
        <f>'Revenue Assumptions'!AA578+'Revenue Assumptions'!AA623-T331+'Revenue Assumptions'!AA1275+'Revenue Assumptions'!AA1284+'Revenue Assumptions'!AA1285</f>
        <v>2956</v>
      </c>
      <c r="U333" s="465">
        <f>'Revenue Assumptions'!AB578+'Revenue Assumptions'!AB623-U331+'Revenue Assumptions'!AB1275+'Revenue Assumptions'!AB1284+'Revenue Assumptions'!AB1285</f>
        <v>1747.37</v>
      </c>
      <c r="V333" s="465">
        <f>'Revenue Assumptions'!AC578+'Revenue Assumptions'!AC623-V331+'Revenue Assumptions'!AC1275+'Revenue Assumptions'!AC1284+'Revenue Assumptions'!AC1285</f>
        <v>2163.4711923805585</v>
      </c>
      <c r="W333" s="465">
        <f>'Revenue Assumptions'!AD578+'Revenue Assumptions'!AD623-W331+'Revenue Assumptions'!AD1275+'Revenue Assumptions'!AD1284+'Revenue Assumptions'!AD1285</f>
        <v>2062.0601735953624</v>
      </c>
      <c r="X333" s="465">
        <f>'Revenue Assumptions'!AE578+'Revenue Assumptions'!AE623-X331+'Revenue Assumptions'!AE1275+'Revenue Assumptions'!AE1284+'Revenue Assumptions'!AE1285</f>
        <v>2021.7155467167292</v>
      </c>
      <c r="Y333" s="465">
        <f>'Revenue Assumptions'!AF578+'Revenue Assumptions'!AF623-Y331+'Revenue Assumptions'!AF1275+'Revenue Assumptions'!AF1284+'Revenue Assumptions'!AF1285</f>
        <v>1317.1814540291512</v>
      </c>
      <c r="Z333" s="465">
        <f>'Revenue Assumptions'!AG578+'Revenue Assumptions'!AG623-Z331+'Revenue Assumptions'!AG1275+'Revenue Assumptions'!AG1284+'Revenue Assumptions'!AG1285</f>
        <v>1286.1450405144685</v>
      </c>
      <c r="AA333" s="465">
        <f>'Revenue Assumptions'!AH578+'Revenue Assumptions'!AH623-AA331+'Revenue Assumptions'!AH1275+'Revenue Assumptions'!AH1284+'Revenue Assumptions'!AH1285</f>
        <v>1257.9445785322334</v>
      </c>
      <c r="AB333" s="465">
        <f>'Revenue Assumptions'!AI578+'Revenue Assumptions'!AI623-AB331+'Revenue Assumptions'!AI1275+'Revenue Assumptions'!AI1284+'Revenue Assumptions'!AI1285</f>
        <v>1232.402367775941</v>
      </c>
      <c r="AC333" s="465">
        <f>'Revenue Assumptions'!AJ578+'Revenue Assumptions'!AJ623-AC331+'Revenue Assumptions'!AJ1275+'Revenue Assumptions'!AJ1284+'Revenue Assumptions'!AJ1285</f>
        <v>1209.3524574058088</v>
      </c>
      <c r="AD333" s="465">
        <f>'Revenue Assumptions'!AK578+'Revenue Assumptions'!AK623-AD331+'Revenue Assumptions'!AK1275+'Revenue Assumptions'!AK1284+'Revenue Assumptions'!AK1285</f>
        <v>1188.639823375795</v>
      </c>
      <c r="AE333" s="465">
        <f>'Revenue Assumptions'!AL578+'Revenue Assumptions'!AL623-AE331+'Revenue Assumptions'!AL1275+'Revenue Assumptions'!AL1284+'Revenue Assumptions'!AL1285</f>
        <v>1170.119608972579</v>
      </c>
      <c r="AF333" s="465">
        <f>'Revenue Assumptions'!AM578+'Revenue Assumptions'!AM623-AF331+'Revenue Assumptions'!AM1275+'Revenue Assumptions'!AM1284+'Revenue Assumptions'!AM1285</f>
        <v>1153.6564232424435</v>
      </c>
      <c r="AG333" s="465">
        <f>'Revenue Assumptions'!AN578+'Revenue Assumptions'!AN623-AG331+'Revenue Assumptions'!AN1275+'Revenue Assumptions'!AN1284+'Revenue Assumptions'!AN1285</f>
        <v>1139.1236924635944</v>
      </c>
      <c r="AH333" s="465">
        <f>'Revenue Assumptions'!AO578+'Revenue Assumptions'!AO623-AH331+'Revenue Assumptions'!AO1275+'Revenue Assumptions'!AO1284+'Revenue Assumptions'!AO1285</f>
        <v>1126.4030602574387</v>
      </c>
      <c r="AI333" s="465">
        <f>'Revenue Assumptions'!AP578+'Revenue Assumptions'!AP623-AI331+'Revenue Assumptions'!AP1275+'Revenue Assumptions'!AP1284+'Revenue Assumptions'!AP1285</f>
        <v>1115.3838323271298</v>
      </c>
      <c r="AJ333" s="465">
        <f>'Revenue Assumptions'!AQ578+'Revenue Assumptions'!AQ623-AJ331+'Revenue Assumptions'!AQ1275+'Revenue Assumptions'!AQ1284+'Revenue Assumptions'!AQ1285</f>
        <v>1115.3838323271298</v>
      </c>
      <c r="AK333" s="465">
        <f>'Revenue Assumptions'!AR578+'Revenue Assumptions'!AR623-AK331+'Revenue Assumptions'!AR1275+'Revenue Assumptions'!AR1284+'Revenue Assumptions'!AR1285</f>
        <v>1115.3838323271298</v>
      </c>
      <c r="AL333" s="465">
        <f>'Revenue Assumptions'!AS578+'Revenue Assumptions'!AS623-AL331+'Revenue Assumptions'!AS1275+'Revenue Assumptions'!AS1284+'Revenue Assumptions'!AS1285</f>
        <v>1115.3838323271298</v>
      </c>
      <c r="AM333" s="2"/>
      <c r="AN333" s="2"/>
    </row>
    <row r="334" spans="1:40" outlineLevel="1">
      <c r="A334" s="2"/>
      <c r="B334" s="55" t="s">
        <v>1160</v>
      </c>
      <c r="C334" s="18" t="s">
        <v>732</v>
      </c>
      <c r="D334" s="168"/>
      <c r="E334" s="168"/>
      <c r="F334" s="168"/>
      <c r="G334" s="168"/>
      <c r="H334" s="168"/>
      <c r="I334" s="168"/>
      <c r="J334" s="168"/>
      <c r="K334" s="168"/>
      <c r="L334" s="254"/>
      <c r="M334" s="254"/>
      <c r="N334" s="254"/>
      <c r="O334" s="254"/>
      <c r="P334" s="254"/>
      <c r="Q334" s="254"/>
      <c r="R334" s="254"/>
      <c r="S334" s="254"/>
      <c r="T334" s="465">
        <f>'Revenue Assumptions'!AA1277</f>
        <v>503</v>
      </c>
      <c r="U334" s="465">
        <f>'Revenue Assumptions'!AB1277</f>
        <v>523.12</v>
      </c>
      <c r="V334" s="465">
        <f>'Revenue Assumptions'!AC1277</f>
        <v>544.04480000000001</v>
      </c>
      <c r="W334" s="465">
        <f>'Revenue Assumptions'!AD1277</f>
        <v>560.36614400000019</v>
      </c>
      <c r="X334" s="465">
        <f>'Revenue Assumptions'!AE1277</f>
        <v>577.17712832000018</v>
      </c>
      <c r="Y334" s="465">
        <f>'Revenue Assumptions'!AF1277</f>
        <v>594.49244216960005</v>
      </c>
      <c r="Z334" s="465">
        <f>'Revenue Assumptions'!AG1277</f>
        <v>612.3272154346879</v>
      </c>
      <c r="AA334" s="465">
        <f>'Revenue Assumptions'!AH1277</f>
        <v>630.69703189772872</v>
      </c>
      <c r="AB334" s="465">
        <f>'Revenue Assumptions'!AI1277</f>
        <v>649.61794285466044</v>
      </c>
      <c r="AC334" s="465">
        <f>'Revenue Assumptions'!AJ1277</f>
        <v>669.10648114030016</v>
      </c>
      <c r="AD334" s="465">
        <f>'Revenue Assumptions'!AK1277</f>
        <v>689.17967557450902</v>
      </c>
      <c r="AE334" s="465">
        <f>'Revenue Assumptions'!AL1277</f>
        <v>709.85506584174414</v>
      </c>
      <c r="AF334" s="465">
        <f>'Revenue Assumptions'!AM1277</f>
        <v>731.15071781699635</v>
      </c>
      <c r="AG334" s="465">
        <f>'Revenue Assumptions'!AN1277</f>
        <v>753.08523935150606</v>
      </c>
      <c r="AH334" s="465">
        <f>'Revenue Assumptions'!AO1277</f>
        <v>775.67779653205105</v>
      </c>
      <c r="AI334" s="465">
        <f>'Revenue Assumptions'!AP1277</f>
        <v>798.9481304280124</v>
      </c>
      <c r="AJ334" s="465">
        <f>'Revenue Assumptions'!AQ1277</f>
        <v>798.9481304280124</v>
      </c>
      <c r="AK334" s="465">
        <f>'Revenue Assumptions'!AR1277</f>
        <v>798.9481304280124</v>
      </c>
      <c r="AL334" s="465">
        <f>'Revenue Assumptions'!AS1277</f>
        <v>798.9481304280124</v>
      </c>
      <c r="AM334" s="2"/>
      <c r="AN334" s="2"/>
    </row>
    <row r="335" spans="1:40" outlineLevel="1">
      <c r="A335" s="2"/>
      <c r="B335" s="2" t="s">
        <v>41</v>
      </c>
      <c r="C335" s="18" t="s">
        <v>732</v>
      </c>
      <c r="D335" s="168"/>
      <c r="E335" s="168"/>
      <c r="F335" s="168"/>
      <c r="G335" s="168"/>
      <c r="H335" s="168"/>
      <c r="I335" s="168"/>
      <c r="J335" s="168"/>
      <c r="K335" s="168"/>
      <c r="L335" s="254"/>
      <c r="M335" s="254"/>
      <c r="N335" s="254"/>
      <c r="O335" s="465">
        <v>0</v>
      </c>
      <c r="P335" s="465">
        <v>4.2171428571428571</v>
      </c>
      <c r="Q335" s="465">
        <v>88.666666666666671</v>
      </c>
      <c r="R335" s="465">
        <v>316.46857142857141</v>
      </c>
      <c r="S335" s="465">
        <v>516</v>
      </c>
      <c r="T335" s="465">
        <v>601</v>
      </c>
      <c r="U335" s="465">
        <v>908</v>
      </c>
      <c r="V335" s="465">
        <v>1013</v>
      </c>
      <c r="W335" s="465">
        <v>1171</v>
      </c>
      <c r="X335" s="465">
        <v>1084</v>
      </c>
      <c r="Y335" s="465">
        <v>935.99999999999989</v>
      </c>
      <c r="Z335" s="465">
        <v>930</v>
      </c>
      <c r="AA335" s="465">
        <v>963.2972000000002</v>
      </c>
      <c r="AB335" s="465">
        <v>992.19611600000007</v>
      </c>
      <c r="AC335" s="465">
        <v>0</v>
      </c>
      <c r="AD335" s="465">
        <v>0</v>
      </c>
      <c r="AE335" s="465">
        <v>0</v>
      </c>
      <c r="AF335" s="465">
        <v>0</v>
      </c>
      <c r="AG335" s="465">
        <v>0</v>
      </c>
      <c r="AH335" s="465">
        <v>0</v>
      </c>
      <c r="AI335" s="465">
        <v>0</v>
      </c>
      <c r="AJ335" s="465">
        <v>0</v>
      </c>
      <c r="AK335" s="465">
        <v>0</v>
      </c>
      <c r="AL335" s="465">
        <v>0</v>
      </c>
      <c r="AM335" s="2"/>
      <c r="AN335" s="2"/>
    </row>
    <row r="336" spans="1:40" outlineLevel="1">
      <c r="A336" s="2"/>
      <c r="B336" s="55" t="s">
        <v>1158</v>
      </c>
      <c r="C336" s="18" t="s">
        <v>732</v>
      </c>
      <c r="D336" s="468">
        <f>'Revenue Assumptions'!K1273</f>
        <v>0</v>
      </c>
      <c r="E336" s="468">
        <f>'Revenue Assumptions'!L1273</f>
        <v>492</v>
      </c>
      <c r="F336" s="468">
        <f>'Revenue Assumptions'!M1273</f>
        <v>1080</v>
      </c>
      <c r="G336" s="468">
        <f>'Revenue Assumptions'!N1273</f>
        <v>908</v>
      </c>
      <c r="H336" s="468">
        <f>'Revenue Assumptions'!O1273</f>
        <v>726</v>
      </c>
      <c r="I336" s="468">
        <f>'Revenue Assumptions'!P1273</f>
        <v>734</v>
      </c>
      <c r="J336" s="468">
        <f>'Revenue Assumptions'!Q1273</f>
        <v>830</v>
      </c>
      <c r="K336" s="468">
        <f>'Revenue Assumptions'!R1273</f>
        <v>1000</v>
      </c>
      <c r="L336" s="465">
        <f>'Revenue Assumptions'!S1273</f>
        <v>917</v>
      </c>
      <c r="M336" s="465">
        <f>'Revenue Assumptions'!T1273</f>
        <v>989</v>
      </c>
      <c r="N336" s="465">
        <f>'Revenue Assumptions'!U1273</f>
        <v>770</v>
      </c>
      <c r="O336" s="465">
        <f>'Revenue Assumptions'!V1273</f>
        <v>814</v>
      </c>
      <c r="P336" s="465">
        <f>'Revenue Assumptions'!W1273</f>
        <v>860</v>
      </c>
      <c r="Q336" s="465">
        <f>'Revenue Assumptions'!X1273</f>
        <v>1011</v>
      </c>
      <c r="R336" s="465">
        <f>'Revenue Assumptions'!Y1273</f>
        <v>1045</v>
      </c>
      <c r="S336" s="465">
        <f>'Revenue Assumptions'!Z1273</f>
        <v>0</v>
      </c>
      <c r="T336" s="465">
        <f>'Revenue Assumptions'!AA1273</f>
        <v>0</v>
      </c>
      <c r="U336" s="465">
        <f>'Revenue Assumptions'!AB1273</f>
        <v>0</v>
      </c>
      <c r="V336" s="465">
        <f>'Revenue Assumptions'!AC1273</f>
        <v>0</v>
      </c>
      <c r="W336" s="465">
        <f>'Revenue Assumptions'!AD1273</f>
        <v>0</v>
      </c>
      <c r="X336" s="465">
        <f>'Revenue Assumptions'!AE1273</f>
        <v>0</v>
      </c>
      <c r="Y336" s="465">
        <f>'Revenue Assumptions'!AF1273</f>
        <v>0</v>
      </c>
      <c r="Z336" s="465">
        <f>'Revenue Assumptions'!AG1273</f>
        <v>0</v>
      </c>
      <c r="AA336" s="465">
        <f>'Revenue Assumptions'!AH1273</f>
        <v>0</v>
      </c>
      <c r="AB336" s="465">
        <f>'Revenue Assumptions'!AI1273</f>
        <v>0</v>
      </c>
      <c r="AC336" s="465">
        <f>'Revenue Assumptions'!AJ1273</f>
        <v>0</v>
      </c>
      <c r="AD336" s="465">
        <f>'Revenue Assumptions'!AK1273</f>
        <v>0</v>
      </c>
      <c r="AE336" s="465">
        <f>'Revenue Assumptions'!AL1273</f>
        <v>0</v>
      </c>
      <c r="AF336" s="465">
        <f>'Revenue Assumptions'!AM1273</f>
        <v>0</v>
      </c>
      <c r="AG336" s="465">
        <f>'Revenue Assumptions'!AN1273</f>
        <v>0</v>
      </c>
      <c r="AH336" s="465">
        <f>'Revenue Assumptions'!AO1273</f>
        <v>0</v>
      </c>
      <c r="AI336" s="465">
        <f>'Revenue Assumptions'!AP1273</f>
        <v>0</v>
      </c>
      <c r="AJ336" s="465">
        <f>'Revenue Assumptions'!AQ1273</f>
        <v>0</v>
      </c>
      <c r="AK336" s="465">
        <f>'Revenue Assumptions'!AR1273</f>
        <v>0</v>
      </c>
      <c r="AL336" s="465">
        <f>'Revenue Assumptions'!AS1273</f>
        <v>0</v>
      </c>
      <c r="AM336" s="2"/>
      <c r="AN336" s="2"/>
    </row>
    <row r="337" spans="1:40" outlineLevel="1">
      <c r="A337" s="2"/>
      <c r="B337" s="57" t="s">
        <v>1159</v>
      </c>
      <c r="C337" s="22" t="s">
        <v>732</v>
      </c>
      <c r="D337" s="879">
        <f>'Revenue Assumptions'!K1280</f>
        <v>0</v>
      </c>
      <c r="E337" s="879">
        <f>'Revenue Assumptions'!L1280</f>
        <v>0</v>
      </c>
      <c r="F337" s="879">
        <f>'Revenue Assumptions'!M1280</f>
        <v>294</v>
      </c>
      <c r="G337" s="879">
        <f>'Revenue Assumptions'!N1280</f>
        <v>548</v>
      </c>
      <c r="H337" s="879">
        <f>'Revenue Assumptions'!O1280</f>
        <v>574</v>
      </c>
      <c r="I337" s="879">
        <f>'Revenue Assumptions'!P1280</f>
        <v>625</v>
      </c>
      <c r="J337" s="879">
        <f>'Revenue Assumptions'!Q1280</f>
        <v>620</v>
      </c>
      <c r="K337" s="879">
        <f>'Revenue Assumptions'!R1280</f>
        <v>573</v>
      </c>
      <c r="L337" s="854">
        <f>'Revenue Assumptions'!S1280</f>
        <v>562</v>
      </c>
      <c r="M337" s="854">
        <f>'Revenue Assumptions'!T1280</f>
        <v>547</v>
      </c>
      <c r="N337" s="854">
        <f>'Revenue Assumptions'!U1280</f>
        <v>529</v>
      </c>
      <c r="O337" s="854">
        <f>'Revenue Assumptions'!V1280</f>
        <v>516</v>
      </c>
      <c r="P337" s="854">
        <f>'Revenue Assumptions'!W1280</f>
        <v>501</v>
      </c>
      <c r="Q337" s="854">
        <f>'Revenue Assumptions'!X1280</f>
        <v>164</v>
      </c>
      <c r="R337" s="854">
        <f>'Revenue Assumptions'!Y1280</f>
        <v>0</v>
      </c>
      <c r="S337" s="854">
        <f>'Revenue Assumptions'!Z1280</f>
        <v>0</v>
      </c>
      <c r="T337" s="854">
        <f>'Revenue Assumptions'!AA1280</f>
        <v>0</v>
      </c>
      <c r="U337" s="854">
        <f>'Revenue Assumptions'!AB1280</f>
        <v>0</v>
      </c>
      <c r="V337" s="854">
        <f>'Revenue Assumptions'!AC1280</f>
        <v>0</v>
      </c>
      <c r="W337" s="854">
        <f>'Revenue Assumptions'!AD1280</f>
        <v>0</v>
      </c>
      <c r="X337" s="854">
        <f>'Revenue Assumptions'!AE1280</f>
        <v>0</v>
      </c>
      <c r="Y337" s="854">
        <f>'Revenue Assumptions'!AF1280</f>
        <v>0</v>
      </c>
      <c r="Z337" s="854">
        <f>'Revenue Assumptions'!AG1280</f>
        <v>0</v>
      </c>
      <c r="AA337" s="854">
        <f>'Revenue Assumptions'!AH1280</f>
        <v>0</v>
      </c>
      <c r="AB337" s="854">
        <f>'Revenue Assumptions'!AI1280</f>
        <v>0</v>
      </c>
      <c r="AC337" s="854">
        <f>'Revenue Assumptions'!AJ1280</f>
        <v>0</v>
      </c>
      <c r="AD337" s="854">
        <f>'Revenue Assumptions'!AK1280</f>
        <v>0</v>
      </c>
      <c r="AE337" s="854">
        <f>'Revenue Assumptions'!AL1280</f>
        <v>0</v>
      </c>
      <c r="AF337" s="854">
        <f>'Revenue Assumptions'!AM1280</f>
        <v>0</v>
      </c>
      <c r="AG337" s="854">
        <f>'Revenue Assumptions'!AN1280</f>
        <v>0</v>
      </c>
      <c r="AH337" s="854">
        <f>'Revenue Assumptions'!AO1280</f>
        <v>0</v>
      </c>
      <c r="AI337" s="854">
        <f>'Revenue Assumptions'!AP1280</f>
        <v>0</v>
      </c>
      <c r="AJ337" s="854">
        <f>'Revenue Assumptions'!AQ1280</f>
        <v>0</v>
      </c>
      <c r="AK337" s="854">
        <f>'Revenue Assumptions'!AR1280</f>
        <v>0</v>
      </c>
      <c r="AL337" s="854">
        <f>'Revenue Assumptions'!AS1280</f>
        <v>0</v>
      </c>
      <c r="AM337" s="2"/>
      <c r="AN337" s="2"/>
    </row>
    <row r="338" spans="1:40" outlineLevel="1">
      <c r="A338" s="6"/>
      <c r="B338" s="6" t="s">
        <v>214</v>
      </c>
      <c r="C338" s="21" t="s">
        <v>732</v>
      </c>
      <c r="D338" s="855">
        <f t="shared" ref="D338:W338" si="379">SUM(D317:D337)</f>
        <v>18609</v>
      </c>
      <c r="E338" s="855">
        <f t="shared" si="379"/>
        <v>19456</v>
      </c>
      <c r="F338" s="855">
        <f t="shared" si="379"/>
        <v>20197</v>
      </c>
      <c r="G338" s="855">
        <f t="shared" si="379"/>
        <v>20380</v>
      </c>
      <c r="H338" s="855">
        <f t="shared" si="379"/>
        <v>20373</v>
      </c>
      <c r="I338" s="855">
        <f t="shared" si="379"/>
        <v>22161</v>
      </c>
      <c r="J338" s="855">
        <f t="shared" si="379"/>
        <v>22712</v>
      </c>
      <c r="K338" s="855">
        <f t="shared" si="379"/>
        <v>23673</v>
      </c>
      <c r="L338" s="259">
        <f t="shared" si="379"/>
        <v>24649.799183579176</v>
      </c>
      <c r="M338" s="259">
        <f t="shared" si="379"/>
        <v>25372.252541340669</v>
      </c>
      <c r="N338" s="259">
        <f t="shared" si="379"/>
        <v>24811.852789869408</v>
      </c>
      <c r="O338" s="259">
        <f t="shared" si="379"/>
        <v>24982.968841907401</v>
      </c>
      <c r="P338" s="259">
        <f t="shared" si="379"/>
        <v>25231.817287899998</v>
      </c>
      <c r="Q338" s="259">
        <f t="shared" si="379"/>
        <v>25489.698279505068</v>
      </c>
      <c r="R338" s="259">
        <f t="shared" si="379"/>
        <v>25003.711331428571</v>
      </c>
      <c r="S338" s="259">
        <f t="shared" si="379"/>
        <v>26756.490991014121</v>
      </c>
      <c r="T338" s="259">
        <f t="shared" si="379"/>
        <v>29242.074800000002</v>
      </c>
      <c r="U338" s="259">
        <f t="shared" si="379"/>
        <v>29412.486751576442</v>
      </c>
      <c r="V338" s="259">
        <f t="shared" si="379"/>
        <v>37586.519250317338</v>
      </c>
      <c r="W338" s="259">
        <f t="shared" si="379"/>
        <v>36423.160858063893</v>
      </c>
      <c r="X338" s="259">
        <f>SUM(X317:X324)</f>
        <v>26051.313097024602</v>
      </c>
      <c r="Y338" s="259">
        <f>SUM(Y317:Y337)</f>
        <v>31140.262372922665</v>
      </c>
      <c r="Z338" s="259">
        <f>SUM(Z317:Z337)</f>
        <v>30078.030536704224</v>
      </c>
      <c r="AA338" s="259">
        <f>SUM(AA317:AA337)</f>
        <v>30254.741324059389</v>
      </c>
      <c r="AB338" s="259">
        <f>SUM(AB317:AB337)</f>
        <v>30437.67792232288</v>
      </c>
      <c r="AC338" s="259">
        <f t="shared" ref="AC338:AH338" si="380">SUM(AC317:AC337)</f>
        <v>29418.304268282209</v>
      </c>
      <c r="AD338" s="259">
        <f t="shared" si="380"/>
        <v>29705.819764936754</v>
      </c>
      <c r="AE338" s="259">
        <f t="shared" si="380"/>
        <v>30043.013265866219</v>
      </c>
      <c r="AF338" s="259">
        <f t="shared" si="380"/>
        <v>30453.761605656764</v>
      </c>
      <c r="AG338" s="259">
        <f t="shared" si="380"/>
        <v>30931.971164719031</v>
      </c>
      <c r="AH338" s="259">
        <f t="shared" si="380"/>
        <v>31478.012113727647</v>
      </c>
      <c r="AI338" s="259">
        <f>SUM(AI317:AI337)</f>
        <v>32093.224073291116</v>
      </c>
      <c r="AJ338" s="259">
        <f t="shared" ref="AJ338:AK338" si="381">SUM(AJ317:AJ337)</f>
        <v>32873.444842537174</v>
      </c>
      <c r="AK338" s="259">
        <f t="shared" si="381"/>
        <v>33710.167597493222</v>
      </c>
      <c r="AL338" s="259">
        <f t="shared" ref="AL338" si="382">SUM(AL317:AL337)</f>
        <v>33170.631340296175</v>
      </c>
      <c r="AM338" s="6"/>
      <c r="AN338" s="6"/>
    </row>
    <row r="339" spans="1:40" outlineLevel="1">
      <c r="A339" s="2"/>
      <c r="B339" s="880" t="s">
        <v>1131</v>
      </c>
      <c r="C339" s="282" t="s">
        <v>732</v>
      </c>
      <c r="D339" s="881"/>
      <c r="E339" s="881"/>
      <c r="F339" s="881"/>
      <c r="G339" s="881"/>
      <c r="H339" s="881"/>
      <c r="I339" s="881"/>
      <c r="J339" s="881"/>
      <c r="K339" s="881"/>
      <c r="L339" s="206"/>
      <c r="M339" s="206"/>
      <c r="N339" s="206"/>
      <c r="O339" s="206"/>
      <c r="P339" s="465">
        <f>'P&amp;L'!P168</f>
        <v>25231.817287899998</v>
      </c>
      <c r="Q339" s="465">
        <f>'P&amp;L'!Q168</f>
        <v>25489.698279505068</v>
      </c>
      <c r="R339" s="465">
        <f>'P&amp;L'!R168</f>
        <v>25003.711331428571</v>
      </c>
      <c r="S339" s="465">
        <f>'P&amp;L'!S168</f>
        <v>25353.490991014121</v>
      </c>
      <c r="T339" s="465">
        <f>'P&amp;L'!T168</f>
        <v>25821.074800000002</v>
      </c>
      <c r="U339" s="465">
        <f>'P&amp;L'!U168</f>
        <v>25895.996751576444</v>
      </c>
      <c r="V339" s="465">
        <f>'P&amp;L'!V21</f>
        <v>28841</v>
      </c>
      <c r="W339" s="465">
        <f>'P&amp;L'!W21</f>
        <v>27807</v>
      </c>
      <c r="X339" s="465">
        <f>'P&amp;L'!X21</f>
        <v>25937</v>
      </c>
      <c r="Y339" s="465">
        <f>'P&amp;L'!Y21</f>
        <v>23132</v>
      </c>
      <c r="Z339" s="465">
        <f>'P&amp;L'!Z21</f>
        <v>22045</v>
      </c>
      <c r="AA339" s="465">
        <f>'P&amp;L'!AA21</f>
        <v>23245.009539999999</v>
      </c>
      <c r="AB339" s="465">
        <f>'P&amp;L'!AB21</f>
        <v>23482</v>
      </c>
      <c r="AC339" s="465">
        <f>'P&amp;L'!AC21</f>
        <v>23610</v>
      </c>
      <c r="AD339" s="465"/>
      <c r="AE339" s="465"/>
      <c r="AF339" s="465">
        <f>'P&amp;L'!AP168</f>
        <v>12809</v>
      </c>
      <c r="AG339" s="465">
        <f>'P&amp;L'!AQ168</f>
        <v>14309</v>
      </c>
      <c r="AH339" s="465">
        <f>'P&amp;L'!AR168</f>
        <v>28841</v>
      </c>
      <c r="AI339" s="465">
        <f>'P&amp;L'!AS168</f>
        <v>12586</v>
      </c>
      <c r="AJ339" s="465">
        <f>'P&amp;L'!AT168</f>
        <v>13927</v>
      </c>
      <c r="AK339" s="465">
        <f>'P&amp;L'!AU168</f>
        <v>27807</v>
      </c>
      <c r="AL339" s="465">
        <f>'P&amp;L'!AV168</f>
        <v>12164</v>
      </c>
      <c r="AM339" s="2"/>
      <c r="AN339" s="2"/>
    </row>
    <row r="340" spans="1:40" outlineLevel="1">
      <c r="A340" s="2"/>
      <c r="B340" s="2" t="s">
        <v>58</v>
      </c>
      <c r="C340" s="18" t="s">
        <v>732</v>
      </c>
      <c r="D340" s="168"/>
      <c r="E340" s="168"/>
      <c r="F340" s="168"/>
      <c r="G340" s="168"/>
      <c r="H340" s="168"/>
      <c r="I340" s="168"/>
      <c r="J340" s="168"/>
      <c r="K340" s="168"/>
      <c r="L340" s="254"/>
      <c r="M340" s="254"/>
      <c r="N340" s="254"/>
      <c r="O340" s="254"/>
      <c r="P340" s="465">
        <f>'P&amp;L'!P169</f>
        <v>136</v>
      </c>
      <c r="Q340" s="465">
        <f>'P&amp;L'!Q169</f>
        <v>176</v>
      </c>
      <c r="R340" s="465">
        <f>'P&amp;L'!R169</f>
        <v>0</v>
      </c>
      <c r="S340" s="465">
        <f>'P&amp;L'!S169</f>
        <v>0</v>
      </c>
      <c r="T340" s="465">
        <f>'P&amp;L'!T169</f>
        <v>77</v>
      </c>
      <c r="U340" s="465">
        <f>'P&amp;L'!U169</f>
        <v>103</v>
      </c>
      <c r="V340" s="465">
        <f>'P&amp;L'!V169</f>
        <v>0</v>
      </c>
      <c r="W340" s="465">
        <f>'P&amp;L'!W169</f>
        <v>0</v>
      </c>
      <c r="X340" s="465">
        <f>'P&amp;L'!X169</f>
        <v>0</v>
      </c>
      <c r="Y340" s="465">
        <f>'P&amp;L'!Y169</f>
        <v>0</v>
      </c>
      <c r="Z340" s="465">
        <f>'P&amp;L'!Z169</f>
        <v>0</v>
      </c>
      <c r="AA340" s="465">
        <f>'P&amp;L'!AA169</f>
        <v>0</v>
      </c>
      <c r="AB340" s="465">
        <f>'P&amp;L'!AB169</f>
        <v>0</v>
      </c>
      <c r="AC340" s="465">
        <f>'P&amp;L'!AC169</f>
        <v>0</v>
      </c>
      <c r="AD340" s="465"/>
      <c r="AE340" s="465"/>
      <c r="AF340" s="465">
        <f>'P&amp;L'!AP169</f>
        <v>0</v>
      </c>
      <c r="AG340" s="465">
        <f>'P&amp;L'!AQ169</f>
        <v>0</v>
      </c>
      <c r="AH340" s="465">
        <f>'P&amp;L'!AR169</f>
        <v>0</v>
      </c>
      <c r="AI340" s="465">
        <f>'P&amp;L'!AS169</f>
        <v>0</v>
      </c>
      <c r="AJ340" s="465">
        <f>'P&amp;L'!AT169</f>
        <v>0</v>
      </c>
      <c r="AK340" s="465">
        <f>'P&amp;L'!AU169</f>
        <v>0</v>
      </c>
      <c r="AL340" s="465">
        <f>'P&amp;L'!AV169</f>
        <v>0</v>
      </c>
      <c r="AM340" s="2"/>
      <c r="AN340" s="2"/>
    </row>
    <row r="341" spans="1:40" outlineLevel="1">
      <c r="A341" s="2"/>
      <c r="B341" s="23" t="s">
        <v>647</v>
      </c>
      <c r="C341" s="22" t="s">
        <v>732</v>
      </c>
      <c r="D341" s="882"/>
      <c r="E341" s="882"/>
      <c r="F341" s="882"/>
      <c r="G341" s="882"/>
      <c r="H341" s="882"/>
      <c r="I341" s="882"/>
      <c r="J341" s="882"/>
      <c r="K341" s="882"/>
      <c r="L341" s="853"/>
      <c r="M341" s="853"/>
      <c r="N341" s="853"/>
      <c r="O341" s="853"/>
      <c r="P341" s="854">
        <f>'Revenue Assumptions'!W1293</f>
        <v>135</v>
      </c>
      <c r="Q341" s="854">
        <f>'Revenue Assumptions'!X1293</f>
        <v>302</v>
      </c>
      <c r="R341" s="854">
        <f>'Revenue Assumptions'!Y1293</f>
        <v>415</v>
      </c>
      <c r="S341" s="854">
        <f>'Revenue Assumptions'!Z1293</f>
        <v>584</v>
      </c>
      <c r="T341" s="854">
        <f>'Revenue Assumptions'!AA1293</f>
        <v>1145</v>
      </c>
      <c r="U341" s="854">
        <f>'Revenue Assumptions'!AB1293</f>
        <v>2192</v>
      </c>
      <c r="V341" s="854">
        <f>'Revenue Assumptions'!AC1293</f>
        <v>2884</v>
      </c>
      <c r="W341" s="854">
        <f>'Revenue Assumptions'!AD1293</f>
        <v>2694</v>
      </c>
      <c r="X341" s="854">
        <f>'Revenue Assumptions'!AE1293</f>
        <v>2804</v>
      </c>
      <c r="Y341" s="854">
        <f>'Revenue Assumptions'!AF1293</f>
        <v>2105</v>
      </c>
      <c r="Z341" s="854">
        <f>'Revenue Assumptions'!AG1293</f>
        <v>1399.6666666666677</v>
      </c>
      <c r="AA341" s="854">
        <f>'Revenue Assumptions'!AH1293</f>
        <v>1399.6666666666677</v>
      </c>
      <c r="AB341" s="854">
        <f>'Revenue Assumptions'!AI1293</f>
        <v>1286.1111111111104</v>
      </c>
      <c r="AC341" s="854">
        <f>'Revenue Assumptions'!AJ1293</f>
        <v>900</v>
      </c>
      <c r="AD341" s="854">
        <f>'Revenue Assumptions'!AK1293</f>
        <v>900</v>
      </c>
      <c r="AE341" s="854">
        <f>'Revenue Assumptions'!AL1293</f>
        <v>900</v>
      </c>
      <c r="AF341" s="854">
        <f>'Revenue Assumptions'!AM1293</f>
        <v>900</v>
      </c>
      <c r="AG341" s="854">
        <f>'Revenue Assumptions'!AN1293</f>
        <v>900</v>
      </c>
      <c r="AH341" s="854">
        <f>'Revenue Assumptions'!AO1293</f>
        <v>900</v>
      </c>
      <c r="AI341" s="854">
        <f>'Revenue Assumptions'!AP1293</f>
        <v>900</v>
      </c>
      <c r="AJ341" s="854">
        <f>'Revenue Assumptions'!AQ1293</f>
        <v>900</v>
      </c>
      <c r="AK341" s="854">
        <f>'Revenue Assumptions'!AR1293</f>
        <v>900</v>
      </c>
      <c r="AL341" s="854">
        <f>'Revenue Assumptions'!AS1293</f>
        <v>900</v>
      </c>
      <c r="AM341" s="2"/>
      <c r="AN341" s="2"/>
    </row>
    <row r="342" spans="1:40" outlineLevel="1">
      <c r="A342" s="6"/>
      <c r="B342" s="6" t="s">
        <v>214</v>
      </c>
      <c r="C342" s="21" t="s">
        <v>732</v>
      </c>
      <c r="D342" s="6"/>
      <c r="E342" s="6"/>
      <c r="F342" s="6"/>
      <c r="G342" s="6"/>
      <c r="H342" s="6"/>
      <c r="I342" s="6"/>
      <c r="J342" s="6"/>
      <c r="K342" s="6"/>
      <c r="L342" s="259"/>
      <c r="M342" s="259"/>
      <c r="N342" s="259"/>
      <c r="O342" s="259"/>
      <c r="P342" s="259">
        <f t="shared" ref="P342:U342" si="383">P338+P340+P341</f>
        <v>25502.817287899998</v>
      </c>
      <c r="Q342" s="259">
        <f t="shared" si="383"/>
        <v>25967.698279505068</v>
      </c>
      <c r="R342" s="259">
        <f t="shared" si="383"/>
        <v>25418.711331428571</v>
      </c>
      <c r="S342" s="259">
        <f t="shared" si="383"/>
        <v>27340.490991014121</v>
      </c>
      <c r="T342" s="259">
        <f t="shared" si="383"/>
        <v>30464.074800000002</v>
      </c>
      <c r="U342" s="259">
        <f t="shared" si="383"/>
        <v>31707.486751576442</v>
      </c>
      <c r="V342" s="259">
        <f t="shared" ref="V342:AB342" si="384">V338+V340+V341</f>
        <v>40470.519250317338</v>
      </c>
      <c r="W342" s="259">
        <f t="shared" si="384"/>
        <v>39117.160858063893</v>
      </c>
      <c r="X342" s="259">
        <f t="shared" si="384"/>
        <v>28855.313097024602</v>
      </c>
      <c r="Y342" s="259">
        <f t="shared" si="384"/>
        <v>33245.262372922662</v>
      </c>
      <c r="Z342" s="259">
        <f t="shared" si="384"/>
        <v>31477.697203370892</v>
      </c>
      <c r="AA342" s="259">
        <f t="shared" si="384"/>
        <v>31654.407990726057</v>
      </c>
      <c r="AB342" s="259">
        <f t="shared" si="384"/>
        <v>31723.78903343399</v>
      </c>
      <c r="AC342" s="259">
        <f t="shared" ref="AC342:AH342" si="385">AC338+AC340+AC341</f>
        <v>30318.304268282209</v>
      </c>
      <c r="AD342" s="259">
        <f t="shared" si="385"/>
        <v>30605.819764936754</v>
      </c>
      <c r="AE342" s="259">
        <f t="shared" si="385"/>
        <v>30943.013265866219</v>
      </c>
      <c r="AF342" s="259">
        <f t="shared" si="385"/>
        <v>31353.761605656764</v>
      </c>
      <c r="AG342" s="259">
        <f t="shared" si="385"/>
        <v>31831.971164719031</v>
      </c>
      <c r="AH342" s="259">
        <f t="shared" si="385"/>
        <v>32378.012113727647</v>
      </c>
      <c r="AI342" s="259">
        <f>AI338+AI340+AI341</f>
        <v>32993.224073291116</v>
      </c>
      <c r="AJ342" s="259">
        <f t="shared" ref="AJ342:AK342" si="386">AJ338+AJ340+AJ341</f>
        <v>33773.444842537174</v>
      </c>
      <c r="AK342" s="259">
        <f t="shared" si="386"/>
        <v>34610.167597493222</v>
      </c>
      <c r="AL342" s="259">
        <f t="shared" ref="AL342" si="387">AL338+AL340+AL341</f>
        <v>34070.631340296175</v>
      </c>
      <c r="AM342" s="6"/>
      <c r="AN342" s="6"/>
    </row>
    <row r="343" spans="1:40" outlineLevel="1">
      <c r="A343" s="2"/>
      <c r="B343" s="2" t="s">
        <v>1130</v>
      </c>
      <c r="C343" s="18" t="s">
        <v>732</v>
      </c>
      <c r="D343" s="2"/>
      <c r="E343" s="2"/>
      <c r="F343" s="2"/>
      <c r="G343" s="2"/>
      <c r="H343" s="2"/>
      <c r="I343" s="2"/>
      <c r="J343" s="2"/>
      <c r="K343" s="2"/>
      <c r="L343" s="254"/>
      <c r="M343" s="254"/>
      <c r="N343" s="254"/>
      <c r="O343" s="254"/>
      <c r="P343" s="465">
        <f>'P&amp;L'!P171</f>
        <v>25502.817287899998</v>
      </c>
      <c r="Q343" s="465">
        <f>'P&amp;L'!Q171</f>
        <v>25967.698279505068</v>
      </c>
      <c r="R343" s="465">
        <f>'P&amp;L'!R171</f>
        <v>25003.711331428571</v>
      </c>
      <c r="S343" s="465">
        <f>'P&amp;L'!S171</f>
        <v>25353.490991014121</v>
      </c>
      <c r="T343" s="465">
        <f>'P&amp;L'!T171</f>
        <v>27037.074800000002</v>
      </c>
      <c r="U343" s="465">
        <f>'P&amp;L'!U171</f>
        <v>28190.996751576444</v>
      </c>
      <c r="V343" s="465">
        <f>'P&amp;L'!V171</f>
        <v>31834</v>
      </c>
      <c r="W343" s="465">
        <f>'P&amp;L'!W171</f>
        <v>30355</v>
      </c>
      <c r="X343" s="465">
        <f>'P&amp;L'!X171</f>
        <v>28388</v>
      </c>
      <c r="Y343" s="465">
        <f>'P&amp;L'!Y171</f>
        <v>25484.959999999999</v>
      </c>
      <c r="Z343" s="465">
        <f>'P&amp;L'!Z171</f>
        <v>24303.8416</v>
      </c>
      <c r="AA343" s="465">
        <f>'P&amp;L'!AA171</f>
        <v>25413.497475999997</v>
      </c>
      <c r="AB343" s="465">
        <f>'P&amp;L'!AB171</f>
        <v>25563.748418560001</v>
      </c>
      <c r="AC343" s="465">
        <f>'P&amp;L'!AC171</f>
        <v>25608.478481817601</v>
      </c>
      <c r="AD343" s="465"/>
      <c r="AE343" s="465"/>
      <c r="AF343" s="465">
        <f>'P&amp;L'!AP171</f>
        <v>14391</v>
      </c>
      <c r="AG343" s="465">
        <f>'P&amp;L'!AQ171</f>
        <v>15720</v>
      </c>
      <c r="AH343" s="465">
        <f>'P&amp;L'!AR171</f>
        <v>31834</v>
      </c>
      <c r="AI343" s="465">
        <f>'P&amp;L'!AS171</f>
        <v>13798</v>
      </c>
      <c r="AJ343" s="465">
        <f>'P&amp;L'!AT171</f>
        <v>15263</v>
      </c>
      <c r="AK343" s="465">
        <f>'P&amp;L'!AU171</f>
        <v>30355</v>
      </c>
      <c r="AL343" s="465">
        <f>'P&amp;L'!AV171</f>
        <v>13413</v>
      </c>
      <c r="AM343" s="2"/>
      <c r="AN343" s="2"/>
    </row>
    <row r="344" spans="1:40" outlineLevel="1">
      <c r="A344" s="2"/>
      <c r="B344" s="2"/>
      <c r="C344" s="18"/>
      <c r="D344" s="2"/>
      <c r="E344" s="2"/>
      <c r="F344" s="2"/>
      <c r="G344" s="2"/>
      <c r="H344" s="2"/>
      <c r="I344" s="2"/>
      <c r="J344" s="2"/>
      <c r="K344" s="2"/>
      <c r="L344" s="254"/>
      <c r="M344" s="254"/>
      <c r="N344" s="254"/>
      <c r="O344" s="254"/>
      <c r="P344" s="465"/>
      <c r="Q344" s="465"/>
      <c r="R344" s="465"/>
      <c r="S344" s="465"/>
      <c r="T344" s="465"/>
      <c r="U344" s="465"/>
      <c r="V344" s="465"/>
      <c r="W344" s="465"/>
      <c r="X344" s="465"/>
      <c r="Y344" s="465"/>
      <c r="Z344" s="465"/>
      <c r="AA344" s="465"/>
      <c r="AB344" s="465"/>
      <c r="AC344" s="465"/>
      <c r="AD344" s="465"/>
      <c r="AE344" s="465"/>
      <c r="AF344" s="465"/>
      <c r="AG344" s="465"/>
      <c r="AH344" s="465"/>
      <c r="AI344" s="465"/>
      <c r="AJ344" s="465"/>
      <c r="AK344" s="465"/>
      <c r="AL344" s="465"/>
      <c r="AM344" s="2"/>
      <c r="AN344" s="2"/>
    </row>
    <row r="345" spans="1:40" ht="15.6" outlineLevel="1">
      <c r="A345" s="2"/>
      <c r="B345" s="237" t="s">
        <v>1174</v>
      </c>
      <c r="C345" s="238"/>
      <c r="D345" s="239"/>
      <c r="E345" s="239"/>
      <c r="F345" s="239"/>
      <c r="G345" s="239"/>
      <c r="H345" s="239"/>
      <c r="I345" s="239"/>
      <c r="J345" s="239"/>
      <c r="K345" s="239"/>
      <c r="L345" s="239"/>
      <c r="M345" s="239"/>
      <c r="N345" s="239"/>
      <c r="O345" s="239"/>
      <c r="P345" s="239"/>
      <c r="Q345" s="239"/>
      <c r="R345" s="239"/>
      <c r="S345" s="239"/>
      <c r="T345" s="239"/>
      <c r="U345" s="239"/>
      <c r="V345" s="239"/>
      <c r="W345" s="239"/>
      <c r="X345" s="239"/>
      <c r="Y345" s="239"/>
      <c r="Z345" s="239"/>
      <c r="AA345" s="239"/>
      <c r="AB345" s="239"/>
      <c r="AC345" s="239"/>
      <c r="AD345" s="239"/>
      <c r="AE345" s="239"/>
      <c r="AF345" s="239"/>
      <c r="AG345" s="239"/>
      <c r="AH345" s="270"/>
      <c r="AI345" s="240"/>
      <c r="AJ345" s="240"/>
      <c r="AK345" s="240"/>
      <c r="AL345" s="240"/>
      <c r="AM345" s="2"/>
      <c r="AN345" s="2"/>
    </row>
    <row r="346" spans="1:40" outlineLevel="1">
      <c r="A346" s="2"/>
      <c r="B346" s="2"/>
      <c r="C346" s="18"/>
      <c r="D346" s="2"/>
      <c r="E346" s="2"/>
      <c r="F346" s="2"/>
      <c r="G346" s="2"/>
      <c r="H346" s="2"/>
      <c r="I346" s="2"/>
      <c r="J346" s="2"/>
      <c r="K346" s="2"/>
      <c r="L346" s="2"/>
      <c r="M346" s="2"/>
      <c r="N346" s="2"/>
      <c r="O346" s="2"/>
      <c r="P346" s="2"/>
      <c r="Q346" s="2"/>
      <c r="R346" s="2"/>
      <c r="S346" s="2"/>
      <c r="T346" s="168"/>
      <c r="U346" s="2"/>
      <c r="V346" s="2"/>
      <c r="W346" s="2"/>
      <c r="X346" s="2"/>
      <c r="Y346" s="2"/>
      <c r="Z346" s="2"/>
      <c r="AA346" s="2"/>
      <c r="AB346" s="2"/>
      <c r="AC346" s="2"/>
      <c r="AD346" s="2"/>
      <c r="AE346" s="2"/>
      <c r="AF346" s="2"/>
      <c r="AG346" s="2"/>
      <c r="AH346" s="2"/>
      <c r="AI346" s="2"/>
      <c r="AJ346" s="2"/>
      <c r="AK346" s="2"/>
      <c r="AL346" s="2"/>
      <c r="AM346" s="2"/>
      <c r="AN346" s="2"/>
    </row>
    <row r="347" spans="1:40" outlineLevel="1">
      <c r="A347" s="2"/>
      <c r="B347" s="243" t="s">
        <v>266</v>
      </c>
      <c r="C347" s="18" t="s">
        <v>733</v>
      </c>
      <c r="D347" s="166"/>
      <c r="E347" s="166"/>
      <c r="F347" s="166"/>
      <c r="G347" s="166"/>
      <c r="H347" s="166"/>
      <c r="I347" s="858">
        <v>0.3</v>
      </c>
      <c r="J347" s="858">
        <v>0.3</v>
      </c>
      <c r="K347" s="858">
        <v>0.3</v>
      </c>
      <c r="L347" s="860">
        <v>0.3</v>
      </c>
      <c r="M347" s="860">
        <v>0.34</v>
      </c>
      <c r="N347" s="860">
        <v>0.35</v>
      </c>
      <c r="O347" s="860">
        <v>0.32</v>
      </c>
      <c r="P347" s="860">
        <v>0.36</v>
      </c>
      <c r="Q347" s="860">
        <v>0.38</v>
      </c>
      <c r="R347" s="860">
        <v>0.4</v>
      </c>
      <c r="S347" s="860">
        <v>0.4</v>
      </c>
      <c r="T347" s="860">
        <v>0.42</v>
      </c>
      <c r="U347" s="860">
        <v>0.42749999999999999</v>
      </c>
      <c r="V347" s="263">
        <f t="shared" ref="V347:V352" si="388">V368/V317</f>
        <v>0.37314427103159498</v>
      </c>
      <c r="W347" s="263">
        <f t="shared" ref="W347:X352" si="389">W368/W317</f>
        <v>0.3523335524462391</v>
      </c>
      <c r="X347" s="263">
        <f t="shared" si="389"/>
        <v>0.34550839091806518</v>
      </c>
      <c r="Y347" s="639">
        <f>+X347</f>
        <v>0.34550839091806518</v>
      </c>
      <c r="Z347" s="639">
        <f>+Y347</f>
        <v>0.34550839091806518</v>
      </c>
      <c r="AA347" s="639">
        <f>Z347+0.25%</f>
        <v>0.34800839091806518</v>
      </c>
      <c r="AB347" s="639">
        <f>AA347+0.25%</f>
        <v>0.35050839091806518</v>
      </c>
      <c r="AC347" s="639">
        <f>AB347+0.25%</f>
        <v>0.35300839091806518</v>
      </c>
      <c r="AD347" s="639">
        <f>AC347+0.25%</f>
        <v>0.35550839091806519</v>
      </c>
      <c r="AE347" s="639">
        <f>AD347+0.25%</f>
        <v>0.35800839091806519</v>
      </c>
      <c r="AF347" s="639">
        <f>+AE347</f>
        <v>0.35800839091806519</v>
      </c>
      <c r="AG347" s="639">
        <f>+AF347</f>
        <v>0.35800839091806519</v>
      </c>
      <c r="AH347" s="639">
        <f>+AG347</f>
        <v>0.35800839091806519</v>
      </c>
      <c r="AI347" s="639">
        <f>+AH347</f>
        <v>0.35800839091806519</v>
      </c>
      <c r="AJ347" s="639">
        <f t="shared" ref="AJ347:AL348" si="390">+AI347</f>
        <v>0.35800839091806519</v>
      </c>
      <c r="AK347" s="639">
        <f t="shared" si="390"/>
        <v>0.35800839091806519</v>
      </c>
      <c r="AL347" s="639">
        <f t="shared" si="390"/>
        <v>0.35800839091806519</v>
      </c>
      <c r="AM347" s="2"/>
      <c r="AN347" s="2"/>
    </row>
    <row r="348" spans="1:40" outlineLevel="1">
      <c r="A348" s="2"/>
      <c r="B348" s="243" t="s">
        <v>1028</v>
      </c>
      <c r="C348" s="18" t="s">
        <v>733</v>
      </c>
      <c r="D348" s="166"/>
      <c r="E348" s="166"/>
      <c r="F348" s="166"/>
      <c r="G348" s="166"/>
      <c r="H348" s="166"/>
      <c r="I348" s="166"/>
      <c r="J348" s="166"/>
      <c r="K348" s="166"/>
      <c r="L348" s="883"/>
      <c r="M348" s="883"/>
      <c r="N348" s="883"/>
      <c r="O348" s="883"/>
      <c r="P348" s="883"/>
      <c r="Q348" s="883"/>
      <c r="R348" s="883"/>
      <c r="S348" s="883"/>
      <c r="T348" s="883"/>
      <c r="U348" s="883"/>
      <c r="V348" s="263">
        <f t="shared" si="388"/>
        <v>0.42944269190325973</v>
      </c>
      <c r="W348" s="263">
        <f t="shared" si="389"/>
        <v>0.34766862833861478</v>
      </c>
      <c r="X348" s="263">
        <f t="shared" si="389"/>
        <v>0.16537789972561737</v>
      </c>
      <c r="Y348" s="639">
        <v>0.11</v>
      </c>
      <c r="Z348" s="639">
        <v>0.12</v>
      </c>
      <c r="AA348" s="639">
        <v>0.13</v>
      </c>
      <c r="AB348" s="639">
        <f>+AA348</f>
        <v>0.13</v>
      </c>
      <c r="AC348" s="639">
        <f t="shared" ref="AC348:AI348" si="391">+AB348</f>
        <v>0.13</v>
      </c>
      <c r="AD348" s="639">
        <f t="shared" si="391"/>
        <v>0.13</v>
      </c>
      <c r="AE348" s="639">
        <f t="shared" si="391"/>
        <v>0.13</v>
      </c>
      <c r="AF348" s="639">
        <f t="shared" si="391"/>
        <v>0.13</v>
      </c>
      <c r="AG348" s="639">
        <f t="shared" si="391"/>
        <v>0.13</v>
      </c>
      <c r="AH348" s="639">
        <f t="shared" si="391"/>
        <v>0.13</v>
      </c>
      <c r="AI348" s="639">
        <f t="shared" si="391"/>
        <v>0.13</v>
      </c>
      <c r="AJ348" s="639">
        <f t="shared" si="390"/>
        <v>0.13</v>
      </c>
      <c r="AK348" s="639">
        <f t="shared" si="390"/>
        <v>0.13</v>
      </c>
      <c r="AL348" s="639">
        <f t="shared" si="390"/>
        <v>0.13</v>
      </c>
      <c r="AM348" s="2"/>
      <c r="AN348" s="2"/>
    </row>
    <row r="349" spans="1:40" outlineLevel="1">
      <c r="A349" s="2"/>
      <c r="B349" s="243" t="s">
        <v>1152</v>
      </c>
      <c r="C349" s="18" t="s">
        <v>733</v>
      </c>
      <c r="D349" s="166"/>
      <c r="E349" s="166"/>
      <c r="F349" s="166"/>
      <c r="G349" s="166"/>
      <c r="H349" s="166"/>
      <c r="I349" s="166"/>
      <c r="J349" s="166"/>
      <c r="K349" s="166"/>
      <c r="L349" s="883"/>
      <c r="M349" s="883"/>
      <c r="N349" s="883"/>
      <c r="O349" s="883"/>
      <c r="P349" s="883"/>
      <c r="Q349" s="883"/>
      <c r="R349" s="883"/>
      <c r="S349" s="883"/>
      <c r="T349" s="263">
        <f>T370/T319</f>
        <v>0.90180878552971577</v>
      </c>
      <c r="U349" s="263">
        <f>U370/U319</f>
        <v>0.90128755364806867</v>
      </c>
      <c r="V349" s="263">
        <f t="shared" si="388"/>
        <v>0.90186915887850472</v>
      </c>
      <c r="W349" s="263">
        <f t="shared" si="389"/>
        <v>0.93239795918367352</v>
      </c>
      <c r="X349" s="263">
        <f t="shared" si="389"/>
        <v>0.93821510297482835</v>
      </c>
      <c r="Y349" s="639">
        <v>0.93</v>
      </c>
      <c r="Z349" s="639">
        <f t="shared" ref="Z349:AB350" si="392">Y349</f>
        <v>0.93</v>
      </c>
      <c r="AA349" s="639">
        <f t="shared" si="392"/>
        <v>0.93</v>
      </c>
      <c r="AB349" s="639">
        <f t="shared" si="392"/>
        <v>0.93</v>
      </c>
      <c r="AC349" s="639">
        <f t="shared" ref="AC349:AI351" si="393">AB349</f>
        <v>0.93</v>
      </c>
      <c r="AD349" s="639">
        <f t="shared" si="393"/>
        <v>0.93</v>
      </c>
      <c r="AE349" s="639">
        <f t="shared" si="393"/>
        <v>0.93</v>
      </c>
      <c r="AF349" s="639">
        <f t="shared" si="393"/>
        <v>0.93</v>
      </c>
      <c r="AG349" s="639">
        <f t="shared" si="393"/>
        <v>0.93</v>
      </c>
      <c r="AH349" s="639">
        <f t="shared" si="393"/>
        <v>0.93</v>
      </c>
      <c r="AI349" s="639">
        <f t="shared" si="393"/>
        <v>0.93</v>
      </c>
      <c r="AJ349" s="639">
        <f t="shared" ref="AJ349:AJ352" si="394">AI349</f>
        <v>0.93</v>
      </c>
      <c r="AK349" s="639">
        <f t="shared" ref="AK349:AL352" si="395">AJ349</f>
        <v>0.93</v>
      </c>
      <c r="AL349" s="639">
        <f t="shared" si="395"/>
        <v>0.93</v>
      </c>
      <c r="AM349" s="2"/>
      <c r="AN349" s="2"/>
    </row>
    <row r="350" spans="1:40" outlineLevel="1">
      <c r="A350" s="2"/>
      <c r="B350" s="243" t="s">
        <v>1064</v>
      </c>
      <c r="C350" s="18" t="s">
        <v>733</v>
      </c>
      <c r="D350" s="166"/>
      <c r="E350" s="166"/>
      <c r="F350" s="166"/>
      <c r="G350" s="166"/>
      <c r="H350" s="166"/>
      <c r="I350" s="858">
        <v>0.3</v>
      </c>
      <c r="J350" s="858">
        <v>0.3</v>
      </c>
      <c r="K350" s="858">
        <v>0.3</v>
      </c>
      <c r="L350" s="860">
        <v>0.55000000000000004</v>
      </c>
      <c r="M350" s="860">
        <v>0.56999999999999995</v>
      </c>
      <c r="N350" s="860">
        <v>0.62</v>
      </c>
      <c r="O350" s="860">
        <v>0.61</v>
      </c>
      <c r="P350" s="860">
        <v>0.64</v>
      </c>
      <c r="Q350" s="860">
        <v>0.65</v>
      </c>
      <c r="R350" s="860">
        <v>0.65</v>
      </c>
      <c r="S350" s="860">
        <v>0.64</v>
      </c>
      <c r="T350" s="860">
        <v>0.61939999999999995</v>
      </c>
      <c r="U350" s="860">
        <v>0.58799999999999997</v>
      </c>
      <c r="V350" s="263">
        <f t="shared" si="388"/>
        <v>0.34988280417643297</v>
      </c>
      <c r="W350" s="263">
        <f t="shared" si="389"/>
        <v>0.35886722376973074</v>
      </c>
      <c r="X350" s="263">
        <f t="shared" si="389"/>
        <v>0.31873599917737289</v>
      </c>
      <c r="Y350" s="639">
        <v>0.61</v>
      </c>
      <c r="Z350" s="639">
        <v>0.62</v>
      </c>
      <c r="AA350" s="639">
        <f t="shared" si="392"/>
        <v>0.62</v>
      </c>
      <c r="AB350" s="639">
        <f t="shared" si="392"/>
        <v>0.62</v>
      </c>
      <c r="AC350" s="639">
        <f t="shared" si="393"/>
        <v>0.62</v>
      </c>
      <c r="AD350" s="639">
        <f t="shared" si="393"/>
        <v>0.62</v>
      </c>
      <c r="AE350" s="639">
        <f t="shared" si="393"/>
        <v>0.62</v>
      </c>
      <c r="AF350" s="639">
        <f t="shared" si="393"/>
        <v>0.62</v>
      </c>
      <c r="AG350" s="639">
        <f t="shared" si="393"/>
        <v>0.62</v>
      </c>
      <c r="AH350" s="639">
        <f t="shared" si="393"/>
        <v>0.62</v>
      </c>
      <c r="AI350" s="639">
        <f t="shared" si="393"/>
        <v>0.62</v>
      </c>
      <c r="AJ350" s="639">
        <f t="shared" si="394"/>
        <v>0.62</v>
      </c>
      <c r="AK350" s="639">
        <f t="shared" si="395"/>
        <v>0.62</v>
      </c>
      <c r="AL350" s="639">
        <f t="shared" si="395"/>
        <v>0.62</v>
      </c>
      <c r="AM350" s="2"/>
      <c r="AN350" s="2"/>
    </row>
    <row r="351" spans="1:40" outlineLevel="1">
      <c r="A351" s="2"/>
      <c r="B351" s="243" t="s">
        <v>657</v>
      </c>
      <c r="C351" s="18" t="s">
        <v>733</v>
      </c>
      <c r="D351" s="166"/>
      <c r="E351" s="166"/>
      <c r="F351" s="166"/>
      <c r="G351" s="166"/>
      <c r="H351" s="166"/>
      <c r="I351" s="166"/>
      <c r="J351" s="166"/>
      <c r="K351" s="166"/>
      <c r="L351" s="883"/>
      <c r="M351" s="883"/>
      <c r="N351" s="883"/>
      <c r="O351" s="883"/>
      <c r="P351" s="883"/>
      <c r="Q351" s="860">
        <v>0.2</v>
      </c>
      <c r="R351" s="860">
        <v>0.2</v>
      </c>
      <c r="S351" s="860">
        <v>0.1</v>
      </c>
      <c r="T351" s="860">
        <v>5.5E-2</v>
      </c>
      <c r="U351" s="860">
        <v>8.6499999999999994E-2</v>
      </c>
      <c r="V351" s="263">
        <f t="shared" si="388"/>
        <v>0.10063413289219741</v>
      </c>
      <c r="W351" s="263">
        <f t="shared" si="389"/>
        <v>0.10353753235547886</v>
      </c>
      <c r="X351" s="263">
        <f t="shared" si="389"/>
        <v>0.17549570878958271</v>
      </c>
      <c r="Y351" s="639">
        <v>0.2</v>
      </c>
      <c r="Z351" s="639">
        <f>Y351+1%</f>
        <v>0.21000000000000002</v>
      </c>
      <c r="AA351" s="639">
        <f>Z351+1%</f>
        <v>0.22000000000000003</v>
      </c>
      <c r="AB351" s="639">
        <f>AA351+1%</f>
        <v>0.23000000000000004</v>
      </c>
      <c r="AC351" s="639">
        <f>AB351</f>
        <v>0.23000000000000004</v>
      </c>
      <c r="AD351" s="639">
        <f t="shared" si="393"/>
        <v>0.23000000000000004</v>
      </c>
      <c r="AE351" s="639">
        <f t="shared" si="393"/>
        <v>0.23000000000000004</v>
      </c>
      <c r="AF351" s="639">
        <f t="shared" si="393"/>
        <v>0.23000000000000004</v>
      </c>
      <c r="AG351" s="639">
        <f t="shared" si="393"/>
        <v>0.23000000000000004</v>
      </c>
      <c r="AH351" s="639">
        <f t="shared" si="393"/>
        <v>0.23000000000000004</v>
      </c>
      <c r="AI351" s="639">
        <f t="shared" si="393"/>
        <v>0.23000000000000004</v>
      </c>
      <c r="AJ351" s="639">
        <f t="shared" si="394"/>
        <v>0.23000000000000004</v>
      </c>
      <c r="AK351" s="639">
        <f t="shared" si="395"/>
        <v>0.23000000000000004</v>
      </c>
      <c r="AL351" s="639">
        <f t="shared" si="395"/>
        <v>0.23000000000000004</v>
      </c>
      <c r="AM351" s="2"/>
      <c r="AN351" s="2"/>
    </row>
    <row r="352" spans="1:40" outlineLevel="1">
      <c r="A352" s="2"/>
      <c r="B352" s="243" t="s">
        <v>1018</v>
      </c>
      <c r="C352" s="18" t="s">
        <v>733</v>
      </c>
      <c r="D352" s="166"/>
      <c r="E352" s="166"/>
      <c r="F352" s="166"/>
      <c r="G352" s="166"/>
      <c r="H352" s="166"/>
      <c r="I352" s="166"/>
      <c r="J352" s="166"/>
      <c r="K352" s="166"/>
      <c r="L352" s="883"/>
      <c r="M352" s="883"/>
      <c r="N352" s="883"/>
      <c r="O352" s="883"/>
      <c r="P352" s="883"/>
      <c r="Q352" s="883"/>
      <c r="R352" s="883"/>
      <c r="S352" s="883"/>
      <c r="T352" s="263">
        <f>T373/T322</f>
        <v>0.18225584594222832</v>
      </c>
      <c r="U352" s="860">
        <v>0.17399999999999999</v>
      </c>
      <c r="V352" s="263">
        <f t="shared" si="388"/>
        <v>0.18497474747474749</v>
      </c>
      <c r="W352" s="263">
        <f t="shared" si="389"/>
        <v>0.21348973607038124</v>
      </c>
      <c r="X352" s="263">
        <f t="shared" si="389"/>
        <v>0.26318840579710145</v>
      </c>
      <c r="Y352" s="639">
        <f>X352</f>
        <v>0.26318840579710145</v>
      </c>
      <c r="Z352" s="639">
        <f>Y352</f>
        <v>0.26318840579710145</v>
      </c>
      <c r="AA352" s="639">
        <f>Z352</f>
        <v>0.26318840579710145</v>
      </c>
      <c r="AB352" s="639">
        <f>AA352</f>
        <v>0.26318840579710145</v>
      </c>
      <c r="AC352" s="639">
        <f t="shared" ref="AC352:AI352" si="396">AB352</f>
        <v>0.26318840579710145</v>
      </c>
      <c r="AD352" s="639">
        <f t="shared" si="396"/>
        <v>0.26318840579710145</v>
      </c>
      <c r="AE352" s="639">
        <f t="shared" si="396"/>
        <v>0.26318840579710145</v>
      </c>
      <c r="AF352" s="639">
        <f t="shared" si="396"/>
        <v>0.26318840579710145</v>
      </c>
      <c r="AG352" s="639">
        <f t="shared" si="396"/>
        <v>0.26318840579710145</v>
      </c>
      <c r="AH352" s="639">
        <f t="shared" si="396"/>
        <v>0.26318840579710145</v>
      </c>
      <c r="AI352" s="639">
        <f t="shared" si="396"/>
        <v>0.26318840579710145</v>
      </c>
      <c r="AJ352" s="639">
        <f t="shared" si="394"/>
        <v>0.26318840579710145</v>
      </c>
      <c r="AK352" s="639">
        <f t="shared" si="395"/>
        <v>0.26318840579710145</v>
      </c>
      <c r="AL352" s="639">
        <f t="shared" si="395"/>
        <v>0.26318840579710145</v>
      </c>
      <c r="AM352" s="2"/>
      <c r="AN352" s="2"/>
    </row>
    <row r="353" spans="1:40" ht="12.75" customHeight="1" outlineLevel="1">
      <c r="A353" s="2"/>
      <c r="B353" s="73"/>
      <c r="C353" s="18"/>
      <c r="D353" s="166"/>
      <c r="E353" s="166"/>
      <c r="F353" s="166"/>
      <c r="G353" s="166"/>
      <c r="H353" s="166"/>
      <c r="I353" s="166"/>
      <c r="J353" s="166"/>
      <c r="K353" s="166"/>
      <c r="L353" s="883"/>
      <c r="M353" s="883"/>
      <c r="N353" s="883"/>
      <c r="O353" s="883"/>
      <c r="P353" s="883"/>
      <c r="Q353" s="883"/>
      <c r="R353" s="883"/>
      <c r="S353" s="883"/>
      <c r="T353" s="884"/>
      <c r="U353" s="884"/>
      <c r="V353" s="884"/>
      <c r="W353" s="263"/>
      <c r="X353" s="885"/>
      <c r="Y353" s="885"/>
      <c r="Z353" s="885"/>
      <c r="AA353" s="885"/>
      <c r="AB353" s="885"/>
      <c r="AC353" s="885"/>
      <c r="AD353" s="885"/>
      <c r="AE353" s="885"/>
      <c r="AF353" s="885"/>
      <c r="AG353" s="885"/>
      <c r="AH353" s="885"/>
      <c r="AI353" s="885"/>
      <c r="AJ353" s="885"/>
      <c r="AK353" s="885"/>
      <c r="AL353" s="885"/>
      <c r="AM353" s="2"/>
      <c r="AN353" s="2"/>
    </row>
    <row r="354" spans="1:40" ht="12.75" customHeight="1" outlineLevel="1">
      <c r="A354" s="2"/>
      <c r="B354" s="243" t="s">
        <v>1026</v>
      </c>
      <c r="C354" s="18" t="s">
        <v>733</v>
      </c>
      <c r="D354" s="166"/>
      <c r="E354" s="166"/>
      <c r="F354" s="166"/>
      <c r="G354" s="166"/>
      <c r="H354" s="166"/>
      <c r="I354" s="2">
        <f>I385/I326</f>
        <v>1.0255415015503875</v>
      </c>
      <c r="J354" s="2">
        <f>J385/J326</f>
        <v>0.9254068398833496</v>
      </c>
      <c r="K354" s="2">
        <f>K385/K326</f>
        <v>1.0042215617189907</v>
      </c>
      <c r="L354" s="860">
        <v>0.61</v>
      </c>
      <c r="M354" s="860">
        <v>0.59</v>
      </c>
      <c r="N354" s="860">
        <v>0.6</v>
      </c>
      <c r="O354" s="860">
        <v>0.59</v>
      </c>
      <c r="P354" s="860">
        <v>0.6</v>
      </c>
      <c r="Q354" s="860">
        <v>0.63</v>
      </c>
      <c r="R354" s="860">
        <v>0.6</v>
      </c>
      <c r="S354" s="860">
        <v>0.55000000000000004</v>
      </c>
      <c r="T354" s="860">
        <v>0.51380000000000003</v>
      </c>
      <c r="U354" s="860">
        <v>0.4768</v>
      </c>
      <c r="V354" s="860">
        <v>0.34649999999999997</v>
      </c>
      <c r="W354" s="254"/>
      <c r="X354" s="254"/>
      <c r="Y354" s="254"/>
      <c r="Z354" s="254"/>
      <c r="AA354" s="254"/>
      <c r="AB354" s="254"/>
      <c r="AC354" s="254"/>
      <c r="AD354" s="254"/>
      <c r="AE354" s="254"/>
      <c r="AF354" s="254"/>
      <c r="AG354" s="254"/>
      <c r="AH354" s="254"/>
      <c r="AI354" s="254"/>
      <c r="AJ354" s="254"/>
      <c r="AK354" s="254"/>
      <c r="AL354" s="254"/>
      <c r="AM354" s="2"/>
      <c r="AN354" s="2"/>
    </row>
    <row r="355" spans="1:40" ht="12.75" customHeight="1" outlineLevel="1">
      <c r="A355" s="2"/>
      <c r="B355" s="243" t="s">
        <v>1027</v>
      </c>
      <c r="C355" s="18" t="s">
        <v>733</v>
      </c>
      <c r="D355" s="166"/>
      <c r="E355" s="166"/>
      <c r="F355" s="166"/>
      <c r="G355" s="166"/>
      <c r="H355" s="166"/>
      <c r="I355" s="858">
        <v>0.27</v>
      </c>
      <c r="J355" s="858">
        <v>0.27</v>
      </c>
      <c r="K355" s="858">
        <v>0.27</v>
      </c>
      <c r="L355" s="860">
        <v>0.27</v>
      </c>
      <c r="M355" s="860">
        <v>0.35</v>
      </c>
      <c r="N355" s="860">
        <v>0.4</v>
      </c>
      <c r="O355" s="860">
        <v>0.33</v>
      </c>
      <c r="P355" s="860">
        <v>0.37</v>
      </c>
      <c r="Q355" s="860">
        <v>0.42</v>
      </c>
      <c r="R355" s="860">
        <v>0.44</v>
      </c>
      <c r="S355" s="860">
        <v>0.41</v>
      </c>
      <c r="T355" s="860">
        <v>0.40639999999999998</v>
      </c>
      <c r="U355" s="860">
        <v>0.3135</v>
      </c>
      <c r="V355" s="860">
        <v>0.1595</v>
      </c>
      <c r="W355" s="254"/>
      <c r="X355" s="254"/>
      <c r="Y355" s="254"/>
      <c r="Z355" s="254"/>
      <c r="AA355" s="254"/>
      <c r="AB355" s="254"/>
      <c r="AC355" s="254"/>
      <c r="AD355" s="254"/>
      <c r="AE355" s="254"/>
      <c r="AF355" s="254"/>
      <c r="AG355" s="254"/>
      <c r="AH355" s="254"/>
      <c r="AI355" s="254"/>
      <c r="AJ355" s="254"/>
      <c r="AK355" s="254"/>
      <c r="AL355" s="254"/>
      <c r="AM355" s="2"/>
      <c r="AN355" s="2"/>
    </row>
    <row r="356" spans="1:40" ht="12.75" customHeight="1" outlineLevel="1">
      <c r="A356" s="2"/>
      <c r="B356" s="243" t="s">
        <v>1023</v>
      </c>
      <c r="C356" s="18" t="s">
        <v>733</v>
      </c>
      <c r="D356" s="166"/>
      <c r="E356" s="166"/>
      <c r="F356" s="166"/>
      <c r="G356" s="166"/>
      <c r="H356" s="166"/>
      <c r="I356" s="166"/>
      <c r="J356" s="166"/>
      <c r="K356" s="166"/>
      <c r="L356" s="883"/>
      <c r="M356" s="883"/>
      <c r="N356" s="883"/>
      <c r="O356" s="883"/>
      <c r="P356" s="883"/>
      <c r="Q356" s="883"/>
      <c r="R356" s="883"/>
      <c r="S356" s="883"/>
      <c r="T356" s="883"/>
      <c r="U356" s="263">
        <f>U387/U328</f>
        <v>0.42848603344414959</v>
      </c>
      <c r="V356" s="263">
        <f>V387/V328</f>
        <v>0.38143484940620537</v>
      </c>
      <c r="W356" s="254"/>
      <c r="X356" s="254"/>
      <c r="Y356" s="254"/>
      <c r="Z356" s="254"/>
      <c r="AA356" s="254"/>
      <c r="AB356" s="254"/>
      <c r="AC356" s="254"/>
      <c r="AD356" s="254"/>
      <c r="AE356" s="254"/>
      <c r="AF356" s="254"/>
      <c r="AG356" s="254"/>
      <c r="AH356" s="254"/>
      <c r="AI356" s="254"/>
      <c r="AJ356" s="254"/>
      <c r="AK356" s="254"/>
      <c r="AL356" s="254"/>
      <c r="AM356" s="2"/>
      <c r="AN356" s="2"/>
    </row>
    <row r="357" spans="1:40" ht="12.75" customHeight="1" outlineLevel="1">
      <c r="A357" s="2"/>
      <c r="B357" s="73"/>
      <c r="C357" s="18"/>
      <c r="D357" s="166"/>
      <c r="E357" s="166"/>
      <c r="F357" s="166"/>
      <c r="G357" s="166"/>
      <c r="H357" s="166"/>
      <c r="I357" s="166"/>
      <c r="J357" s="166"/>
      <c r="K357" s="166"/>
      <c r="L357" s="883"/>
      <c r="M357" s="883"/>
      <c r="N357" s="883"/>
      <c r="O357" s="883"/>
      <c r="P357" s="883"/>
      <c r="Q357" s="883"/>
      <c r="R357" s="883"/>
      <c r="S357" s="883"/>
      <c r="T357" s="883"/>
      <c r="U357" s="263"/>
      <c r="V357" s="263"/>
      <c r="W357" s="263"/>
      <c r="X357" s="263"/>
      <c r="Y357" s="263"/>
      <c r="Z357" s="263"/>
      <c r="AA357" s="263"/>
      <c r="AB357" s="263"/>
      <c r="AC357" s="263"/>
      <c r="AD357" s="263"/>
      <c r="AE357" s="263"/>
      <c r="AF357" s="263"/>
      <c r="AG357" s="263"/>
      <c r="AH357" s="263"/>
      <c r="AI357" s="263"/>
      <c r="AJ357" s="263"/>
      <c r="AK357" s="263"/>
      <c r="AL357" s="263"/>
      <c r="AM357" s="2"/>
      <c r="AN357" s="2"/>
    </row>
    <row r="358" spans="1:40" ht="12.75" customHeight="1" outlineLevel="1">
      <c r="A358" s="2"/>
      <c r="B358" s="55" t="s">
        <v>236</v>
      </c>
      <c r="C358" s="18" t="s">
        <v>733</v>
      </c>
      <c r="D358" s="166"/>
      <c r="E358" s="166"/>
      <c r="F358" s="166"/>
      <c r="G358" s="166"/>
      <c r="H358" s="166"/>
      <c r="I358" s="458">
        <f>'Revenue Assumptions'!P783</f>
        <v>0.535377358490566</v>
      </c>
      <c r="J358" s="458">
        <f>'Revenue Assumptions'!Q783</f>
        <v>0.55181918412348396</v>
      </c>
      <c r="K358" s="458">
        <f>'Revenue Assumptions'!R783</f>
        <v>0.49507501716027336</v>
      </c>
      <c r="L358" s="886">
        <f>'Revenue Assumptions'!S783</f>
        <v>0.53698013761419416</v>
      </c>
      <c r="M358" s="886">
        <f>'Revenue Assumptions'!T783</f>
        <v>0.56747649337595107</v>
      </c>
      <c r="N358" s="886">
        <f>'Revenue Assumptions'!U783</f>
        <v>0.62795477903391572</v>
      </c>
      <c r="O358" s="886">
        <f>'Revenue Assumptions'!V783</f>
        <v>0.55099762998957036</v>
      </c>
      <c r="P358" s="886">
        <f>'Revenue Assumptions'!W783</f>
        <v>0.47</v>
      </c>
      <c r="Q358" s="886">
        <f>'Revenue Assumptions'!X783</f>
        <v>0.4274</v>
      </c>
      <c r="R358" s="886">
        <f>'Revenue Assumptions'!Y783</f>
        <v>0.38</v>
      </c>
      <c r="S358" s="886">
        <f>'Revenue Assumptions'!Z783</f>
        <v>0.35</v>
      </c>
      <c r="T358" s="886">
        <f>'Revenue Assumptions'!AA783</f>
        <v>0.33</v>
      </c>
      <c r="U358" s="886">
        <f>'Revenue Assumptions'!AB783</f>
        <v>0.33</v>
      </c>
      <c r="V358" s="886">
        <f>'Revenue Assumptions'!AC783</f>
        <v>0.33</v>
      </c>
      <c r="W358" s="886">
        <f>'Revenue Assumptions'!AD783</f>
        <v>0.2</v>
      </c>
      <c r="X358" s="886">
        <f>'Revenue Assumptions'!AE783</f>
        <v>0.15</v>
      </c>
      <c r="Y358" s="886">
        <f>'Revenue Assumptions'!AF783</f>
        <v>0.13999999999999999</v>
      </c>
      <c r="Z358" s="886">
        <f>'Revenue Assumptions'!AG783</f>
        <v>0.12999999999999998</v>
      </c>
      <c r="AA358" s="263">
        <f t="shared" ref="AA358:AH358" si="397">AA390/AA331</f>
        <v>0.56470528810973453</v>
      </c>
      <c r="AB358" s="263">
        <f t="shared" si="397"/>
        <v>0.62105018103098442</v>
      </c>
      <c r="AC358" s="263">
        <f t="shared" si="397"/>
        <v>0.6777733546252076</v>
      </c>
      <c r="AD358" s="263">
        <f t="shared" si="397"/>
        <v>0.73271787128950738</v>
      </c>
      <c r="AE358" s="263">
        <f t="shared" si="397"/>
        <v>0.78280802350365986</v>
      </c>
      <c r="AF358" s="263">
        <f t="shared" si="397"/>
        <v>0.82375331230553805</v>
      </c>
      <c r="AG358" s="263">
        <f t="shared" si="397"/>
        <v>0.84966630804777132</v>
      </c>
      <c r="AH358" s="263">
        <f t="shared" si="397"/>
        <v>0.85257054702485935</v>
      </c>
      <c r="AI358" s="263">
        <f>AI390/AI331</f>
        <v>0.82176819359374853</v>
      </c>
      <c r="AJ358" s="263">
        <f t="shared" ref="AJ358:AK358" si="398">AJ390/AJ331</f>
        <v>0.82176819359374853</v>
      </c>
      <c r="AK358" s="263">
        <f t="shared" si="398"/>
        <v>0.82176819359374853</v>
      </c>
      <c r="AL358" s="263">
        <f t="shared" ref="AL358" si="399">AL390/AL331</f>
        <v>0.82176819359374853</v>
      </c>
      <c r="AM358" s="2"/>
      <c r="AN358" s="2"/>
    </row>
    <row r="359" spans="1:40" ht="12.75" customHeight="1" outlineLevel="1">
      <c r="A359" s="2"/>
      <c r="B359" s="55" t="s">
        <v>1156</v>
      </c>
      <c r="C359" s="18" t="s">
        <v>733</v>
      </c>
      <c r="D359" s="166"/>
      <c r="E359" s="166"/>
      <c r="F359" s="166"/>
      <c r="G359" s="166"/>
      <c r="H359" s="166"/>
      <c r="I359" s="166"/>
      <c r="J359" s="166"/>
      <c r="K359" s="166"/>
      <c r="L359" s="883"/>
      <c r="M359" s="883"/>
      <c r="N359" s="883"/>
      <c r="O359" s="883"/>
      <c r="P359" s="883"/>
      <c r="Q359" s="883"/>
      <c r="R359" s="883"/>
      <c r="S359" s="887">
        <f>S351-3%</f>
        <v>7.0000000000000007E-2</v>
      </c>
      <c r="T359" s="887">
        <f>T351-6%</f>
        <v>-4.9999999999999975E-3</v>
      </c>
      <c r="U359" s="887">
        <f>U351-6%</f>
        <v>2.6499999999999996E-2</v>
      </c>
      <c r="V359" s="887">
        <f>V351-6%</f>
        <v>4.0634132892197417E-2</v>
      </c>
      <c r="W359" s="860">
        <v>0.05</v>
      </c>
      <c r="X359" s="888">
        <f>W359+1%</f>
        <v>6.0000000000000005E-2</v>
      </c>
      <c r="Y359" s="863">
        <f>X359+1%</f>
        <v>7.0000000000000007E-2</v>
      </c>
      <c r="Z359" s="863">
        <f>Y359+1%</f>
        <v>0.08</v>
      </c>
      <c r="AA359" s="863">
        <f>Z359+1%</f>
        <v>0.09</v>
      </c>
      <c r="AB359" s="863">
        <f>AA359+1%</f>
        <v>9.9999999999999992E-2</v>
      </c>
      <c r="AC359" s="863">
        <f t="shared" ref="AC359:AI359" si="400">AB359+1%</f>
        <v>0.10999999999999999</v>
      </c>
      <c r="AD359" s="863">
        <f t="shared" si="400"/>
        <v>0.11999999999999998</v>
      </c>
      <c r="AE359" s="863">
        <f t="shared" si="400"/>
        <v>0.12999999999999998</v>
      </c>
      <c r="AF359" s="863">
        <f t="shared" si="400"/>
        <v>0.13999999999999999</v>
      </c>
      <c r="AG359" s="863">
        <f t="shared" si="400"/>
        <v>0.15</v>
      </c>
      <c r="AH359" s="864">
        <f t="shared" si="400"/>
        <v>0.16</v>
      </c>
      <c r="AI359" s="864">
        <f t="shared" si="400"/>
        <v>0.17</v>
      </c>
      <c r="AJ359" s="864">
        <f t="shared" ref="AJ359" si="401">AI359+1%</f>
        <v>0.18000000000000002</v>
      </c>
      <c r="AK359" s="864">
        <f t="shared" ref="AK359:AL359" si="402">AJ359+1%</f>
        <v>0.19000000000000003</v>
      </c>
      <c r="AL359" s="864">
        <f t="shared" si="402"/>
        <v>0.20000000000000004</v>
      </c>
      <c r="AM359" s="2"/>
      <c r="AN359" s="2"/>
    </row>
    <row r="360" spans="1:40" ht="12.75" customHeight="1" outlineLevel="1">
      <c r="A360" s="2"/>
      <c r="B360" s="55" t="s">
        <v>949</v>
      </c>
      <c r="C360" s="18" t="s">
        <v>733</v>
      </c>
      <c r="D360" s="166"/>
      <c r="E360" s="166"/>
      <c r="F360" s="166"/>
      <c r="G360" s="166"/>
      <c r="H360" s="166"/>
      <c r="I360" s="166"/>
      <c r="J360" s="166"/>
      <c r="K360" s="166"/>
      <c r="L360" s="883"/>
      <c r="M360" s="883"/>
      <c r="N360" s="883"/>
      <c r="O360" s="883"/>
      <c r="P360" s="883"/>
      <c r="Q360" s="883"/>
      <c r="R360" s="883"/>
      <c r="S360" s="883"/>
      <c r="T360" s="860">
        <v>0.06</v>
      </c>
      <c r="U360" s="860">
        <v>0.06</v>
      </c>
      <c r="V360" s="860">
        <v>0.06</v>
      </c>
      <c r="W360" s="860">
        <v>0.08</v>
      </c>
      <c r="X360" s="889">
        <v>0.12</v>
      </c>
      <c r="Y360" s="865">
        <f t="shared" ref="Y360:AB361" si="403">X360+2%</f>
        <v>0.13999999999999999</v>
      </c>
      <c r="Z360" s="865">
        <f t="shared" si="403"/>
        <v>0.15999999999999998</v>
      </c>
      <c r="AA360" s="865">
        <f t="shared" si="403"/>
        <v>0.17999999999999997</v>
      </c>
      <c r="AB360" s="865">
        <f t="shared" si="403"/>
        <v>0.19999999999999996</v>
      </c>
      <c r="AC360" s="865">
        <f t="shared" ref="AC360:AI361" si="404">AB360+2%</f>
        <v>0.21999999999999995</v>
      </c>
      <c r="AD360" s="865">
        <f t="shared" si="404"/>
        <v>0.23999999999999994</v>
      </c>
      <c r="AE360" s="865">
        <f t="shared" si="404"/>
        <v>0.25999999999999995</v>
      </c>
      <c r="AF360" s="865">
        <f t="shared" si="404"/>
        <v>0.27999999999999997</v>
      </c>
      <c r="AG360" s="865">
        <f t="shared" si="404"/>
        <v>0.3</v>
      </c>
      <c r="AH360" s="890">
        <f t="shared" si="404"/>
        <v>0.32</v>
      </c>
      <c r="AI360" s="890">
        <f t="shared" si="404"/>
        <v>0.34</v>
      </c>
      <c r="AJ360" s="890">
        <f t="shared" ref="AJ360:AJ361" si="405">AI360+2%</f>
        <v>0.36000000000000004</v>
      </c>
      <c r="AK360" s="890">
        <f t="shared" ref="AK360:AL361" si="406">AJ360+2%</f>
        <v>0.38000000000000006</v>
      </c>
      <c r="AL360" s="890">
        <f t="shared" si="406"/>
        <v>0.40000000000000008</v>
      </c>
      <c r="AM360" s="2"/>
      <c r="AN360" s="2"/>
    </row>
    <row r="361" spans="1:40" ht="12.75" customHeight="1" outlineLevel="1">
      <c r="A361" s="2"/>
      <c r="B361" s="55" t="s">
        <v>1157</v>
      </c>
      <c r="C361" s="18" t="s">
        <v>733</v>
      </c>
      <c r="D361" s="2"/>
      <c r="E361" s="2"/>
      <c r="F361" s="2"/>
      <c r="G361" s="2"/>
      <c r="H361" s="2"/>
      <c r="I361" s="858">
        <v>0.35</v>
      </c>
      <c r="J361" s="858">
        <v>0.35</v>
      </c>
      <c r="K361" s="858">
        <v>0.35</v>
      </c>
      <c r="L361" s="263">
        <f t="shared" ref="L361:S361" si="407">L394/L333</f>
        <v>0.23619608228865288</v>
      </c>
      <c r="M361" s="263">
        <f t="shared" si="407"/>
        <v>0.24389152083749222</v>
      </c>
      <c r="N361" s="263">
        <f t="shared" si="407"/>
        <v>0.14696276239858228</v>
      </c>
      <c r="O361" s="263">
        <f t="shared" si="407"/>
        <v>0.18118215042249605</v>
      </c>
      <c r="P361" s="263">
        <f t="shared" si="407"/>
        <v>6.4554883162964094E-2</v>
      </c>
      <c r="Q361" s="263">
        <f t="shared" si="407"/>
        <v>0.11345904309213919</v>
      </c>
      <c r="R361" s="263">
        <f t="shared" si="407"/>
        <v>3.2604418505850878E-2</v>
      </c>
      <c r="S361" s="263">
        <f t="shared" si="407"/>
        <v>0.12150458195267949</v>
      </c>
      <c r="T361" s="860">
        <v>0.1244</v>
      </c>
      <c r="U361" s="860">
        <v>0.48949999999999999</v>
      </c>
      <c r="V361" s="860">
        <v>0.48949999999999999</v>
      </c>
      <c r="W361" s="860">
        <v>0.48949999999999999</v>
      </c>
      <c r="X361" s="891">
        <v>0.14000000000000001</v>
      </c>
      <c r="Y361" s="892">
        <f>X361+2%</f>
        <v>0.16</v>
      </c>
      <c r="Z361" s="892">
        <f t="shared" si="403"/>
        <v>0.18</v>
      </c>
      <c r="AA361" s="892">
        <f t="shared" si="403"/>
        <v>0.19999999999999998</v>
      </c>
      <c r="AB361" s="892">
        <f t="shared" si="403"/>
        <v>0.21999999999999997</v>
      </c>
      <c r="AC361" s="892">
        <f t="shared" si="404"/>
        <v>0.23999999999999996</v>
      </c>
      <c r="AD361" s="892">
        <f t="shared" si="404"/>
        <v>0.25999999999999995</v>
      </c>
      <c r="AE361" s="892">
        <f t="shared" si="404"/>
        <v>0.27999999999999997</v>
      </c>
      <c r="AF361" s="892">
        <f t="shared" si="404"/>
        <v>0.3</v>
      </c>
      <c r="AG361" s="892">
        <f t="shared" si="404"/>
        <v>0.32</v>
      </c>
      <c r="AH361" s="893">
        <f t="shared" si="404"/>
        <v>0.34</v>
      </c>
      <c r="AI361" s="893">
        <f t="shared" si="404"/>
        <v>0.36000000000000004</v>
      </c>
      <c r="AJ361" s="893">
        <f t="shared" si="405"/>
        <v>0.38000000000000006</v>
      </c>
      <c r="AK361" s="893">
        <f t="shared" si="406"/>
        <v>0.40000000000000008</v>
      </c>
      <c r="AL361" s="893">
        <f t="shared" si="406"/>
        <v>0.4200000000000001</v>
      </c>
      <c r="AM361" s="2"/>
      <c r="AN361" s="2"/>
    </row>
    <row r="362" spans="1:40" ht="12.75" customHeight="1" outlineLevel="1">
      <c r="A362" s="2"/>
      <c r="B362" s="55" t="s">
        <v>1158</v>
      </c>
      <c r="C362" s="18" t="s">
        <v>733</v>
      </c>
      <c r="D362" s="166"/>
      <c r="E362" s="166"/>
      <c r="F362" s="166"/>
      <c r="G362" s="458">
        <f>'Revenue Assumptions'!N1776</f>
        <v>0.38210227272727271</v>
      </c>
      <c r="H362" s="458">
        <f>'Revenue Assumptions'!O1776</f>
        <v>0.32148184982595723</v>
      </c>
      <c r="I362" s="458">
        <f>'Revenue Assumptions'!P1776</f>
        <v>0.29564032697547682</v>
      </c>
      <c r="J362" s="458">
        <f>'Revenue Assumptions'!Q1776</f>
        <v>0.28915662650602408</v>
      </c>
      <c r="K362" s="458">
        <f>'Revenue Assumptions'!R1776</f>
        <v>0.28299999999999997</v>
      </c>
      <c r="L362" s="886">
        <f>'Revenue Assumptions'!S1776</f>
        <v>0.2857142857142857</v>
      </c>
      <c r="M362" s="886">
        <f>'Revenue Assumptions'!T1776</f>
        <v>0.2416582406471183</v>
      </c>
      <c r="N362" s="886">
        <f>'Revenue Assumptions'!U1776</f>
        <v>0.2818181818181818</v>
      </c>
      <c r="O362" s="886">
        <f>'Revenue Assumptions'!V1776</f>
        <v>0.21621621621621623</v>
      </c>
      <c r="P362" s="886">
        <f>'Revenue Assumptions'!W1776</f>
        <v>0.25930232558139538</v>
      </c>
      <c r="Q362" s="886">
        <f>'Revenue Assumptions'!X1776</f>
        <v>0.24629080118694363</v>
      </c>
      <c r="R362" s="886">
        <f>'Revenue Assumptions'!Y1776</f>
        <v>0.24629080118694363</v>
      </c>
      <c r="S362" s="263"/>
      <c r="T362" s="263"/>
      <c r="U362" s="263"/>
      <c r="V362" s="263"/>
      <c r="W362" s="263"/>
      <c r="X362" s="263"/>
      <c r="Y362" s="263"/>
      <c r="Z362" s="263"/>
      <c r="AA362" s="263"/>
      <c r="AB362" s="263"/>
      <c r="AC362" s="263"/>
      <c r="AD362" s="263"/>
      <c r="AE362" s="263"/>
      <c r="AF362" s="263"/>
      <c r="AG362" s="263"/>
      <c r="AH362" s="263"/>
      <c r="AI362" s="263"/>
      <c r="AJ362" s="263"/>
      <c r="AK362" s="263"/>
      <c r="AL362" s="263"/>
      <c r="AM362" s="2"/>
      <c r="AN362" s="2"/>
    </row>
    <row r="363" spans="1:40" ht="12.75" customHeight="1" outlineLevel="1">
      <c r="A363" s="2"/>
      <c r="B363" s="55" t="s">
        <v>1159</v>
      </c>
      <c r="C363" s="18" t="s">
        <v>733</v>
      </c>
      <c r="D363" s="166"/>
      <c r="E363" s="166"/>
      <c r="F363" s="166"/>
      <c r="G363" s="458">
        <f>'Revenue Assumptions'!N1796</f>
        <v>0</v>
      </c>
      <c r="H363" s="458">
        <f>'Revenue Assumptions'!O1796</f>
        <v>0</v>
      </c>
      <c r="I363" s="458">
        <f>'Revenue Assumptions'!P1796</f>
        <v>0.1792</v>
      </c>
      <c r="J363" s="458">
        <f>'Revenue Assumptions'!Q1796</f>
        <v>0.17903225806451614</v>
      </c>
      <c r="K363" s="458">
        <f>'Revenue Assumptions'!R1796</f>
        <v>0.1256544502617801</v>
      </c>
      <c r="L363" s="886">
        <f>'Revenue Assumptions'!S1796</f>
        <v>0.19039145907473309</v>
      </c>
      <c r="M363" s="886">
        <f>'Revenue Assumptions'!T1796</f>
        <v>0.19744058500914077</v>
      </c>
      <c r="N363" s="886">
        <f>'Revenue Assumptions'!U1796</f>
        <v>0.19848771266540643</v>
      </c>
      <c r="O363" s="886">
        <f>'Revenue Assumptions'!V1796</f>
        <v>0.16279069767441862</v>
      </c>
      <c r="P363" s="886">
        <f>'Revenue Assumptions'!W1796</f>
        <v>0.19760479041916168</v>
      </c>
      <c r="Q363" s="886">
        <f>'Revenue Assumptions'!X1796</f>
        <v>0.19760479041916168</v>
      </c>
      <c r="R363" s="886">
        <f>'Revenue Assumptions'!Y1796</f>
        <v>0.2</v>
      </c>
      <c r="S363" s="263"/>
      <c r="T363" s="263"/>
      <c r="U363" s="263"/>
      <c r="V363" s="263"/>
      <c r="W363" s="263"/>
      <c r="X363" s="263"/>
      <c r="Y363" s="263"/>
      <c r="Z363" s="263"/>
      <c r="AA363" s="263"/>
      <c r="AB363" s="263"/>
      <c r="AC363" s="263"/>
      <c r="AD363" s="263"/>
      <c r="AE363" s="263"/>
      <c r="AF363" s="263"/>
      <c r="AG363" s="263"/>
      <c r="AH363" s="263"/>
      <c r="AI363" s="263"/>
      <c r="AJ363" s="263"/>
      <c r="AK363" s="263"/>
      <c r="AL363" s="263"/>
      <c r="AM363" s="2"/>
      <c r="AN363" s="2"/>
    </row>
    <row r="364" spans="1:40" ht="12.75" customHeight="1" outlineLevel="1">
      <c r="A364" s="6"/>
      <c r="B364" s="6" t="s">
        <v>214</v>
      </c>
      <c r="C364" s="21" t="s">
        <v>733</v>
      </c>
      <c r="D364" s="272">
        <f t="shared" ref="D364:O364" si="408">D403/D338</f>
        <v>0.46015368907517867</v>
      </c>
      <c r="E364" s="272">
        <f t="shared" si="408"/>
        <v>0.50544819078947367</v>
      </c>
      <c r="F364" s="272">
        <f t="shared" si="408"/>
        <v>0.46952517700648611</v>
      </c>
      <c r="G364" s="272">
        <f t="shared" si="408"/>
        <v>0.44995093228655547</v>
      </c>
      <c r="H364" s="272">
        <f t="shared" si="408"/>
        <v>0.49943552741373387</v>
      </c>
      <c r="I364" s="272">
        <f t="shared" si="408"/>
        <v>0.47218085826451878</v>
      </c>
      <c r="J364" s="272">
        <f t="shared" si="408"/>
        <v>0.42158330398027477</v>
      </c>
      <c r="K364" s="272">
        <f t="shared" si="408"/>
        <v>0.41655050057026993</v>
      </c>
      <c r="L364" s="857">
        <f t="shared" si="408"/>
        <v>0.42255922340084501</v>
      </c>
      <c r="M364" s="857">
        <f t="shared" si="408"/>
        <v>0.43149499565171473</v>
      </c>
      <c r="N364" s="857">
        <f t="shared" si="408"/>
        <v>0.4371700933365521</v>
      </c>
      <c r="O364" s="857">
        <f t="shared" si="408"/>
        <v>0.40631680182750413</v>
      </c>
      <c r="P364" s="857">
        <f>P400/P338</f>
        <v>0.40020174419788795</v>
      </c>
      <c r="Q364" s="857">
        <f>Q400/Q338</f>
        <v>0.40996006170489557</v>
      </c>
      <c r="R364" s="857">
        <f>R400/R338</f>
        <v>0.41742248552956124</v>
      </c>
      <c r="S364" s="857">
        <f>S400/S338</f>
        <v>0.3922282015934615</v>
      </c>
      <c r="T364" s="857"/>
      <c r="U364" s="857"/>
      <c r="V364" s="857"/>
      <c r="W364" s="857"/>
      <c r="X364" s="857"/>
      <c r="Y364" s="857"/>
      <c r="Z364" s="857"/>
      <c r="AA364" s="857"/>
      <c r="AB364" s="857"/>
      <c r="AC364" s="857"/>
      <c r="AD364" s="857"/>
      <c r="AE364" s="857"/>
      <c r="AF364" s="857"/>
      <c r="AG364" s="857"/>
      <c r="AH364" s="857"/>
      <c r="AI364" s="857"/>
      <c r="AJ364" s="857"/>
      <c r="AK364" s="857"/>
      <c r="AL364" s="857"/>
      <c r="AM364" s="6"/>
      <c r="AN364" s="6"/>
    </row>
    <row r="365" spans="1:40" outlineLevel="1">
      <c r="A365" s="2"/>
      <c r="B365" s="2"/>
      <c r="C365" s="18"/>
      <c r="D365" s="2"/>
      <c r="E365" s="2"/>
      <c r="F365" s="2"/>
      <c r="G365" s="2"/>
      <c r="H365" s="2"/>
      <c r="I365" s="2"/>
      <c r="J365" s="2"/>
      <c r="K365" s="2"/>
      <c r="L365" s="2"/>
      <c r="M365" s="2"/>
      <c r="N365" s="2"/>
      <c r="O365" s="2"/>
      <c r="P365" s="2"/>
      <c r="Q365" s="2"/>
      <c r="R365" s="168"/>
      <c r="S365" s="168"/>
      <c r="T365" s="19"/>
      <c r="U365" s="19"/>
      <c r="V365" s="2"/>
      <c r="W365" s="2"/>
      <c r="X365" s="2"/>
      <c r="Y365" s="2"/>
      <c r="Z365" s="2"/>
      <c r="AA365" s="2"/>
      <c r="AB365" s="2"/>
      <c r="AC365" s="2"/>
      <c r="AD365" s="2"/>
      <c r="AE365" s="2"/>
      <c r="AF365" s="2"/>
      <c r="AG365" s="2"/>
      <c r="AH365" s="2"/>
      <c r="AI365" s="2"/>
      <c r="AJ365" s="2"/>
      <c r="AK365" s="2"/>
      <c r="AL365" s="2"/>
      <c r="AM365" s="2"/>
      <c r="AN365" s="2"/>
    </row>
    <row r="366" spans="1:40" ht="15.6" outlineLevel="1">
      <c r="A366" s="2"/>
      <c r="B366" s="237" t="s">
        <v>734</v>
      </c>
      <c r="C366" s="238"/>
      <c r="D366" s="239"/>
      <c r="E366" s="239"/>
      <c r="F366" s="239"/>
      <c r="G366" s="239"/>
      <c r="H366" s="239"/>
      <c r="I366" s="239"/>
      <c r="J366" s="239"/>
      <c r="K366" s="239"/>
      <c r="L366" s="239"/>
      <c r="M366" s="239"/>
      <c r="N366" s="239"/>
      <c r="O366" s="239"/>
      <c r="P366" s="239"/>
      <c r="Q366" s="239"/>
      <c r="R366" s="239"/>
      <c r="S366" s="239"/>
      <c r="T366" s="239"/>
      <c r="U366" s="239"/>
      <c r="V366" s="239"/>
      <c r="W366" s="239"/>
      <c r="X366" s="239"/>
      <c r="Y366" s="239"/>
      <c r="Z366" s="239"/>
      <c r="AA366" s="239"/>
      <c r="AB366" s="239"/>
      <c r="AC366" s="239"/>
      <c r="AD366" s="239"/>
      <c r="AE366" s="239"/>
      <c r="AF366" s="239"/>
      <c r="AG366" s="239"/>
      <c r="AH366" s="270"/>
      <c r="AI366" s="240"/>
      <c r="AJ366" s="240"/>
      <c r="AK366" s="240"/>
      <c r="AL366" s="240"/>
      <c r="AM366" s="2"/>
      <c r="AN366" s="2"/>
    </row>
    <row r="367" spans="1:40" outlineLevel="1">
      <c r="A367" s="2"/>
      <c r="B367" s="2"/>
      <c r="C367" s="18"/>
      <c r="D367" s="2"/>
      <c r="E367" s="2"/>
      <c r="F367" s="2"/>
      <c r="G367" s="2"/>
      <c r="H367" s="2"/>
      <c r="I367" s="2"/>
      <c r="J367" s="2"/>
      <c r="K367" s="2"/>
      <c r="L367" s="2"/>
      <c r="M367" s="2"/>
      <c r="N367" s="2"/>
      <c r="O367" s="2"/>
      <c r="P367" s="2"/>
      <c r="Q367" s="2"/>
      <c r="R367" s="2"/>
      <c r="S367" s="2"/>
      <c r="T367" s="168"/>
      <c r="U367" s="2"/>
      <c r="V367" s="2"/>
      <c r="W367" s="2"/>
      <c r="X367" s="2"/>
      <c r="Y367" s="2"/>
      <c r="Z367" s="2"/>
      <c r="AA367" s="2"/>
      <c r="AB367" s="2"/>
      <c r="AC367" s="2"/>
      <c r="AD367" s="2"/>
      <c r="AE367" s="2"/>
      <c r="AF367" s="2"/>
      <c r="AG367" s="2"/>
      <c r="AH367" s="2"/>
      <c r="AI367" s="2"/>
      <c r="AJ367" s="2"/>
      <c r="AK367" s="2"/>
      <c r="AL367" s="2"/>
      <c r="AM367" s="2"/>
      <c r="AN367" s="2"/>
    </row>
    <row r="368" spans="1:40" outlineLevel="1">
      <c r="A368" s="2"/>
      <c r="B368" s="243" t="s">
        <v>266</v>
      </c>
      <c r="C368" s="18" t="s">
        <v>732</v>
      </c>
      <c r="D368" s="2"/>
      <c r="E368" s="2"/>
      <c r="F368" s="2"/>
      <c r="G368" s="2"/>
      <c r="H368" s="2"/>
      <c r="I368" s="67">
        <f t="shared" ref="I368:U368" si="409">I347*I317</f>
        <v>1406.2724759999999</v>
      </c>
      <c r="J368" s="67">
        <f t="shared" si="409"/>
        <v>1495.9219320000002</v>
      </c>
      <c r="K368" s="67">
        <f t="shared" si="409"/>
        <v>1704.8302799999997</v>
      </c>
      <c r="L368" s="254">
        <f t="shared" si="409"/>
        <v>1909.6442040000002</v>
      </c>
      <c r="M368" s="254">
        <f t="shared" si="409"/>
        <v>2319.48</v>
      </c>
      <c r="N368" s="254">
        <f t="shared" si="409"/>
        <v>2540.6499999999996</v>
      </c>
      <c r="O368" s="254">
        <f t="shared" si="409"/>
        <v>2556.48</v>
      </c>
      <c r="P368" s="254">
        <f t="shared" si="409"/>
        <v>3120.48</v>
      </c>
      <c r="Q368" s="254">
        <f t="shared" si="409"/>
        <v>3491.06</v>
      </c>
      <c r="R368" s="254">
        <f t="shared" si="409"/>
        <v>3861.6000000000004</v>
      </c>
      <c r="S368" s="254">
        <f t="shared" si="409"/>
        <v>4254</v>
      </c>
      <c r="T368" s="254">
        <f t="shared" si="409"/>
        <v>4377.66</v>
      </c>
      <c r="U368" s="254">
        <f t="shared" si="409"/>
        <v>4312.62</v>
      </c>
      <c r="V368" s="739">
        <v>3921</v>
      </c>
      <c r="W368" s="739">
        <v>3752</v>
      </c>
      <c r="X368" s="739">
        <v>3500</v>
      </c>
      <c r="Y368" s="254">
        <f>Y347*Y317</f>
        <v>3216.683119447187</v>
      </c>
      <c r="Z368" s="254">
        <f t="shared" ref="Z368:AH368" si="410">Z347*Z317</f>
        <v>3271.9644619940773</v>
      </c>
      <c r="AA368" s="254">
        <f t="shared" si="410"/>
        <v>3569.8700740375125</v>
      </c>
      <c r="AB368" s="254">
        <f t="shared" si="410"/>
        <v>3758.1509674234949</v>
      </c>
      <c r="AC368" s="254">
        <f t="shared" si="410"/>
        <v>3888.3874259624881</v>
      </c>
      <c r="AD368" s="254">
        <f t="shared" si="410"/>
        <v>4095.6194457993683</v>
      </c>
      <c r="AE368" s="254">
        <f t="shared" si="410"/>
        <v>4312.1014123148998</v>
      </c>
      <c r="AF368" s="254">
        <f t="shared" si="410"/>
        <v>4512.8324419199898</v>
      </c>
      <c r="AG368" s="254">
        <f t="shared" si="410"/>
        <v>4727.7578747431407</v>
      </c>
      <c r="AH368" s="254">
        <f t="shared" si="410"/>
        <v>4958.069257113094</v>
      </c>
      <c r="AI368" s="254">
        <f>AI347*AI317</f>
        <v>5205.0880337462922</v>
      </c>
      <c r="AJ368" s="254">
        <f t="shared" ref="AJ368:AK368" si="411">AJ347*AJ317</f>
        <v>5470.281102595819</v>
      </c>
      <c r="AK368" s="254">
        <f t="shared" si="411"/>
        <v>5755.2783810337796</v>
      </c>
      <c r="AL368" s="254">
        <f t="shared" ref="AL368" si="412">AL347*AL317</f>
        <v>6061.8926527405138</v>
      </c>
      <c r="AM368" s="2"/>
      <c r="AN368" s="2"/>
    </row>
    <row r="369" spans="1:40" outlineLevel="1">
      <c r="A369" s="2"/>
      <c r="B369" s="243" t="s">
        <v>1028</v>
      </c>
      <c r="C369" s="18" t="s">
        <v>732</v>
      </c>
      <c r="D369" s="2"/>
      <c r="E369" s="2"/>
      <c r="F369" s="2"/>
      <c r="G369" s="2"/>
      <c r="H369" s="2"/>
      <c r="I369" s="67"/>
      <c r="J369" s="67"/>
      <c r="K369" s="67"/>
      <c r="L369" s="254"/>
      <c r="M369" s="254"/>
      <c r="N369" s="254"/>
      <c r="O369" s="254"/>
      <c r="P369" s="254"/>
      <c r="Q369" s="254"/>
      <c r="R369" s="254"/>
      <c r="S369" s="254"/>
      <c r="T369" s="254">
        <f>SUM(T385:T388)</f>
        <v>3307</v>
      </c>
      <c r="U369" s="254">
        <f>SUM(U385:U388)</f>
        <v>2863</v>
      </c>
      <c r="V369" s="739">
        <v>2042</v>
      </c>
      <c r="W369" s="739">
        <v>1536</v>
      </c>
      <c r="X369" s="739">
        <v>663</v>
      </c>
      <c r="Y369" s="254">
        <f t="shared" ref="Y369:AH369" si="413">Y348*Y318</f>
        <v>404.47780503396245</v>
      </c>
      <c r="Z369" s="254">
        <f t="shared" si="413"/>
        <v>418.06321191286486</v>
      </c>
      <c r="AA369" s="254">
        <f t="shared" si="413"/>
        <v>432.84346370783692</v>
      </c>
      <c r="AB369" s="254">
        <f t="shared" si="413"/>
        <v>416.23580455826504</v>
      </c>
      <c r="AC369" s="254">
        <f t="shared" si="413"/>
        <v>402.00717727548778</v>
      </c>
      <c r="AD369" s="254">
        <f t="shared" si="413"/>
        <v>389.44277853993088</v>
      </c>
      <c r="AE369" s="254">
        <f t="shared" si="413"/>
        <v>378.06509821112326</v>
      </c>
      <c r="AF369" s="254">
        <f t="shared" si="413"/>
        <v>367.55443948949573</v>
      </c>
      <c r="AG369" s="254">
        <f t="shared" si="413"/>
        <v>357.69608302059652</v>
      </c>
      <c r="AH369" s="254">
        <f t="shared" si="413"/>
        <v>348.34516228803568</v>
      </c>
      <c r="AI369" s="254">
        <f>AI348*AI318</f>
        <v>339.40331243942268</v>
      </c>
      <c r="AJ369" s="254">
        <f t="shared" ref="AJ369:AK369" si="414">AJ348*AJ318</f>
        <v>339.40331243942268</v>
      </c>
      <c r="AK369" s="254">
        <f t="shared" si="414"/>
        <v>339.40331243942268</v>
      </c>
      <c r="AL369" s="254">
        <f t="shared" ref="AL369" si="415">AL348*AL318</f>
        <v>339.40331243942268</v>
      </c>
      <c r="AM369" s="2"/>
      <c r="AN369" s="2"/>
    </row>
    <row r="370" spans="1:40" outlineLevel="1">
      <c r="A370" s="2"/>
      <c r="B370" s="243" t="s">
        <v>1152</v>
      </c>
      <c r="C370" s="18" t="s">
        <v>732</v>
      </c>
      <c r="D370" s="2"/>
      <c r="E370" s="2"/>
      <c r="F370" s="2"/>
      <c r="G370" s="2"/>
      <c r="H370" s="2"/>
      <c r="I370" s="67"/>
      <c r="J370" s="67"/>
      <c r="K370" s="67"/>
      <c r="L370" s="254"/>
      <c r="M370" s="254"/>
      <c r="N370" s="254"/>
      <c r="O370" s="254"/>
      <c r="P370" s="254"/>
      <c r="Q370" s="254"/>
      <c r="R370" s="254"/>
      <c r="S370" s="254"/>
      <c r="T370" s="739">
        <v>349</v>
      </c>
      <c r="U370" s="739">
        <v>420</v>
      </c>
      <c r="V370" s="739">
        <v>579</v>
      </c>
      <c r="W370" s="739">
        <v>731</v>
      </c>
      <c r="X370" s="739">
        <v>820</v>
      </c>
      <c r="Y370" s="254">
        <f t="shared" ref="Y370:AH370" si="416">Y319*Y349</f>
        <v>844.44</v>
      </c>
      <c r="Z370" s="254">
        <f t="shared" si="416"/>
        <v>864.90000000000009</v>
      </c>
      <c r="AA370" s="254">
        <f t="shared" si="416"/>
        <v>895.86639600000024</v>
      </c>
      <c r="AB370" s="254">
        <f t="shared" si="416"/>
        <v>922.74238788000014</v>
      </c>
      <c r="AC370" s="254">
        <f t="shared" si="416"/>
        <v>1024.8600000000001</v>
      </c>
      <c r="AD370" s="254">
        <f t="shared" si="416"/>
        <v>1055.6058000000003</v>
      </c>
      <c r="AE370" s="254">
        <f t="shared" si="416"/>
        <v>1087.2739740000002</v>
      </c>
      <c r="AF370" s="254">
        <f t="shared" si="416"/>
        <v>1119.8921932200003</v>
      </c>
      <c r="AG370" s="254">
        <f t="shared" si="416"/>
        <v>1153.4889590166003</v>
      </c>
      <c r="AH370" s="254">
        <f t="shared" si="416"/>
        <v>1188.0936277870983</v>
      </c>
      <c r="AI370" s="254">
        <f>AI319*AI349</f>
        <v>1223.7364366207114</v>
      </c>
      <c r="AJ370" s="254">
        <f t="shared" ref="AJ370:AK370" si="417">AJ319*AJ349</f>
        <v>1260.4485297193326</v>
      </c>
      <c r="AK370" s="254">
        <f t="shared" si="417"/>
        <v>1298.2619856109127</v>
      </c>
      <c r="AL370" s="254">
        <f t="shared" ref="AL370" si="418">AL319*AL349</f>
        <v>0</v>
      </c>
      <c r="AM370" s="2"/>
      <c r="AN370" s="2"/>
    </row>
    <row r="371" spans="1:40" outlineLevel="1">
      <c r="A371" s="2"/>
      <c r="B371" s="243" t="s">
        <v>1064</v>
      </c>
      <c r="C371" s="18" t="s">
        <v>732</v>
      </c>
      <c r="D371" s="2"/>
      <c r="E371" s="2"/>
      <c r="F371" s="2"/>
      <c r="G371" s="2"/>
      <c r="H371" s="2"/>
      <c r="I371" s="67">
        <f t="shared" ref="I371:U371" si="419">I350*I320</f>
        <v>761.4</v>
      </c>
      <c r="J371" s="67">
        <f t="shared" si="419"/>
        <v>760.8</v>
      </c>
      <c r="K371" s="67">
        <f t="shared" si="419"/>
        <v>758.69999999999993</v>
      </c>
      <c r="L371" s="254">
        <f t="shared" si="419"/>
        <v>1759.45</v>
      </c>
      <c r="M371" s="254">
        <f t="shared" si="419"/>
        <v>1847.4877443609021</v>
      </c>
      <c r="N371" s="254">
        <f t="shared" si="419"/>
        <v>1978.3287297190343</v>
      </c>
      <c r="O371" s="254">
        <f t="shared" si="419"/>
        <v>1919.650688563514</v>
      </c>
      <c r="P371" s="254">
        <f t="shared" si="419"/>
        <v>1998.0800000000002</v>
      </c>
      <c r="Q371" s="254">
        <f t="shared" si="419"/>
        <v>1976.65</v>
      </c>
      <c r="R371" s="254">
        <f t="shared" si="419"/>
        <v>1929.2</v>
      </c>
      <c r="S371" s="254">
        <f t="shared" si="419"/>
        <v>1845.1200000000001</v>
      </c>
      <c r="T371" s="254">
        <f t="shared" si="419"/>
        <v>1752.2825999999998</v>
      </c>
      <c r="U371" s="254">
        <f t="shared" si="419"/>
        <v>1586.424</v>
      </c>
      <c r="V371" s="739">
        <v>1642</v>
      </c>
      <c r="W371" s="739">
        <v>1546</v>
      </c>
      <c r="X371" s="739">
        <v>1276</v>
      </c>
      <c r="Y371" s="254">
        <f t="shared" ref="Y371:AH371" si="420">Y350*Y320</f>
        <v>2293.2870963905852</v>
      </c>
      <c r="Z371" s="254">
        <f t="shared" si="420"/>
        <v>2217.3752612139419</v>
      </c>
      <c r="AA371" s="254">
        <f t="shared" si="420"/>
        <v>2114.2041463738915</v>
      </c>
      <c r="AB371" s="254">
        <f t="shared" si="420"/>
        <v>2067.7390585596459</v>
      </c>
      <c r="AC371" s="254">
        <f t="shared" si="420"/>
        <v>2029.712438321706</v>
      </c>
      <c r="AD371" s="254">
        <f t="shared" si="420"/>
        <v>1996.792871497174</v>
      </c>
      <c r="AE371" s="254">
        <f t="shared" si="420"/>
        <v>1968.4001195453634</v>
      </c>
      <c r="AF371" s="254">
        <f t="shared" si="420"/>
        <v>1944.0329972163238</v>
      </c>
      <c r="AG371" s="254">
        <f t="shared" si="420"/>
        <v>1923.2581305126298</v>
      </c>
      <c r="AH371" s="254">
        <f t="shared" si="420"/>
        <v>1905.7003571938242</v>
      </c>
      <c r="AI371" s="254">
        <f>AI350*AI320</f>
        <v>1891.0345268990568</v>
      </c>
      <c r="AJ371" s="254">
        <f t="shared" ref="AJ371:AK371" si="421">AJ350*AJ320</f>
        <v>1891.0345268990568</v>
      </c>
      <c r="AK371" s="254">
        <f t="shared" si="421"/>
        <v>1891.0345268990568</v>
      </c>
      <c r="AL371" s="254">
        <f t="shared" ref="AL371" si="422">AL350*AL320</f>
        <v>1891.0345268990568</v>
      </c>
      <c r="AM371" s="2"/>
      <c r="AN371" s="2"/>
    </row>
    <row r="372" spans="1:40" outlineLevel="1">
      <c r="A372" s="2"/>
      <c r="B372" s="243" t="s">
        <v>657</v>
      </c>
      <c r="C372" s="18" t="s">
        <v>732</v>
      </c>
      <c r="D372" s="2"/>
      <c r="E372" s="2"/>
      <c r="F372" s="2"/>
      <c r="G372" s="2"/>
      <c r="H372" s="2"/>
      <c r="I372" s="67"/>
      <c r="J372" s="67"/>
      <c r="K372" s="67"/>
      <c r="L372" s="254"/>
      <c r="M372" s="254"/>
      <c r="N372" s="254"/>
      <c r="O372" s="254"/>
      <c r="P372" s="254"/>
      <c r="Q372" s="254"/>
      <c r="R372" s="254">
        <f>R321*R351</f>
        <v>379.20000000000005</v>
      </c>
      <c r="S372" s="254">
        <f>S321*S351</f>
        <v>241.8</v>
      </c>
      <c r="T372" s="254">
        <f>T321*T351</f>
        <v>141.95500000000001</v>
      </c>
      <c r="U372" s="254">
        <f>U321*U351</f>
        <v>290.46699999999998</v>
      </c>
      <c r="V372" s="739">
        <v>365</v>
      </c>
      <c r="W372" s="739">
        <v>360</v>
      </c>
      <c r="X372" s="739">
        <v>593</v>
      </c>
      <c r="Y372" s="254">
        <f t="shared" ref="Y372:AH372" si="423">Y321*Y351</f>
        <v>675.80000000000007</v>
      </c>
      <c r="Z372" s="254">
        <f t="shared" si="423"/>
        <v>709.59</v>
      </c>
      <c r="AA372" s="254">
        <f t="shared" si="423"/>
        <v>743.38000000000011</v>
      </c>
      <c r="AB372" s="254">
        <f t="shared" si="423"/>
        <v>777.17000000000007</v>
      </c>
      <c r="AC372" s="254">
        <f t="shared" si="423"/>
        <v>777.17000000000007</v>
      </c>
      <c r="AD372" s="254">
        <f t="shared" si="423"/>
        <v>777.17000000000007</v>
      </c>
      <c r="AE372" s="254">
        <f t="shared" si="423"/>
        <v>777.17000000000007</v>
      </c>
      <c r="AF372" s="254">
        <f t="shared" si="423"/>
        <v>777.17000000000007</v>
      </c>
      <c r="AG372" s="254">
        <f t="shared" si="423"/>
        <v>777.17000000000007</v>
      </c>
      <c r="AH372" s="254">
        <f t="shared" si="423"/>
        <v>777.17000000000007</v>
      </c>
      <c r="AI372" s="254">
        <f>AI321*AI351</f>
        <v>777.17000000000007</v>
      </c>
      <c r="AJ372" s="254">
        <f t="shared" ref="AJ372:AK372" si="424">AJ321*AJ351</f>
        <v>777.17000000000007</v>
      </c>
      <c r="AK372" s="254">
        <f t="shared" si="424"/>
        <v>777.17000000000007</v>
      </c>
      <c r="AL372" s="254">
        <f t="shared" ref="AL372" si="425">AL321*AL351</f>
        <v>777.17000000000007</v>
      </c>
      <c r="AM372" s="2"/>
      <c r="AN372" s="2"/>
    </row>
    <row r="373" spans="1:40" outlineLevel="1">
      <c r="A373" s="2"/>
      <c r="B373" s="243" t="s">
        <v>1018</v>
      </c>
      <c r="C373" s="18" t="s">
        <v>732</v>
      </c>
      <c r="D373" s="2"/>
      <c r="E373" s="2"/>
      <c r="F373" s="2"/>
      <c r="G373" s="2"/>
      <c r="H373" s="2"/>
      <c r="I373" s="67"/>
      <c r="J373" s="67"/>
      <c r="K373" s="67"/>
      <c r="L373" s="254"/>
      <c r="M373" s="254"/>
      <c r="N373" s="254"/>
      <c r="O373" s="254"/>
      <c r="P373" s="254"/>
      <c r="Q373" s="254"/>
      <c r="R373" s="254"/>
      <c r="S373" s="254"/>
      <c r="T373" s="739">
        <v>265</v>
      </c>
      <c r="U373" s="254">
        <f>U322*U352</f>
        <v>252.12599999999998</v>
      </c>
      <c r="V373" s="739">
        <v>293</v>
      </c>
      <c r="W373" s="739">
        <v>364</v>
      </c>
      <c r="X373" s="739">
        <v>454</v>
      </c>
      <c r="Y373" s="254">
        <f t="shared" ref="Y373:AH373" si="426">Y322*Y352</f>
        <v>393.20347826086959</v>
      </c>
      <c r="Z373" s="254">
        <f t="shared" si="426"/>
        <v>408.1131014492754</v>
      </c>
      <c r="AA373" s="254">
        <f t="shared" si="426"/>
        <v>419.69069362318845</v>
      </c>
      <c r="AB373" s="254">
        <f t="shared" si="426"/>
        <v>430.44499035362327</v>
      </c>
      <c r="AC373" s="254">
        <f t="shared" si="426"/>
        <v>440.23140037831888</v>
      </c>
      <c r="AD373" s="254">
        <f t="shared" si="426"/>
        <v>448.91334412879883</v>
      </c>
      <c r="AE373" s="254">
        <f t="shared" si="426"/>
        <v>456.3653458479609</v>
      </c>
      <c r="AF373" s="254">
        <f t="shared" si="426"/>
        <v>465.53130796253015</v>
      </c>
      <c r="AG373" s="254">
        <f t="shared" si="426"/>
        <v>474.97224894053642</v>
      </c>
      <c r="AH373" s="254">
        <f t="shared" si="426"/>
        <v>484.69641814788298</v>
      </c>
      <c r="AI373" s="254">
        <f>AI322*AI352</f>
        <v>494.7123124314499</v>
      </c>
      <c r="AJ373" s="254">
        <f t="shared" ref="AJ373:AK373" si="427">AJ322*AJ352</f>
        <v>494.7123124314499</v>
      </c>
      <c r="AK373" s="254">
        <f t="shared" si="427"/>
        <v>494.7123124314499</v>
      </c>
      <c r="AL373" s="254">
        <f t="shared" ref="AL373" si="428">AL322*AL352</f>
        <v>494.7123124314499</v>
      </c>
      <c r="AM373" s="2"/>
      <c r="AN373" s="2"/>
    </row>
    <row r="374" spans="1:40" outlineLevel="1">
      <c r="A374" s="2"/>
      <c r="B374" s="243" t="s">
        <v>1033</v>
      </c>
      <c r="C374" s="18" t="s">
        <v>732</v>
      </c>
      <c r="D374" s="2"/>
      <c r="E374" s="2"/>
      <c r="F374" s="2"/>
      <c r="G374" s="2"/>
      <c r="H374" s="2"/>
      <c r="I374" s="67"/>
      <c r="J374" s="67"/>
      <c r="K374" s="67"/>
      <c r="L374" s="254"/>
      <c r="M374" s="254"/>
      <c r="N374" s="254"/>
      <c r="O374" s="254"/>
      <c r="P374" s="254"/>
      <c r="Q374" s="254"/>
      <c r="R374" s="254"/>
      <c r="S374" s="254"/>
      <c r="T374" s="739">
        <v>201</v>
      </c>
      <c r="U374" s="739">
        <v>-215</v>
      </c>
      <c r="V374" s="739">
        <v>49</v>
      </c>
      <c r="W374" s="739">
        <v>-86</v>
      </c>
      <c r="X374" s="739">
        <v>103</v>
      </c>
      <c r="Y374" s="638">
        <f>X374</f>
        <v>103</v>
      </c>
      <c r="Z374" s="638">
        <f>Y374</f>
        <v>103</v>
      </c>
      <c r="AA374" s="638">
        <f>Z374</f>
        <v>103</v>
      </c>
      <c r="AB374" s="638">
        <f>AA374</f>
        <v>103</v>
      </c>
      <c r="AC374" s="638">
        <f t="shared" ref="AC374:AI374" si="429">AB374</f>
        <v>103</v>
      </c>
      <c r="AD374" s="638">
        <f t="shared" si="429"/>
        <v>103</v>
      </c>
      <c r="AE374" s="638">
        <f t="shared" si="429"/>
        <v>103</v>
      </c>
      <c r="AF374" s="638">
        <f t="shared" si="429"/>
        <v>103</v>
      </c>
      <c r="AG374" s="638">
        <f t="shared" si="429"/>
        <v>103</v>
      </c>
      <c r="AH374" s="638">
        <f t="shared" si="429"/>
        <v>103</v>
      </c>
      <c r="AI374" s="638">
        <f t="shared" si="429"/>
        <v>103</v>
      </c>
      <c r="AJ374" s="638">
        <f t="shared" ref="AJ374" si="430">AI374</f>
        <v>103</v>
      </c>
      <c r="AK374" s="638">
        <f t="shared" ref="AK374:AL374" si="431">AJ374</f>
        <v>103</v>
      </c>
      <c r="AL374" s="638">
        <f t="shared" si="431"/>
        <v>103</v>
      </c>
      <c r="AM374" s="2"/>
      <c r="AN374" s="2"/>
    </row>
    <row r="375" spans="1:40" outlineLevel="1">
      <c r="A375" s="9"/>
      <c r="B375" s="406" t="s">
        <v>1049</v>
      </c>
      <c r="C375" s="48" t="s">
        <v>732</v>
      </c>
      <c r="D375" s="9"/>
      <c r="E375" s="9"/>
      <c r="F375" s="9"/>
      <c r="G375" s="9"/>
      <c r="H375" s="9"/>
      <c r="I375" s="894"/>
      <c r="J375" s="894"/>
      <c r="K375" s="894"/>
      <c r="L375" s="404"/>
      <c r="M375" s="404"/>
      <c r="N375" s="404"/>
      <c r="O375" s="404"/>
      <c r="P375" s="404"/>
      <c r="Q375" s="404"/>
      <c r="R375" s="404"/>
      <c r="S375" s="404"/>
      <c r="T375" s="895">
        <f>SUM(T368:T374)</f>
        <v>10393.8976</v>
      </c>
      <c r="U375" s="895">
        <f t="shared" ref="U375:AH375" si="432">SUM(U368:U374)</f>
        <v>9509.6370000000006</v>
      </c>
      <c r="V375" s="895">
        <f t="shared" si="432"/>
        <v>8891</v>
      </c>
      <c r="W375" s="895">
        <f t="shared" si="432"/>
        <v>8203</v>
      </c>
      <c r="X375" s="895">
        <f t="shared" si="432"/>
        <v>7409</v>
      </c>
      <c r="Y375" s="895">
        <f t="shared" si="432"/>
        <v>7930.8914991326046</v>
      </c>
      <c r="Z375" s="895">
        <f t="shared" si="432"/>
        <v>7993.0060365701602</v>
      </c>
      <c r="AA375" s="895">
        <f t="shared" si="432"/>
        <v>8278.8547737424306</v>
      </c>
      <c r="AB375" s="895">
        <f t="shared" si="432"/>
        <v>8475.4832087750292</v>
      </c>
      <c r="AC375" s="895">
        <f t="shared" si="432"/>
        <v>8665.3684419380006</v>
      </c>
      <c r="AD375" s="895">
        <f t="shared" si="432"/>
        <v>8866.5442399652729</v>
      </c>
      <c r="AE375" s="895">
        <f t="shared" si="432"/>
        <v>9082.3759499193475</v>
      </c>
      <c r="AF375" s="895">
        <f t="shared" si="432"/>
        <v>9290.0133798083407</v>
      </c>
      <c r="AG375" s="895">
        <f t="shared" si="432"/>
        <v>9517.3432962335028</v>
      </c>
      <c r="AH375" s="895">
        <f t="shared" si="432"/>
        <v>9765.0748225299358</v>
      </c>
      <c r="AI375" s="895">
        <f>SUM(AI368:AI374)</f>
        <v>10034.144622136932</v>
      </c>
      <c r="AJ375" s="895">
        <f t="shared" ref="AJ375:AK375" si="433">SUM(AJ368:AJ374)</f>
        <v>10336.04978408508</v>
      </c>
      <c r="AK375" s="895">
        <f t="shared" si="433"/>
        <v>10658.860518414622</v>
      </c>
      <c r="AL375" s="895">
        <f t="shared" ref="AL375" si="434">SUM(AL368:AL374)</f>
        <v>9667.2128045104419</v>
      </c>
      <c r="AM375" s="9"/>
      <c r="AN375" s="9"/>
    </row>
    <row r="376" spans="1:40" outlineLevel="1">
      <c r="A376" s="2"/>
      <c r="B376" s="243" t="s">
        <v>1070</v>
      </c>
      <c r="C376" s="18" t="s">
        <v>732</v>
      </c>
      <c r="D376" s="2"/>
      <c r="E376" s="2"/>
      <c r="F376" s="2"/>
      <c r="G376" s="2"/>
      <c r="H376" s="2"/>
      <c r="I376" s="67"/>
      <c r="J376" s="67"/>
      <c r="K376" s="67"/>
      <c r="L376" s="254"/>
      <c r="M376" s="254"/>
      <c r="N376" s="254"/>
      <c r="O376" s="254"/>
      <c r="P376" s="254"/>
      <c r="Q376" s="254"/>
      <c r="R376" s="254"/>
      <c r="S376" s="254"/>
      <c r="T376" s="739">
        <v>500</v>
      </c>
      <c r="U376" s="739">
        <v>1382</v>
      </c>
      <c r="V376" s="739">
        <v>1836</v>
      </c>
      <c r="W376" s="739">
        <v>1613</v>
      </c>
      <c r="X376" s="739">
        <v>1536</v>
      </c>
      <c r="Y376" s="254">
        <v>822.27407508532428</v>
      </c>
      <c r="Z376" s="254">
        <v>257.92624728100196</v>
      </c>
      <c r="AA376" s="254">
        <v>104.36650397345477</v>
      </c>
      <c r="AB376" s="254">
        <v>100.98448933106569</v>
      </c>
      <c r="AC376" s="254">
        <v>0</v>
      </c>
      <c r="AD376" s="254">
        <v>0</v>
      </c>
      <c r="AE376" s="254">
        <v>0</v>
      </c>
      <c r="AF376" s="254">
        <v>0</v>
      </c>
      <c r="AG376" s="254">
        <v>0</v>
      </c>
      <c r="AH376" s="254">
        <v>0</v>
      </c>
      <c r="AI376" s="254">
        <v>0</v>
      </c>
      <c r="AJ376" s="254">
        <v>0</v>
      </c>
      <c r="AK376" s="254">
        <v>0</v>
      </c>
      <c r="AL376" s="254">
        <v>0</v>
      </c>
      <c r="AM376" s="2"/>
      <c r="AN376" s="2"/>
    </row>
    <row r="377" spans="1:40" outlineLevel="1">
      <c r="A377" s="2"/>
      <c r="B377" s="243" t="s">
        <v>1038</v>
      </c>
      <c r="C377" s="18" t="s">
        <v>732</v>
      </c>
      <c r="D377" s="2"/>
      <c r="E377" s="2"/>
      <c r="F377" s="2"/>
      <c r="G377" s="2"/>
      <c r="H377" s="2"/>
      <c r="I377" s="67"/>
      <c r="J377" s="67"/>
      <c r="K377" s="67"/>
      <c r="L377" s="254"/>
      <c r="M377" s="254"/>
      <c r="N377" s="254"/>
      <c r="O377" s="254"/>
      <c r="P377" s="254"/>
      <c r="Q377" s="254"/>
      <c r="R377" s="254"/>
      <c r="S377" s="254"/>
      <c r="T377" s="739">
        <v>-189</v>
      </c>
      <c r="U377" s="739">
        <v>-141</v>
      </c>
      <c r="V377" s="739">
        <v>-159</v>
      </c>
      <c r="W377" s="739">
        <v>0</v>
      </c>
      <c r="X377" s="896">
        <v>0</v>
      </c>
      <c r="Y377" s="897">
        <f>X377</f>
        <v>0</v>
      </c>
      <c r="Z377" s="897">
        <f>Y377</f>
        <v>0</v>
      </c>
      <c r="AA377" s="897">
        <f>Z377</f>
        <v>0</v>
      </c>
      <c r="AB377" s="897">
        <f>AA377</f>
        <v>0</v>
      </c>
      <c r="AC377" s="897">
        <f t="shared" ref="AC377:AI377" si="435">AB377</f>
        <v>0</v>
      </c>
      <c r="AD377" s="897">
        <f t="shared" si="435"/>
        <v>0</v>
      </c>
      <c r="AE377" s="897">
        <f t="shared" si="435"/>
        <v>0</v>
      </c>
      <c r="AF377" s="897">
        <f t="shared" si="435"/>
        <v>0</v>
      </c>
      <c r="AG377" s="897">
        <f t="shared" si="435"/>
        <v>0</v>
      </c>
      <c r="AH377" s="898">
        <f t="shared" si="435"/>
        <v>0</v>
      </c>
      <c r="AI377" s="898">
        <f t="shared" si="435"/>
        <v>0</v>
      </c>
      <c r="AJ377" s="898">
        <f t="shared" ref="AJ377" si="436">AI377</f>
        <v>0</v>
      </c>
      <c r="AK377" s="898">
        <f t="shared" ref="AK377:AL377" si="437">AJ377</f>
        <v>0</v>
      </c>
      <c r="AL377" s="898">
        <f t="shared" si="437"/>
        <v>0</v>
      </c>
      <c r="AM377" s="2"/>
      <c r="AN377" s="2"/>
    </row>
    <row r="378" spans="1:40" outlineLevel="1">
      <c r="A378" s="6"/>
      <c r="B378" s="292" t="s">
        <v>1153</v>
      </c>
      <c r="C378" s="33" t="s">
        <v>732</v>
      </c>
      <c r="D378" s="32"/>
      <c r="E378" s="32"/>
      <c r="F378" s="32"/>
      <c r="G378" s="32"/>
      <c r="H378" s="32"/>
      <c r="I378" s="744"/>
      <c r="J378" s="744"/>
      <c r="K378" s="744"/>
      <c r="L378" s="746"/>
      <c r="M378" s="746"/>
      <c r="N378" s="746"/>
      <c r="O378" s="746"/>
      <c r="P378" s="746"/>
      <c r="Q378" s="746"/>
      <c r="R378" s="746"/>
      <c r="S378" s="746"/>
      <c r="T378" s="746">
        <f>+T375+T376</f>
        <v>10893.8976</v>
      </c>
      <c r="U378" s="746">
        <f t="shared" ref="U378:AH378" si="438">+U375+U376</f>
        <v>10891.637000000001</v>
      </c>
      <c r="V378" s="746">
        <f t="shared" si="438"/>
        <v>10727</v>
      </c>
      <c r="W378" s="746">
        <f t="shared" si="438"/>
        <v>9816</v>
      </c>
      <c r="X378" s="746">
        <f t="shared" si="438"/>
        <v>8945</v>
      </c>
      <c r="Y378" s="746">
        <f t="shared" si="438"/>
        <v>8753.1655742179282</v>
      </c>
      <c r="Z378" s="746">
        <f t="shared" si="438"/>
        <v>8250.9322838511616</v>
      </c>
      <c r="AA378" s="746">
        <f t="shared" si="438"/>
        <v>8383.2212777158857</v>
      </c>
      <c r="AB378" s="746">
        <f t="shared" si="438"/>
        <v>8576.4676981060948</v>
      </c>
      <c r="AC378" s="746">
        <f t="shared" si="438"/>
        <v>8665.3684419380006</v>
      </c>
      <c r="AD378" s="746">
        <f t="shared" si="438"/>
        <v>8866.5442399652729</v>
      </c>
      <c r="AE378" s="746">
        <f t="shared" si="438"/>
        <v>9082.3759499193475</v>
      </c>
      <c r="AF378" s="746">
        <f t="shared" si="438"/>
        <v>9290.0133798083407</v>
      </c>
      <c r="AG378" s="746">
        <f t="shared" si="438"/>
        <v>9517.3432962335028</v>
      </c>
      <c r="AH378" s="746">
        <f t="shared" si="438"/>
        <v>9765.0748225299358</v>
      </c>
      <c r="AI378" s="746">
        <f>+AI375+AI376</f>
        <v>10034.144622136932</v>
      </c>
      <c r="AJ378" s="746">
        <f t="shared" ref="AJ378:AK378" si="439">+AJ375+AJ376</f>
        <v>10336.04978408508</v>
      </c>
      <c r="AK378" s="746">
        <f t="shared" si="439"/>
        <v>10658.860518414622</v>
      </c>
      <c r="AL378" s="746">
        <f t="shared" ref="AL378" si="440">+AL375+AL376</f>
        <v>9667.2128045104419</v>
      </c>
      <c r="AM378" s="6"/>
      <c r="AN378" s="6"/>
    </row>
    <row r="379" spans="1:40" outlineLevel="1">
      <c r="A379" s="293"/>
      <c r="B379" s="899" t="s">
        <v>1154</v>
      </c>
      <c r="C379" s="282" t="s">
        <v>732</v>
      </c>
      <c r="D379" s="293"/>
      <c r="E379" s="293"/>
      <c r="F379" s="293"/>
      <c r="G379" s="293"/>
      <c r="H379" s="293"/>
      <c r="I379" s="900"/>
      <c r="J379" s="900"/>
      <c r="K379" s="900"/>
      <c r="L379" s="206"/>
      <c r="M379" s="206"/>
      <c r="N379" s="206"/>
      <c r="O379" s="206"/>
      <c r="P379" s="206"/>
      <c r="Q379" s="206"/>
      <c r="R379" s="206"/>
      <c r="S379" s="206"/>
      <c r="T379" s="465">
        <f>'P&amp;L'!T186</f>
        <v>10704.8976</v>
      </c>
      <c r="U379" s="465">
        <f>'P&amp;L'!U186</f>
        <v>10750.637000000001</v>
      </c>
      <c r="V379" s="465">
        <f>'P&amp;L'!V186</f>
        <v>10568</v>
      </c>
      <c r="W379" s="465">
        <f>'P&amp;L'!W186</f>
        <v>9816</v>
      </c>
      <c r="X379" s="465">
        <f>'P&amp;L'!X186</f>
        <v>8945</v>
      </c>
      <c r="Y379" s="465">
        <f>'P&amp;L'!Y186</f>
        <v>8753.1655742179282</v>
      </c>
      <c r="Z379" s="465">
        <f>'P&amp;L'!Z186</f>
        <v>8250.9322838511616</v>
      </c>
      <c r="AA379" s="465">
        <f>'P&amp;L'!AA186</f>
        <v>8383.2212777158857</v>
      </c>
      <c r="AB379" s="465">
        <f>'P&amp;L'!AB186</f>
        <v>8576.4676981060948</v>
      </c>
      <c r="AC379" s="465">
        <f>'P&amp;L'!AC186</f>
        <v>8665.3684419380006</v>
      </c>
      <c r="AD379" s="465">
        <f>'P&amp;L'!AD186</f>
        <v>8866.5442399652729</v>
      </c>
      <c r="AE379" s="465">
        <f>'P&amp;L'!AE186</f>
        <v>9082.3759499193475</v>
      </c>
      <c r="AF379" s="465">
        <f>'P&amp;L'!AF186</f>
        <v>9290.0133798083407</v>
      </c>
      <c r="AG379" s="465">
        <f>'P&amp;L'!AG186</f>
        <v>9517.3432962335028</v>
      </c>
      <c r="AH379" s="465">
        <f>'P&amp;L'!AH186</f>
        <v>9765.0748225299358</v>
      </c>
      <c r="AI379" s="465">
        <f>'P&amp;L'!AI186</f>
        <v>10034.144622136932</v>
      </c>
      <c r="AJ379" s="465">
        <f>'P&amp;L'!AJ186</f>
        <v>10336.04978408508</v>
      </c>
      <c r="AK379" s="465">
        <f>'P&amp;L'!AK186</f>
        <v>10658.860518414622</v>
      </c>
      <c r="AL379" s="465">
        <f>'P&amp;L'!AL186</f>
        <v>9667.2128045104419</v>
      </c>
      <c r="AM379" s="293"/>
      <c r="AN379" s="293"/>
    </row>
    <row r="380" spans="1:40" outlineLevel="1">
      <c r="A380" s="2"/>
      <c r="B380" s="339" t="s">
        <v>1069</v>
      </c>
      <c r="C380" s="18" t="s">
        <v>732</v>
      </c>
      <c r="D380" s="2"/>
      <c r="E380" s="2"/>
      <c r="F380" s="2"/>
      <c r="G380" s="2"/>
      <c r="H380" s="2"/>
      <c r="I380" s="67"/>
      <c r="J380" s="67"/>
      <c r="K380" s="67"/>
      <c r="L380" s="254"/>
      <c r="M380" s="254"/>
      <c r="N380" s="254"/>
      <c r="O380" s="254"/>
      <c r="P380" s="254"/>
      <c r="Q380" s="254"/>
      <c r="R380" s="254"/>
      <c r="S380" s="254"/>
      <c r="T380" s="739">
        <v>-246</v>
      </c>
      <c r="U380" s="739">
        <v>-516</v>
      </c>
      <c r="V380" s="739">
        <v>0</v>
      </c>
      <c r="W380" s="739">
        <v>-801</v>
      </c>
      <c r="X380" s="739">
        <v>-246</v>
      </c>
      <c r="Y380" s="739">
        <v>-100</v>
      </c>
      <c r="Z380" s="739">
        <v>-50</v>
      </c>
      <c r="AA380" s="739">
        <v>0</v>
      </c>
      <c r="AB380" s="739">
        <v>0</v>
      </c>
      <c r="AC380" s="739">
        <v>0</v>
      </c>
      <c r="AD380" s="739">
        <v>0</v>
      </c>
      <c r="AE380" s="739">
        <v>0</v>
      </c>
      <c r="AF380" s="739">
        <v>0</v>
      </c>
      <c r="AG380" s="739">
        <v>0</v>
      </c>
      <c r="AH380" s="739">
        <v>0</v>
      </c>
      <c r="AI380" s="739">
        <v>0</v>
      </c>
      <c r="AJ380" s="739">
        <v>0</v>
      </c>
      <c r="AK380" s="739">
        <v>0</v>
      </c>
      <c r="AL380" s="739">
        <v>0</v>
      </c>
      <c r="AM380" s="2"/>
      <c r="AN380" s="2"/>
    </row>
    <row r="381" spans="1:40" outlineLevel="1">
      <c r="A381" s="2"/>
      <c r="B381" s="339" t="s">
        <v>1165</v>
      </c>
      <c r="C381" s="18" t="s">
        <v>732</v>
      </c>
      <c r="D381" s="2"/>
      <c r="E381" s="2"/>
      <c r="F381" s="2"/>
      <c r="G381" s="2"/>
      <c r="H381" s="2"/>
      <c r="I381" s="67"/>
      <c r="J381" s="67"/>
      <c r="K381" s="67"/>
      <c r="L381" s="254"/>
      <c r="M381" s="254"/>
      <c r="N381" s="254"/>
      <c r="O381" s="254"/>
      <c r="P381" s="254"/>
      <c r="Q381" s="254"/>
      <c r="R381" s="254"/>
      <c r="S381" s="254"/>
      <c r="T381" s="739"/>
      <c r="U381" s="739"/>
      <c r="V381" s="739"/>
      <c r="W381" s="739">
        <v>-581</v>
      </c>
      <c r="X381" s="739">
        <v>-288</v>
      </c>
      <c r="Y381" s="206">
        <v>0</v>
      </c>
      <c r="Z381" s="206">
        <f t="shared" ref="Z381:AI381" si="441">Y381</f>
        <v>0</v>
      </c>
      <c r="AA381" s="206">
        <f t="shared" si="441"/>
        <v>0</v>
      </c>
      <c r="AB381" s="206">
        <f t="shared" si="441"/>
        <v>0</v>
      </c>
      <c r="AC381" s="206">
        <f t="shared" si="441"/>
        <v>0</v>
      </c>
      <c r="AD381" s="206">
        <f t="shared" si="441"/>
        <v>0</v>
      </c>
      <c r="AE381" s="206">
        <f t="shared" si="441"/>
        <v>0</v>
      </c>
      <c r="AF381" s="206">
        <f t="shared" si="441"/>
        <v>0</v>
      </c>
      <c r="AG381" s="206">
        <f t="shared" si="441"/>
        <v>0</v>
      </c>
      <c r="AH381" s="206">
        <f t="shared" si="441"/>
        <v>0</v>
      </c>
      <c r="AI381" s="206">
        <f t="shared" si="441"/>
        <v>0</v>
      </c>
      <c r="AJ381" s="206">
        <f t="shared" ref="AJ381" si="442">AI381</f>
        <v>0</v>
      </c>
      <c r="AK381" s="206">
        <f t="shared" ref="AK381:AL381" si="443">AJ381</f>
        <v>0</v>
      </c>
      <c r="AL381" s="206">
        <f t="shared" si="443"/>
        <v>0</v>
      </c>
      <c r="AM381" s="2"/>
      <c r="AN381" s="2"/>
    </row>
    <row r="382" spans="1:40" outlineLevel="1">
      <c r="A382" s="6"/>
      <c r="B382" s="901" t="s">
        <v>1155</v>
      </c>
      <c r="C382" s="33" t="s">
        <v>732</v>
      </c>
      <c r="D382" s="32"/>
      <c r="E382" s="32"/>
      <c r="F382" s="32"/>
      <c r="G382" s="32"/>
      <c r="H382" s="32"/>
      <c r="I382" s="744"/>
      <c r="J382" s="744"/>
      <c r="K382" s="744"/>
      <c r="L382" s="746"/>
      <c r="M382" s="746"/>
      <c r="N382" s="746"/>
      <c r="O382" s="746"/>
      <c r="P382" s="746"/>
      <c r="Q382" s="746"/>
      <c r="R382" s="746"/>
      <c r="S382" s="746"/>
      <c r="T382" s="746">
        <f>+T378+T380</f>
        <v>10647.8976</v>
      </c>
      <c r="U382" s="746">
        <f>+U378+U380</f>
        <v>10375.637000000001</v>
      </c>
      <c r="V382" s="746">
        <f>+V378+V380</f>
        <v>10727</v>
      </c>
      <c r="W382" s="746">
        <f>+W378+W380+W381</f>
        <v>8434</v>
      </c>
      <c r="X382" s="746">
        <f t="shared" ref="X382:AH382" si="444">+X378+X380+X381</f>
        <v>8411</v>
      </c>
      <c r="Y382" s="746">
        <f t="shared" si="444"/>
        <v>8653.1655742179282</v>
      </c>
      <c r="Z382" s="746">
        <f t="shared" si="444"/>
        <v>8200.9322838511616</v>
      </c>
      <c r="AA382" s="746">
        <f t="shared" si="444"/>
        <v>8383.2212777158857</v>
      </c>
      <c r="AB382" s="746">
        <f t="shared" si="444"/>
        <v>8576.4676981060948</v>
      </c>
      <c r="AC382" s="746">
        <f t="shared" si="444"/>
        <v>8665.3684419380006</v>
      </c>
      <c r="AD382" s="746">
        <f t="shared" si="444"/>
        <v>8866.5442399652729</v>
      </c>
      <c r="AE382" s="746">
        <f t="shared" si="444"/>
        <v>9082.3759499193475</v>
      </c>
      <c r="AF382" s="746">
        <f t="shared" si="444"/>
        <v>9290.0133798083407</v>
      </c>
      <c r="AG382" s="746">
        <f t="shared" si="444"/>
        <v>9517.3432962335028</v>
      </c>
      <c r="AH382" s="902">
        <f t="shared" si="444"/>
        <v>9765.0748225299358</v>
      </c>
      <c r="AI382" s="902">
        <f>+AI378+AI380+AI381</f>
        <v>10034.144622136932</v>
      </c>
      <c r="AJ382" s="902">
        <f t="shared" ref="AJ382:AK382" si="445">+AJ378+AJ380+AJ381</f>
        <v>10336.04978408508</v>
      </c>
      <c r="AK382" s="902">
        <f t="shared" si="445"/>
        <v>10658.860518414622</v>
      </c>
      <c r="AL382" s="902">
        <f t="shared" ref="AL382" si="446">+AL378+AL380+AL381</f>
        <v>9667.2128045104419</v>
      </c>
      <c r="AM382" s="6"/>
      <c r="AN382" s="6"/>
    </row>
    <row r="383" spans="1:40" outlineLevel="1">
      <c r="A383" s="293"/>
      <c r="B383" s="899" t="s">
        <v>1154</v>
      </c>
      <c r="C383" s="282" t="s">
        <v>732</v>
      </c>
      <c r="D383" s="293"/>
      <c r="E383" s="293"/>
      <c r="F383" s="293"/>
      <c r="G383" s="293"/>
      <c r="H383" s="293"/>
      <c r="I383" s="900"/>
      <c r="J383" s="900"/>
      <c r="K383" s="900"/>
      <c r="L383" s="206"/>
      <c r="M383" s="206"/>
      <c r="N383" s="206"/>
      <c r="O383" s="206"/>
      <c r="P383" s="206"/>
      <c r="Q383" s="206"/>
      <c r="R383" s="206"/>
      <c r="S383" s="206"/>
      <c r="T383" s="465">
        <f>'P&amp;L'!T189</f>
        <v>10458.8976</v>
      </c>
      <c r="U383" s="465">
        <f>'P&amp;L'!U189</f>
        <v>10234.637000000001</v>
      </c>
      <c r="V383" s="465">
        <f>'P&amp;L'!V189</f>
        <v>10568</v>
      </c>
      <c r="W383" s="465">
        <f>'P&amp;L'!W189</f>
        <v>8434</v>
      </c>
      <c r="X383" s="465">
        <f>'P&amp;L'!X189</f>
        <v>8411</v>
      </c>
      <c r="Y383" s="465">
        <f>'P&amp;L'!Y189</f>
        <v>8653.1655742179282</v>
      </c>
      <c r="Z383" s="465">
        <f>'P&amp;L'!Z189</f>
        <v>8200.9322838511616</v>
      </c>
      <c r="AA383" s="465">
        <f>'P&amp;L'!AA189</f>
        <v>8383.2212777158857</v>
      </c>
      <c r="AB383" s="465">
        <f>'P&amp;L'!AB189</f>
        <v>8576.4676981060948</v>
      </c>
      <c r="AC383" s="465">
        <f>'P&amp;L'!AC189</f>
        <v>8665.3684419380006</v>
      </c>
      <c r="AD383" s="465">
        <f>'P&amp;L'!AD189</f>
        <v>8866.5442399652729</v>
      </c>
      <c r="AE383" s="465">
        <f>'P&amp;L'!AE189</f>
        <v>9082.3759499193475</v>
      </c>
      <c r="AF383" s="465">
        <f>'P&amp;L'!AF189</f>
        <v>9290.0133798083407</v>
      </c>
      <c r="AG383" s="465">
        <f>'P&amp;L'!AG189</f>
        <v>9517.3432962335028</v>
      </c>
      <c r="AH383" s="465">
        <f>'P&amp;L'!AH189</f>
        <v>9765.0748225299358</v>
      </c>
      <c r="AI383" s="465">
        <f>'P&amp;L'!AI189</f>
        <v>10034.144622136932</v>
      </c>
      <c r="AJ383" s="465">
        <f>'P&amp;L'!AJ189</f>
        <v>10336.04978408508</v>
      </c>
      <c r="AK383" s="465">
        <f>'P&amp;L'!AK189</f>
        <v>10658.860518414622</v>
      </c>
      <c r="AL383" s="465">
        <f>'P&amp;L'!AL189</f>
        <v>9667.2128045104419</v>
      </c>
      <c r="AM383" s="293"/>
      <c r="AN383" s="293"/>
    </row>
    <row r="384" spans="1:40" outlineLevel="1">
      <c r="A384" s="2"/>
      <c r="B384" s="73"/>
      <c r="C384" s="18"/>
      <c r="D384" s="2"/>
      <c r="E384" s="2"/>
      <c r="F384" s="2"/>
      <c r="G384" s="2"/>
      <c r="H384" s="2"/>
      <c r="I384" s="67"/>
      <c r="J384" s="67"/>
      <c r="K384" s="67"/>
      <c r="L384" s="254"/>
      <c r="M384" s="254"/>
      <c r="N384" s="254"/>
      <c r="O384" s="254"/>
      <c r="P384" s="254"/>
      <c r="Q384" s="254"/>
      <c r="R384" s="254"/>
      <c r="S384" s="254"/>
      <c r="T384" s="615"/>
      <c r="U384" s="615"/>
      <c r="V384" s="615"/>
      <c r="W384" s="615"/>
      <c r="X384" s="254"/>
      <c r="Y384" s="254"/>
      <c r="Z384" s="254"/>
      <c r="AA384" s="254"/>
      <c r="AB384" s="254"/>
      <c r="AC384" s="254"/>
      <c r="AD384" s="254"/>
      <c r="AE384" s="254"/>
      <c r="AF384" s="254"/>
      <c r="AG384" s="254"/>
      <c r="AH384" s="254"/>
      <c r="AI384" s="254"/>
      <c r="AJ384" s="254"/>
      <c r="AK384" s="254"/>
      <c r="AL384" s="254"/>
      <c r="AM384" s="2"/>
      <c r="AN384" s="2"/>
    </row>
    <row r="385" spans="1:40" outlineLevel="1">
      <c r="A385" s="2"/>
      <c r="B385" s="73" t="s">
        <v>1026</v>
      </c>
      <c r="C385" s="18" t="s">
        <v>732</v>
      </c>
      <c r="D385" s="2"/>
      <c r="E385" s="2"/>
      <c r="F385" s="2"/>
      <c r="G385" s="2"/>
      <c r="H385" s="2"/>
      <c r="I385" s="67">
        <f>I405-I401</f>
        <v>7937.6912219999995</v>
      </c>
      <c r="J385" s="67">
        <f>J405-J401</f>
        <v>6663.8546540000007</v>
      </c>
      <c r="K385" s="67">
        <f>K405-K401</f>
        <v>6916.0738955586894</v>
      </c>
      <c r="L385" s="254">
        <f t="shared" ref="L385:V385" si="447">L354*L326</f>
        <v>4066.2599999999998</v>
      </c>
      <c r="M385" s="254">
        <f t="shared" si="447"/>
        <v>3738.24</v>
      </c>
      <c r="N385" s="254">
        <f t="shared" si="447"/>
        <v>3499.2</v>
      </c>
      <c r="O385" s="254">
        <f t="shared" si="447"/>
        <v>3160.04</v>
      </c>
      <c r="P385" s="254">
        <f t="shared" si="447"/>
        <v>2890.6263360000003</v>
      </c>
      <c r="Q385" s="254">
        <f t="shared" si="447"/>
        <v>2746.2394638000001</v>
      </c>
      <c r="R385" s="254">
        <f t="shared" si="447"/>
        <v>2420.4</v>
      </c>
      <c r="S385" s="254">
        <f t="shared" si="447"/>
        <v>2060.3000000000002</v>
      </c>
      <c r="T385" s="254">
        <f t="shared" si="447"/>
        <v>1765.9306000000001</v>
      </c>
      <c r="U385" s="254">
        <f t="shared" si="447"/>
        <v>1489.5232000000001</v>
      </c>
      <c r="V385" s="254">
        <f t="shared" si="447"/>
        <v>915.45299999999997</v>
      </c>
      <c r="W385" s="254"/>
      <c r="X385" s="254"/>
      <c r="Y385" s="254"/>
      <c r="Z385" s="254"/>
      <c r="AA385" s="254"/>
      <c r="AB385" s="254"/>
      <c r="AC385" s="254"/>
      <c r="AD385" s="254"/>
      <c r="AE385" s="254"/>
      <c r="AF385" s="254"/>
      <c r="AG385" s="254"/>
      <c r="AH385" s="254"/>
      <c r="AI385" s="254"/>
      <c r="AJ385" s="254"/>
      <c r="AK385" s="254"/>
      <c r="AL385" s="254"/>
      <c r="AM385" s="2"/>
      <c r="AN385" s="2"/>
    </row>
    <row r="386" spans="1:40" outlineLevel="1">
      <c r="A386" s="2"/>
      <c r="B386" s="73" t="s">
        <v>1027</v>
      </c>
      <c r="C386" s="18" t="s">
        <v>732</v>
      </c>
      <c r="D386" s="2"/>
      <c r="E386" s="2"/>
      <c r="F386" s="2"/>
      <c r="G386" s="2"/>
      <c r="H386" s="2"/>
      <c r="I386" s="67">
        <f>I355*I327</f>
        <v>222.21</v>
      </c>
      <c r="J386" s="67">
        <f>J355*J327</f>
        <v>335.68560000000002</v>
      </c>
      <c r="K386" s="67">
        <f>K355*K327</f>
        <v>438.20524800000004</v>
      </c>
      <c r="L386" s="254">
        <f t="shared" ref="L386:V386" si="448">L355*L327</f>
        <v>483.83978400000001</v>
      </c>
      <c r="M386" s="254">
        <f t="shared" si="448"/>
        <v>693</v>
      </c>
      <c r="N386" s="254">
        <f t="shared" si="448"/>
        <v>806.40000000000009</v>
      </c>
      <c r="O386" s="254">
        <f t="shared" si="448"/>
        <v>645.81000000000006</v>
      </c>
      <c r="P386" s="254">
        <f t="shared" si="448"/>
        <v>744.81</v>
      </c>
      <c r="Q386" s="254">
        <f t="shared" si="448"/>
        <v>876.54</v>
      </c>
      <c r="R386" s="254">
        <f t="shared" si="448"/>
        <v>976.01801439999986</v>
      </c>
      <c r="S386" s="254">
        <f t="shared" si="448"/>
        <v>975.59130631578932</v>
      </c>
      <c r="T386" s="254">
        <f t="shared" si="448"/>
        <v>1021.3135987200001</v>
      </c>
      <c r="U386" s="254">
        <f t="shared" si="448"/>
        <v>799.11048161921485</v>
      </c>
      <c r="V386" s="254">
        <f t="shared" si="448"/>
        <v>405.76832945621663</v>
      </c>
      <c r="W386" s="254"/>
      <c r="X386" s="254"/>
      <c r="Y386" s="254"/>
      <c r="Z386" s="254"/>
      <c r="AA386" s="254"/>
      <c r="AB386" s="254"/>
      <c r="AC386" s="254"/>
      <c r="AD386" s="254"/>
      <c r="AE386" s="254"/>
      <c r="AF386" s="254"/>
      <c r="AG386" s="254"/>
      <c r="AH386" s="254"/>
      <c r="AI386" s="254"/>
      <c r="AJ386" s="254"/>
      <c r="AK386" s="254"/>
      <c r="AL386" s="254"/>
      <c r="AM386" s="2"/>
      <c r="AN386" s="2"/>
    </row>
    <row r="387" spans="1:40" outlineLevel="1">
      <c r="A387" s="2"/>
      <c r="B387" s="73" t="s">
        <v>1024</v>
      </c>
      <c r="C387" s="18" t="s">
        <v>732</v>
      </c>
      <c r="D387" s="2"/>
      <c r="E387" s="2"/>
      <c r="F387" s="2"/>
      <c r="G387" s="2"/>
      <c r="H387" s="2"/>
      <c r="I387" s="67"/>
      <c r="J387" s="67"/>
      <c r="K387" s="67"/>
      <c r="L387" s="254"/>
      <c r="M387" s="254"/>
      <c r="N387" s="254"/>
      <c r="O387" s="254"/>
      <c r="P387" s="254"/>
      <c r="Q387" s="254"/>
      <c r="R387" s="254"/>
      <c r="S387" s="254"/>
      <c r="T387" s="615">
        <f>3307-T385-T386-T388</f>
        <v>335.75580127999979</v>
      </c>
      <c r="U387" s="615">
        <f>2863-U385-U386-U388</f>
        <v>312.36631838078506</v>
      </c>
      <c r="V387" s="615">
        <f>1872-V385-V386-V388</f>
        <v>238.77867054378339</v>
      </c>
      <c r="W387" s="254"/>
      <c r="X387" s="254"/>
      <c r="Y387" s="254"/>
      <c r="Z387" s="254"/>
      <c r="AA387" s="254"/>
      <c r="AB387" s="254"/>
      <c r="AC387" s="254"/>
      <c r="AD387" s="254"/>
      <c r="AE387" s="254"/>
      <c r="AF387" s="254"/>
      <c r="AG387" s="254"/>
      <c r="AH387" s="254"/>
      <c r="AI387" s="254"/>
      <c r="AJ387" s="254"/>
      <c r="AK387" s="254"/>
      <c r="AL387" s="254"/>
      <c r="AM387" s="2"/>
      <c r="AN387" s="2"/>
    </row>
    <row r="388" spans="1:40" outlineLevel="1">
      <c r="A388" s="2"/>
      <c r="B388" s="73" t="s">
        <v>1025</v>
      </c>
      <c r="C388" s="18" t="s">
        <v>732</v>
      </c>
      <c r="D388" s="2"/>
      <c r="E388" s="2"/>
      <c r="F388" s="2"/>
      <c r="G388" s="2"/>
      <c r="H388" s="2"/>
      <c r="I388" s="67"/>
      <c r="J388" s="67"/>
      <c r="K388" s="67"/>
      <c r="L388" s="254"/>
      <c r="M388" s="254"/>
      <c r="N388" s="254"/>
      <c r="O388" s="254"/>
      <c r="P388" s="254"/>
      <c r="Q388" s="254"/>
      <c r="R388" s="254"/>
      <c r="S388" s="254"/>
      <c r="T388" s="739">
        <v>184</v>
      </c>
      <c r="U388" s="739">
        <v>262</v>
      </c>
      <c r="V388" s="465">
        <v>312</v>
      </c>
      <c r="W388" s="465">
        <v>312</v>
      </c>
      <c r="X388" s="465">
        <v>417.84573378839593</v>
      </c>
      <c r="Y388" s="465">
        <v>227.72592491467572</v>
      </c>
      <c r="Z388" s="465">
        <v>82.740419385665746</v>
      </c>
      <c r="AA388" s="465">
        <v>37.577940470989773</v>
      </c>
      <c r="AB388" s="465">
        <v>40.959955113378854</v>
      </c>
      <c r="AC388" s="465">
        <v>0</v>
      </c>
      <c r="AD388" s="465">
        <v>0</v>
      </c>
      <c r="AE388" s="465">
        <v>0</v>
      </c>
      <c r="AF388" s="465">
        <v>0</v>
      </c>
      <c r="AG388" s="465">
        <v>0</v>
      </c>
      <c r="AH388" s="465">
        <v>0</v>
      </c>
      <c r="AI388" s="465">
        <v>0</v>
      </c>
      <c r="AJ388" s="465">
        <v>0</v>
      </c>
      <c r="AK388" s="465">
        <v>0</v>
      </c>
      <c r="AL388" s="465">
        <v>0</v>
      </c>
      <c r="AM388" s="2"/>
      <c r="AN388" s="2"/>
    </row>
    <row r="389" spans="1:40" outlineLevel="1">
      <c r="A389" s="2"/>
      <c r="B389" s="55"/>
      <c r="C389" s="18"/>
      <c r="D389" s="2"/>
      <c r="E389" s="2"/>
      <c r="F389" s="2"/>
      <c r="G389" s="2"/>
      <c r="H389" s="2"/>
      <c r="I389" s="67"/>
      <c r="J389" s="67"/>
      <c r="K389" s="67"/>
      <c r="L389" s="67"/>
      <c r="M389" s="67"/>
      <c r="N389" s="67"/>
      <c r="O389" s="67"/>
      <c r="P389" s="67"/>
      <c r="Q389" s="67"/>
      <c r="R389" s="67"/>
      <c r="S389" s="67"/>
      <c r="T389" s="67"/>
      <c r="U389" s="67"/>
      <c r="V389" s="67"/>
      <c r="W389" s="67"/>
      <c r="X389" s="67"/>
      <c r="Y389" s="67"/>
      <c r="Z389" s="67"/>
      <c r="AA389" s="67"/>
      <c r="AB389" s="67"/>
      <c r="AC389" s="67"/>
      <c r="AD389" s="67"/>
      <c r="AE389" s="67"/>
      <c r="AF389" s="67"/>
      <c r="AG389" s="67"/>
      <c r="AH389" s="67"/>
      <c r="AI389" s="67"/>
      <c r="AJ389" s="67"/>
      <c r="AK389" s="67"/>
      <c r="AL389" s="67"/>
      <c r="AM389" s="2"/>
      <c r="AN389" s="2"/>
    </row>
    <row r="390" spans="1:40" outlineLevel="1">
      <c r="A390" s="2"/>
      <c r="B390" s="55" t="s">
        <v>801</v>
      </c>
      <c r="C390" s="18" t="s">
        <v>732</v>
      </c>
      <c r="D390" s="2"/>
      <c r="E390" s="2"/>
      <c r="F390" s="2"/>
      <c r="G390" s="2"/>
      <c r="H390" s="2"/>
      <c r="I390" s="67">
        <f t="shared" ref="I390:S390" si="449">I358*I331</f>
        <v>907.99999999999989</v>
      </c>
      <c r="J390" s="67">
        <f t="shared" si="449"/>
        <v>1000.9999999999999</v>
      </c>
      <c r="K390" s="67">
        <f t="shared" si="449"/>
        <v>943</v>
      </c>
      <c r="L390" s="254">
        <f t="shared" si="449"/>
        <v>1094</v>
      </c>
      <c r="M390" s="254">
        <f t="shared" si="449"/>
        <v>1173</v>
      </c>
      <c r="N390" s="254">
        <f t="shared" si="449"/>
        <v>1222</v>
      </c>
      <c r="O390" s="254">
        <f t="shared" si="449"/>
        <v>994</v>
      </c>
      <c r="P390" s="254">
        <f t="shared" si="449"/>
        <v>711.16016211299996</v>
      </c>
      <c r="Q390" s="254">
        <f t="shared" si="449"/>
        <v>571.19588900313204</v>
      </c>
      <c r="R390" s="254">
        <f t="shared" si="449"/>
        <v>39.14</v>
      </c>
      <c r="S390" s="254">
        <f t="shared" si="449"/>
        <v>27.65</v>
      </c>
      <c r="T390" s="465">
        <f>'Revenue Assumptions'!AA789</f>
        <v>45.599459310303445</v>
      </c>
      <c r="U390" s="465">
        <f>'Revenue Assumptions'!AB789</f>
        <v>42.39401071210176</v>
      </c>
      <c r="V390" s="465">
        <f>'Revenue Assumptions'!AC789</f>
        <v>43.405288068209529</v>
      </c>
      <c r="W390" s="465">
        <f>'Revenue Assumptions'!AD789</f>
        <v>26.576919998334645</v>
      </c>
      <c r="X390" s="465">
        <f>'Revenue Assumptions'!AE789</f>
        <v>20.098514808158555</v>
      </c>
      <c r="Y390" s="465">
        <f>'Revenue Assumptions'!AF789</f>
        <v>18.722234560779569</v>
      </c>
      <c r="Z390" s="465">
        <f>'Revenue Assumptions'!AG789</f>
        <v>17.361159974478568</v>
      </c>
      <c r="AA390" s="465">
        <f>'Revenue Assumptions'!AH789</f>
        <v>16.013055044778355</v>
      </c>
      <c r="AB390" s="465">
        <f>'Revenue Assumptions'!AI789</f>
        <v>14.675664964563197</v>
      </c>
      <c r="AC390" s="465">
        <f>'Revenue Assumptions'!AJ789</f>
        <v>13.346713596577281</v>
      </c>
      <c r="AD390" s="465">
        <f>'Revenue Assumptions'!AK789</f>
        <v>12.023900896048296</v>
      </c>
      <c r="AE390" s="465">
        <f>'Revenue Assumptions'!AL789</f>
        <v>10.704900280688975</v>
      </c>
      <c r="AF390" s="465">
        <f>'Revenue Assumptions'!AM789</f>
        <v>9.3873559452566511</v>
      </c>
      <c r="AG390" s="465">
        <f>'Revenue Assumptions'!AN789</f>
        <v>8.0688801177753717</v>
      </c>
      <c r="AH390" s="465">
        <f>'Revenue Assumptions'!AO789</f>
        <v>6.7470502544462647</v>
      </c>
      <c r="AI390" s="465">
        <f>'Revenue Assumptions'!AP789</f>
        <v>5.4194061701900047</v>
      </c>
      <c r="AJ390" s="465">
        <f>'Revenue Assumptions'!AQ789</f>
        <v>5.4194061701900047</v>
      </c>
      <c r="AK390" s="465">
        <f>'Revenue Assumptions'!AR789</f>
        <v>5.4194061701900047</v>
      </c>
      <c r="AL390" s="465">
        <f>'Revenue Assumptions'!AS789</f>
        <v>5.4194061701900047</v>
      </c>
      <c r="AM390" s="2"/>
      <c r="AN390" s="2"/>
    </row>
    <row r="391" spans="1:40" outlineLevel="1">
      <c r="A391" s="2"/>
      <c r="B391" s="2"/>
      <c r="C391" s="18"/>
      <c r="D391" s="6"/>
      <c r="E391" s="6"/>
      <c r="F391" s="6"/>
      <c r="G391" s="6"/>
      <c r="H391" s="6"/>
      <c r="I391" s="6"/>
      <c r="J391" s="6"/>
      <c r="K391" s="6"/>
      <c r="L391" s="6"/>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row>
    <row r="392" spans="1:40" outlineLevel="1">
      <c r="A392" s="2"/>
      <c r="B392" s="55" t="s">
        <v>450</v>
      </c>
      <c r="C392" s="18" t="s">
        <v>732</v>
      </c>
      <c r="D392" s="2"/>
      <c r="E392" s="2"/>
      <c r="F392" s="2"/>
      <c r="G392" s="2"/>
      <c r="H392" s="2"/>
      <c r="I392" s="67"/>
      <c r="J392" s="67"/>
      <c r="K392" s="67"/>
      <c r="L392" s="254"/>
      <c r="M392" s="254"/>
      <c r="N392" s="254"/>
      <c r="O392" s="254"/>
      <c r="P392" s="254"/>
      <c r="Q392" s="254"/>
      <c r="R392" s="254"/>
      <c r="S392" s="254">
        <f t="shared" ref="S392:AH392" si="450">S330*S359</f>
        <v>0</v>
      </c>
      <c r="T392" s="254">
        <f t="shared" si="450"/>
        <v>0</v>
      </c>
      <c r="U392" s="254">
        <f t="shared" si="450"/>
        <v>0</v>
      </c>
      <c r="V392" s="254">
        <f t="shared" si="450"/>
        <v>0</v>
      </c>
      <c r="W392" s="254">
        <f t="shared" si="450"/>
        <v>0</v>
      </c>
      <c r="X392" s="254">
        <f t="shared" si="450"/>
        <v>0</v>
      </c>
      <c r="Y392" s="254">
        <f t="shared" si="450"/>
        <v>0</v>
      </c>
      <c r="Z392" s="254">
        <f t="shared" si="450"/>
        <v>0</v>
      </c>
      <c r="AA392" s="254">
        <f t="shared" si="450"/>
        <v>0</v>
      </c>
      <c r="AB392" s="254">
        <f t="shared" si="450"/>
        <v>0</v>
      </c>
      <c r="AC392" s="254">
        <f t="shared" si="450"/>
        <v>0</v>
      </c>
      <c r="AD392" s="254">
        <f t="shared" si="450"/>
        <v>0</v>
      </c>
      <c r="AE392" s="254">
        <f t="shared" si="450"/>
        <v>0</v>
      </c>
      <c r="AF392" s="254">
        <f t="shared" si="450"/>
        <v>0</v>
      </c>
      <c r="AG392" s="254">
        <f t="shared" si="450"/>
        <v>0</v>
      </c>
      <c r="AH392" s="254">
        <f t="shared" si="450"/>
        <v>0</v>
      </c>
      <c r="AI392" s="254">
        <f>AI330*AI359</f>
        <v>0</v>
      </c>
      <c r="AJ392" s="254">
        <f t="shared" ref="AJ392:AK392" si="451">AJ330*AJ359</f>
        <v>0</v>
      </c>
      <c r="AK392" s="254">
        <f t="shared" si="451"/>
        <v>0</v>
      </c>
      <c r="AL392" s="254">
        <f t="shared" ref="AL392" si="452">AL330*AL359</f>
        <v>0</v>
      </c>
      <c r="AM392" s="2"/>
      <c r="AN392" s="2"/>
    </row>
    <row r="393" spans="1:40" outlineLevel="1">
      <c r="A393" s="2"/>
      <c r="B393" s="55" t="s">
        <v>126</v>
      </c>
      <c r="C393" s="18" t="s">
        <v>732</v>
      </c>
      <c r="D393" s="2"/>
      <c r="E393" s="2"/>
      <c r="F393" s="2"/>
      <c r="G393" s="2"/>
      <c r="H393" s="2"/>
      <c r="I393" s="67"/>
      <c r="J393" s="67"/>
      <c r="K393" s="67"/>
      <c r="L393" s="254"/>
      <c r="M393" s="254"/>
      <c r="N393" s="254"/>
      <c r="O393" s="254"/>
      <c r="P393" s="254"/>
      <c r="Q393" s="254"/>
      <c r="R393" s="254"/>
      <c r="S393" s="254"/>
      <c r="T393" s="254">
        <f t="shared" ref="T393:AH393" si="453">T334*T360</f>
        <v>30.18</v>
      </c>
      <c r="U393" s="254">
        <f t="shared" si="453"/>
        <v>31.3872</v>
      </c>
      <c r="V393" s="254">
        <f t="shared" si="453"/>
        <v>32.642688</v>
      </c>
      <c r="W393" s="254">
        <f t="shared" si="453"/>
        <v>44.829291520000019</v>
      </c>
      <c r="X393" s="254">
        <f t="shared" si="453"/>
        <v>69.261255398400024</v>
      </c>
      <c r="Y393" s="254">
        <f t="shared" si="453"/>
        <v>83.228941903744001</v>
      </c>
      <c r="Z393" s="254">
        <f t="shared" si="453"/>
        <v>97.972354469550055</v>
      </c>
      <c r="AA393" s="254">
        <f t="shared" si="453"/>
        <v>113.52546574159115</v>
      </c>
      <c r="AB393" s="254">
        <f t="shared" si="453"/>
        <v>129.92358857093205</v>
      </c>
      <c r="AC393" s="254">
        <f t="shared" si="453"/>
        <v>147.20342585086601</v>
      </c>
      <c r="AD393" s="254">
        <f t="shared" si="453"/>
        <v>165.40312213788212</v>
      </c>
      <c r="AE393" s="254">
        <f t="shared" si="453"/>
        <v>184.56231711885343</v>
      </c>
      <c r="AF393" s="254">
        <f t="shared" si="453"/>
        <v>204.72220098875894</v>
      </c>
      <c r="AG393" s="254">
        <f t="shared" si="453"/>
        <v>225.92557180545182</v>
      </c>
      <c r="AH393" s="254">
        <f t="shared" si="453"/>
        <v>248.21689489025633</v>
      </c>
      <c r="AI393" s="254">
        <f>AI334*AI360</f>
        <v>271.64236434552424</v>
      </c>
      <c r="AJ393" s="254">
        <f t="shared" ref="AJ393:AK393" si="454">AJ334*AJ360</f>
        <v>287.62132695408451</v>
      </c>
      <c r="AK393" s="254">
        <f t="shared" si="454"/>
        <v>303.60028956264478</v>
      </c>
      <c r="AL393" s="254">
        <f t="shared" ref="AL393" si="455">AL334*AL360</f>
        <v>319.57925217120504</v>
      </c>
      <c r="AM393" s="2"/>
      <c r="AN393" s="2"/>
    </row>
    <row r="394" spans="1:40" outlineLevel="1">
      <c r="A394" s="2"/>
      <c r="B394" s="55" t="s">
        <v>953</v>
      </c>
      <c r="C394" s="18" t="s">
        <v>732</v>
      </c>
      <c r="D394" s="18"/>
      <c r="E394" s="18"/>
      <c r="F394" s="18"/>
      <c r="G394" s="18"/>
      <c r="H394" s="18"/>
      <c r="I394" s="903">
        <f>I361*I333</f>
        <v>1161.0987780000003</v>
      </c>
      <c r="J394" s="903">
        <f>J361*J333</f>
        <v>1218.4597459999995</v>
      </c>
      <c r="K394" s="903">
        <f>K361*K333</f>
        <v>1215.7208564413106</v>
      </c>
      <c r="L394" s="354">
        <f>L405-L401</f>
        <v>734.8060119999991</v>
      </c>
      <c r="M394" s="354">
        <f>M405-M401</f>
        <v>826.79225563909858</v>
      </c>
      <c r="N394" s="354">
        <f>N405-N401</f>
        <v>480.42127028096547</v>
      </c>
      <c r="O394" s="354">
        <f>O405-O401</f>
        <v>616.01931143648653</v>
      </c>
      <c r="P394" s="254">
        <f>P333-P419</f>
        <v>240.96936121557246</v>
      </c>
      <c r="Q394" s="254">
        <f>Q333-Q419</f>
        <v>309.57050297795377</v>
      </c>
      <c r="R394" s="254">
        <f>R333-R419</f>
        <v>90.282286931071212</v>
      </c>
      <c r="S394" s="254">
        <f>S333-S419</f>
        <v>290.76046461276201</v>
      </c>
      <c r="T394" s="254">
        <f t="shared" ref="T394:AH394" si="456">T333*T361</f>
        <v>367.72640000000001</v>
      </c>
      <c r="U394" s="254">
        <f t="shared" si="456"/>
        <v>855.33761499999991</v>
      </c>
      <c r="V394" s="254">
        <f t="shared" si="456"/>
        <v>1059.0191486702834</v>
      </c>
      <c r="W394" s="254">
        <f t="shared" si="456"/>
        <v>1009.3784549749298</v>
      </c>
      <c r="X394" s="254">
        <f t="shared" si="456"/>
        <v>283.04017654034215</v>
      </c>
      <c r="Y394" s="254">
        <f t="shared" si="456"/>
        <v>210.7490326446642</v>
      </c>
      <c r="Z394" s="254">
        <f t="shared" si="456"/>
        <v>231.50610729260433</v>
      </c>
      <c r="AA394" s="254">
        <f t="shared" si="456"/>
        <v>251.58891570644667</v>
      </c>
      <c r="AB394" s="254">
        <f t="shared" si="456"/>
        <v>271.12852091070698</v>
      </c>
      <c r="AC394" s="254">
        <f t="shared" si="456"/>
        <v>290.24458977739408</v>
      </c>
      <c r="AD394" s="254">
        <f t="shared" si="456"/>
        <v>309.04635407770667</v>
      </c>
      <c r="AE394" s="254">
        <f t="shared" si="456"/>
        <v>327.63349051232211</v>
      </c>
      <c r="AF394" s="254">
        <f t="shared" si="456"/>
        <v>346.096926972733</v>
      </c>
      <c r="AG394" s="254">
        <f t="shared" si="456"/>
        <v>364.51958158835021</v>
      </c>
      <c r="AH394" s="254">
        <f t="shared" si="456"/>
        <v>382.97704048752917</v>
      </c>
      <c r="AI394" s="254">
        <f>AI333*AI361</f>
        <v>401.53817963776675</v>
      </c>
      <c r="AJ394" s="254">
        <f t="shared" ref="AJ394:AK394" si="457">AJ333*AJ361</f>
        <v>423.84585628430938</v>
      </c>
      <c r="AK394" s="254">
        <f t="shared" si="457"/>
        <v>446.15353293085201</v>
      </c>
      <c r="AL394" s="254">
        <f t="shared" ref="AL394" si="458">AL333*AL361</f>
        <v>468.46120957739458</v>
      </c>
      <c r="AM394" s="2"/>
      <c r="AN394" s="2"/>
    </row>
    <row r="395" spans="1:40" outlineLevel="1">
      <c r="A395" s="2"/>
      <c r="B395" s="55" t="s">
        <v>73</v>
      </c>
      <c r="C395" s="18" t="s">
        <v>732</v>
      </c>
      <c r="D395" s="2"/>
      <c r="E395" s="2"/>
      <c r="F395" s="2"/>
      <c r="G395" s="2"/>
      <c r="H395" s="2"/>
      <c r="I395" s="67">
        <f t="shared" ref="I395:AH395" si="459">I362*I336</f>
        <v>216.99999999999997</v>
      </c>
      <c r="J395" s="67">
        <f t="shared" si="459"/>
        <v>240</v>
      </c>
      <c r="K395" s="67">
        <f t="shared" si="459"/>
        <v>283</v>
      </c>
      <c r="L395" s="254">
        <f t="shared" si="459"/>
        <v>262</v>
      </c>
      <c r="M395" s="254">
        <f t="shared" si="459"/>
        <v>239</v>
      </c>
      <c r="N395" s="254">
        <f t="shared" si="459"/>
        <v>217</v>
      </c>
      <c r="O395" s="254">
        <f t="shared" si="459"/>
        <v>176</v>
      </c>
      <c r="P395" s="254">
        <f t="shared" si="459"/>
        <v>223.00000000000003</v>
      </c>
      <c r="Q395" s="254">
        <f t="shared" si="459"/>
        <v>249</v>
      </c>
      <c r="R395" s="254">
        <f t="shared" si="459"/>
        <v>257.37388724035611</v>
      </c>
      <c r="S395" s="254">
        <f t="shared" si="459"/>
        <v>0</v>
      </c>
      <c r="T395" s="254">
        <f t="shared" si="459"/>
        <v>0</v>
      </c>
      <c r="U395" s="254">
        <f t="shared" si="459"/>
        <v>0</v>
      </c>
      <c r="V395" s="254">
        <f t="shared" si="459"/>
        <v>0</v>
      </c>
      <c r="W395" s="254">
        <f t="shared" si="459"/>
        <v>0</v>
      </c>
      <c r="X395" s="254">
        <f t="shared" si="459"/>
        <v>0</v>
      </c>
      <c r="Y395" s="254">
        <f t="shared" si="459"/>
        <v>0</v>
      </c>
      <c r="Z395" s="254">
        <f t="shared" si="459"/>
        <v>0</v>
      </c>
      <c r="AA395" s="254">
        <f t="shared" si="459"/>
        <v>0</v>
      </c>
      <c r="AB395" s="254">
        <f t="shared" si="459"/>
        <v>0</v>
      </c>
      <c r="AC395" s="254">
        <f t="shared" si="459"/>
        <v>0</v>
      </c>
      <c r="AD395" s="254">
        <f t="shared" si="459"/>
        <v>0</v>
      </c>
      <c r="AE395" s="254">
        <f t="shared" si="459"/>
        <v>0</v>
      </c>
      <c r="AF395" s="254">
        <f t="shared" si="459"/>
        <v>0</v>
      </c>
      <c r="AG395" s="254">
        <f t="shared" si="459"/>
        <v>0</v>
      </c>
      <c r="AH395" s="254">
        <f t="shared" si="459"/>
        <v>0</v>
      </c>
      <c r="AI395" s="254">
        <f>AI362*AI336</f>
        <v>0</v>
      </c>
      <c r="AJ395" s="254">
        <f t="shared" ref="AJ395:AK395" si="460">AJ362*AJ336</f>
        <v>0</v>
      </c>
      <c r="AK395" s="254">
        <f t="shared" si="460"/>
        <v>0</v>
      </c>
      <c r="AL395" s="254">
        <f t="shared" ref="AL395" si="461">AL362*AL336</f>
        <v>0</v>
      </c>
      <c r="AM395" s="2"/>
      <c r="AN395" s="2"/>
    </row>
    <row r="396" spans="1:40" outlineLevel="1">
      <c r="A396" s="2"/>
      <c r="B396" s="55" t="s">
        <v>74</v>
      </c>
      <c r="C396" s="18" t="s">
        <v>732</v>
      </c>
      <c r="D396" s="2"/>
      <c r="E396" s="2"/>
      <c r="F396" s="2"/>
      <c r="G396" s="2"/>
      <c r="H396" s="2"/>
      <c r="I396" s="67">
        <f t="shared" ref="I396:AH396" si="462">I363*I337</f>
        <v>112</v>
      </c>
      <c r="J396" s="67">
        <f t="shared" si="462"/>
        <v>111.00000000000001</v>
      </c>
      <c r="K396" s="67">
        <f t="shared" si="462"/>
        <v>72</v>
      </c>
      <c r="L396" s="254">
        <f t="shared" si="462"/>
        <v>107</v>
      </c>
      <c r="M396" s="254">
        <f t="shared" si="462"/>
        <v>108</v>
      </c>
      <c r="N396" s="254">
        <f t="shared" si="462"/>
        <v>105</v>
      </c>
      <c r="O396" s="254">
        <f t="shared" si="462"/>
        <v>84</v>
      </c>
      <c r="P396" s="254">
        <f t="shared" si="462"/>
        <v>99</v>
      </c>
      <c r="Q396" s="254">
        <f t="shared" si="462"/>
        <v>32.407185628742518</v>
      </c>
      <c r="R396" s="254">
        <f t="shared" si="462"/>
        <v>0</v>
      </c>
      <c r="S396" s="254">
        <f t="shared" si="462"/>
        <v>0</v>
      </c>
      <c r="T396" s="254">
        <f t="shared" si="462"/>
        <v>0</v>
      </c>
      <c r="U396" s="254">
        <f t="shared" si="462"/>
        <v>0</v>
      </c>
      <c r="V396" s="254">
        <f t="shared" si="462"/>
        <v>0</v>
      </c>
      <c r="W396" s="254">
        <f t="shared" si="462"/>
        <v>0</v>
      </c>
      <c r="X396" s="254">
        <f t="shared" si="462"/>
        <v>0</v>
      </c>
      <c r="Y396" s="254">
        <f t="shared" si="462"/>
        <v>0</v>
      </c>
      <c r="Z396" s="254">
        <f t="shared" si="462"/>
        <v>0</v>
      </c>
      <c r="AA396" s="254">
        <f t="shared" si="462"/>
        <v>0</v>
      </c>
      <c r="AB396" s="254">
        <f t="shared" si="462"/>
        <v>0</v>
      </c>
      <c r="AC396" s="254">
        <f t="shared" si="462"/>
        <v>0</v>
      </c>
      <c r="AD396" s="254">
        <f t="shared" si="462"/>
        <v>0</v>
      </c>
      <c r="AE396" s="254">
        <f t="shared" si="462"/>
        <v>0</v>
      </c>
      <c r="AF396" s="254">
        <f t="shared" si="462"/>
        <v>0</v>
      </c>
      <c r="AG396" s="254">
        <f t="shared" si="462"/>
        <v>0</v>
      </c>
      <c r="AH396" s="254">
        <f t="shared" si="462"/>
        <v>0</v>
      </c>
      <c r="AI396" s="254">
        <f>AI363*AI337</f>
        <v>0</v>
      </c>
      <c r="AJ396" s="254">
        <f t="shared" ref="AJ396:AK396" si="463">AJ363*AJ337</f>
        <v>0</v>
      </c>
      <c r="AK396" s="254">
        <f t="shared" si="463"/>
        <v>0</v>
      </c>
      <c r="AL396" s="254">
        <f t="shared" ref="AL396" si="464">AL363*AL337</f>
        <v>0</v>
      </c>
      <c r="AM396" s="2"/>
      <c r="AN396" s="2"/>
    </row>
    <row r="397" spans="1:40" outlineLevel="1">
      <c r="A397" s="2"/>
      <c r="B397" s="2" t="s">
        <v>752</v>
      </c>
      <c r="C397" s="18" t="s">
        <v>732</v>
      </c>
      <c r="D397" s="18"/>
      <c r="E397" s="18"/>
      <c r="F397" s="18"/>
      <c r="G397" s="18"/>
      <c r="H397" s="18"/>
      <c r="I397" s="903"/>
      <c r="J397" s="903"/>
      <c r="K397" s="903"/>
      <c r="L397" s="354"/>
      <c r="M397" s="354"/>
      <c r="N397" s="354"/>
      <c r="O397" s="354"/>
      <c r="P397" s="465">
        <v>4.2171428571428571</v>
      </c>
      <c r="Q397" s="465">
        <v>88.666666666666671</v>
      </c>
      <c r="R397" s="465">
        <v>316.46857142857141</v>
      </c>
      <c r="S397" s="465">
        <v>516</v>
      </c>
      <c r="T397" s="465">
        <v>601</v>
      </c>
      <c r="U397" s="465">
        <v>908</v>
      </c>
      <c r="V397" s="465">
        <v>1013</v>
      </c>
      <c r="W397" s="465">
        <v>1171</v>
      </c>
      <c r="X397" s="465">
        <v>1084</v>
      </c>
      <c r="Y397" s="465">
        <v>935.99999999999989</v>
      </c>
      <c r="Z397" s="465">
        <v>930</v>
      </c>
      <c r="AA397" s="465">
        <v>963.2972000000002</v>
      </c>
      <c r="AB397" s="465">
        <v>992.19611600000007</v>
      </c>
      <c r="AC397" s="465">
        <v>0</v>
      </c>
      <c r="AD397" s="465">
        <v>0</v>
      </c>
      <c r="AE397" s="465">
        <v>0</v>
      </c>
      <c r="AF397" s="465">
        <v>0</v>
      </c>
      <c r="AG397" s="465">
        <v>0</v>
      </c>
      <c r="AH397" s="465">
        <v>0</v>
      </c>
      <c r="AI397" s="465">
        <v>0</v>
      </c>
      <c r="AJ397" s="465">
        <v>0</v>
      </c>
      <c r="AK397" s="465">
        <v>0</v>
      </c>
      <c r="AL397" s="465">
        <v>0</v>
      </c>
      <c r="AM397" s="2"/>
      <c r="AN397" s="2"/>
    </row>
    <row r="398" spans="1:40" outlineLevel="1">
      <c r="A398" s="2"/>
      <c r="B398" s="2" t="s">
        <v>58</v>
      </c>
      <c r="C398" s="18" t="s">
        <v>732</v>
      </c>
      <c r="D398" s="18"/>
      <c r="E398" s="18"/>
      <c r="F398" s="18"/>
      <c r="G398" s="18"/>
      <c r="H398" s="18"/>
      <c r="I398" s="903"/>
      <c r="J398" s="903"/>
      <c r="K398" s="903"/>
      <c r="L398" s="354"/>
      <c r="M398" s="354"/>
      <c r="N398" s="354"/>
      <c r="O398" s="354"/>
      <c r="P398" s="254"/>
      <c r="Q398" s="254"/>
      <c r="R398" s="254">
        <f t="shared" ref="R398:AH398" si="465">R340</f>
        <v>0</v>
      </c>
      <c r="S398" s="254">
        <f t="shared" si="465"/>
        <v>0</v>
      </c>
      <c r="T398" s="254">
        <f t="shared" si="465"/>
        <v>77</v>
      </c>
      <c r="U398" s="254">
        <f t="shared" si="465"/>
        <v>103</v>
      </c>
      <c r="V398" s="254">
        <f t="shared" si="465"/>
        <v>0</v>
      </c>
      <c r="W398" s="254">
        <f t="shared" si="465"/>
        <v>0</v>
      </c>
      <c r="X398" s="254">
        <f t="shared" si="465"/>
        <v>0</v>
      </c>
      <c r="Y398" s="254">
        <f t="shared" si="465"/>
        <v>0</v>
      </c>
      <c r="Z398" s="254">
        <f t="shared" si="465"/>
        <v>0</v>
      </c>
      <c r="AA398" s="254">
        <f t="shared" si="465"/>
        <v>0</v>
      </c>
      <c r="AB398" s="254">
        <f t="shared" si="465"/>
        <v>0</v>
      </c>
      <c r="AC398" s="254">
        <f t="shared" si="465"/>
        <v>0</v>
      </c>
      <c r="AD398" s="254">
        <f t="shared" si="465"/>
        <v>0</v>
      </c>
      <c r="AE398" s="254">
        <f t="shared" si="465"/>
        <v>0</v>
      </c>
      <c r="AF398" s="254">
        <f t="shared" si="465"/>
        <v>0</v>
      </c>
      <c r="AG398" s="254">
        <f t="shared" si="465"/>
        <v>0</v>
      </c>
      <c r="AH398" s="254">
        <f t="shared" si="465"/>
        <v>0</v>
      </c>
      <c r="AI398" s="254">
        <f>AI340</f>
        <v>0</v>
      </c>
      <c r="AJ398" s="254">
        <f t="shared" ref="AJ398:AK398" si="466">AJ340</f>
        <v>0</v>
      </c>
      <c r="AK398" s="254">
        <f t="shared" si="466"/>
        <v>0</v>
      </c>
      <c r="AL398" s="254">
        <f t="shared" ref="AL398" si="467">AL340</f>
        <v>0</v>
      </c>
      <c r="AM398" s="2"/>
      <c r="AN398" s="2"/>
    </row>
    <row r="399" spans="1:40" outlineLevel="1">
      <c r="A399" s="2"/>
      <c r="B399" s="23" t="s">
        <v>647</v>
      </c>
      <c r="C399" s="22" t="s">
        <v>732</v>
      </c>
      <c r="D399" s="22"/>
      <c r="E399" s="22"/>
      <c r="F399" s="22"/>
      <c r="G399" s="22"/>
      <c r="H399" s="22"/>
      <c r="I399" s="904"/>
      <c r="J399" s="904"/>
      <c r="K399" s="904"/>
      <c r="L399" s="905"/>
      <c r="M399" s="905"/>
      <c r="N399" s="905"/>
      <c r="O399" s="905"/>
      <c r="P399" s="854">
        <v>65.474285714285713</v>
      </c>
      <c r="Q399" s="854">
        <v>108.42857142857144</v>
      </c>
      <c r="R399" s="854">
        <v>167.42857142857144</v>
      </c>
      <c r="S399" s="854">
        <v>264.42857142857144</v>
      </c>
      <c r="T399" s="854">
        <v>604.42857142857144</v>
      </c>
      <c r="U399" s="854">
        <v>1349.4285714285713</v>
      </c>
      <c r="V399" s="854">
        <v>1880.4285714285713</v>
      </c>
      <c r="W399" s="854">
        <v>1712.4285714285713</v>
      </c>
      <c r="X399" s="854">
        <v>1822.4285714285713</v>
      </c>
      <c r="Y399" s="854">
        <v>1123.4285714285713</v>
      </c>
      <c r="Z399" s="854">
        <v>442.09523809523915</v>
      </c>
      <c r="AA399" s="854">
        <v>243.37301587301596</v>
      </c>
      <c r="AB399" s="854">
        <v>243.37301587301596</v>
      </c>
      <c r="AC399" s="854">
        <v>0</v>
      </c>
      <c r="AD399" s="854">
        <v>0</v>
      </c>
      <c r="AE399" s="854">
        <v>0</v>
      </c>
      <c r="AF399" s="854">
        <v>0</v>
      </c>
      <c r="AG399" s="854">
        <v>0</v>
      </c>
      <c r="AH399" s="854">
        <v>0</v>
      </c>
      <c r="AI399" s="854">
        <v>0</v>
      </c>
      <c r="AJ399" s="854">
        <v>0</v>
      </c>
      <c r="AK399" s="854">
        <v>0</v>
      </c>
      <c r="AL399" s="854">
        <v>0</v>
      </c>
      <c r="AM399" s="2"/>
      <c r="AN399" s="2"/>
    </row>
    <row r="400" spans="1:40" outlineLevel="1">
      <c r="A400" s="6"/>
      <c r="B400" s="6" t="s">
        <v>214</v>
      </c>
      <c r="C400" s="21" t="s">
        <v>732</v>
      </c>
      <c r="D400" s="6"/>
      <c r="E400" s="6"/>
      <c r="F400" s="6"/>
      <c r="G400" s="6"/>
      <c r="H400" s="6"/>
      <c r="I400" s="70">
        <f t="shared" ref="I400:O400" si="468">SUM(I368:I396)</f>
        <v>12725.672475999998</v>
      </c>
      <c r="J400" s="70">
        <f t="shared" si="468"/>
        <v>11826.721932</v>
      </c>
      <c r="K400" s="70">
        <f t="shared" si="468"/>
        <v>12331.530279999999</v>
      </c>
      <c r="L400" s="259">
        <f t="shared" si="468"/>
        <v>10416.999999999998</v>
      </c>
      <c r="M400" s="259">
        <f t="shared" si="468"/>
        <v>10945</v>
      </c>
      <c r="N400" s="259">
        <f t="shared" si="468"/>
        <v>10849</v>
      </c>
      <c r="O400" s="259">
        <f t="shared" si="468"/>
        <v>10152</v>
      </c>
      <c r="P400" s="259">
        <f>SUM(P368:P399)</f>
        <v>10097.817287900001</v>
      </c>
      <c r="Q400" s="259">
        <f>SUM(Q368:Q399)</f>
        <v>10449.758279505068</v>
      </c>
      <c r="R400" s="259">
        <f>SUM(R368:R399)</f>
        <v>10437.111331428569</v>
      </c>
      <c r="S400" s="259">
        <f>SUM(S368:S399)+S404</f>
        <v>10494.650342357123</v>
      </c>
      <c r="T400" s="259">
        <f>SUM(T368:T399)+T404</f>
        <v>68606.320030738862</v>
      </c>
      <c r="U400" s="259">
        <f>SUM(U368:U399)+U404</f>
        <v>68164.369397140676</v>
      </c>
      <c r="V400" s="259">
        <f t="shared" ref="V400:AH400" si="469">SUM(V368:V399)</f>
        <v>67949.495696167054</v>
      </c>
      <c r="W400" s="259">
        <f t="shared" si="469"/>
        <v>57413.213237921838</v>
      </c>
      <c r="X400" s="259">
        <f t="shared" si="469"/>
        <v>54228.674251963872</v>
      </c>
      <c r="Y400" s="259">
        <f t="shared" si="469"/>
        <v>53996.574075674675</v>
      </c>
      <c r="Z400" s="259">
        <f t="shared" si="469"/>
        <v>50899.342735043501</v>
      </c>
      <c r="AA400" s="259">
        <f t="shared" si="469"/>
        <v>51820.336755158685</v>
      </c>
      <c r="AB400" s="259">
        <f t="shared" si="469"/>
        <v>53050.078560738097</v>
      </c>
      <c r="AC400" s="259">
        <f t="shared" si="469"/>
        <v>52443.005380852839</v>
      </c>
      <c r="AD400" s="259">
        <f t="shared" si="469"/>
        <v>53685.738816903278</v>
      </c>
      <c r="AE400" s="259">
        <f t="shared" si="469"/>
        <v>55017.156407427952</v>
      </c>
      <c r="AF400" s="259">
        <f t="shared" si="469"/>
        <v>56300.28676275679</v>
      </c>
      <c r="AG400" s="259">
        <f t="shared" si="469"/>
        <v>57702.573810912596</v>
      </c>
      <c r="AH400" s="259">
        <f t="shared" si="469"/>
        <v>59228.389920811838</v>
      </c>
      <c r="AI400" s="259">
        <f>SUM(AI368:AI399)</f>
        <v>60883.467682975082</v>
      </c>
      <c r="AJ400" s="259">
        <f t="shared" ref="AJ400:AK400" si="470">SUM(AJ368:AJ399)</f>
        <v>62733.185293919065</v>
      </c>
      <c r="AK400" s="259">
        <f t="shared" si="470"/>
        <v>64708.336339151421</v>
      </c>
      <c r="AL400" s="259">
        <f t="shared" ref="AL400" si="471">SUM(AL368:AL399)</f>
        <v>58796.736694981439</v>
      </c>
      <c r="AM400" s="6"/>
      <c r="AN400" s="6"/>
    </row>
    <row r="401" spans="1:40" outlineLevel="1">
      <c r="A401" s="2"/>
      <c r="B401" s="2"/>
      <c r="C401" s="18"/>
      <c r="D401" s="2"/>
      <c r="E401" s="2"/>
      <c r="F401" s="2"/>
      <c r="G401" s="2"/>
      <c r="H401" s="2"/>
      <c r="I401" s="168">
        <f>SUM(I386:I396)</f>
        <v>2620.3087780000001</v>
      </c>
      <c r="J401" s="168">
        <f>SUM(J386:J396)</f>
        <v>2906.1453459999993</v>
      </c>
      <c r="K401" s="168">
        <f>SUM(K386:K396)</f>
        <v>2951.9261044413106</v>
      </c>
      <c r="L401" s="168">
        <f>L385+L386+L368+L371+L390+L395+L396</f>
        <v>9682.1939880000009</v>
      </c>
      <c r="M401" s="168">
        <f>M385+M386+M368+M371+M390+M395+M396</f>
        <v>10118.207744360901</v>
      </c>
      <c r="N401" s="168">
        <f>N385+N386+N368+N371+N390+N395+N396</f>
        <v>10368.578729719035</v>
      </c>
      <c r="O401" s="168">
        <f>O385+O386+O368+O371+O390+O395+O396</f>
        <v>9535.9806885635135</v>
      </c>
      <c r="P401" s="2"/>
      <c r="Q401" s="2">
        <f t="shared" ref="Q401:AH401" si="472">Q368/Q400</f>
        <v>0.33408045493712102</v>
      </c>
      <c r="R401" s="2">
        <f t="shared" si="472"/>
        <v>0.36998743017829322</v>
      </c>
      <c r="S401" s="2">
        <f t="shared" si="472"/>
        <v>0.40534937908608221</v>
      </c>
      <c r="T401" s="2">
        <f t="shared" si="472"/>
        <v>6.3808407126903208E-2</v>
      </c>
      <c r="U401" s="2">
        <f t="shared" si="472"/>
        <v>6.3267951249922419E-2</v>
      </c>
      <c r="V401" s="2">
        <f t="shared" si="472"/>
        <v>5.7704622526303442E-2</v>
      </c>
      <c r="W401" s="2">
        <f t="shared" si="472"/>
        <v>6.535081017764352E-2</v>
      </c>
      <c r="X401" s="2">
        <f t="shared" si="472"/>
        <v>6.4541500382950048E-2</v>
      </c>
      <c r="Y401" s="2">
        <f t="shared" si="472"/>
        <v>5.9571985343720074E-2</v>
      </c>
      <c r="Z401" s="2">
        <f t="shared" si="472"/>
        <v>6.4283039547804899E-2</v>
      </c>
      <c r="AA401" s="2">
        <f t="shared" si="472"/>
        <v>6.888936463119634E-2</v>
      </c>
      <c r="AB401" s="2">
        <f t="shared" si="472"/>
        <v>7.0841572140571157E-2</v>
      </c>
      <c r="AC401" s="2">
        <f t="shared" si="472"/>
        <v>7.414501510209319E-2</v>
      </c>
      <c r="AD401" s="2">
        <f t="shared" si="472"/>
        <v>7.6288778659963932E-2</v>
      </c>
      <c r="AE401" s="2">
        <f t="shared" si="472"/>
        <v>7.8377395232529984E-2</v>
      </c>
      <c r="AF401" s="2">
        <f t="shared" si="472"/>
        <v>8.0156473464097419E-2</v>
      </c>
      <c r="AG401" s="2">
        <f t="shared" si="472"/>
        <v>8.1933223468257779E-2</v>
      </c>
      <c r="AH401" s="2">
        <f t="shared" si="472"/>
        <v>8.3711025468394734E-2</v>
      </c>
      <c r="AI401" s="2">
        <f>AI368/AI400</f>
        <v>8.5492634237747223E-2</v>
      </c>
      <c r="AJ401" s="2">
        <f t="shared" ref="AJ401:AK401" si="473">AJ368/AJ400</f>
        <v>8.7199160651038568E-2</v>
      </c>
      <c r="AK401" s="2">
        <f t="shared" si="473"/>
        <v>8.8941838202562171E-2</v>
      </c>
      <c r="AL401" s="2">
        <f t="shared" ref="AL401" si="474">AL368/AL400</f>
        <v>0.10309913429698767</v>
      </c>
      <c r="AM401" s="2"/>
      <c r="AN401" s="2"/>
    </row>
    <row r="402" spans="1:40" outlineLevel="1">
      <c r="A402" s="2"/>
      <c r="B402" s="2" t="s">
        <v>678</v>
      </c>
      <c r="C402" s="18" t="s">
        <v>732</v>
      </c>
      <c r="D402" s="2"/>
      <c r="E402" s="2"/>
      <c r="F402" s="2"/>
      <c r="G402" s="2"/>
      <c r="H402" s="2"/>
      <c r="I402" s="168"/>
      <c r="J402" s="168"/>
      <c r="K402" s="168"/>
      <c r="L402" s="254"/>
      <c r="M402" s="254"/>
      <c r="N402" s="254"/>
      <c r="O402" s="254"/>
      <c r="P402" s="254"/>
      <c r="Q402" s="254">
        <f>Q400+'P&amp;L'!Q195</f>
        <v>10450.758279505068</v>
      </c>
      <c r="R402" s="254">
        <f>R400+'P&amp;L'!R195</f>
        <v>10461.111331428569</v>
      </c>
      <c r="S402" s="254">
        <f>S400+'P&amp;L'!S195</f>
        <v>10513.650342357123</v>
      </c>
      <c r="T402" s="254">
        <f>T400+'P&amp;L'!T195</f>
        <v>68621.320030738862</v>
      </c>
      <c r="U402" s="254">
        <f>U400+'P&amp;L'!U195</f>
        <v>68196.369397140676</v>
      </c>
      <c r="V402" s="254">
        <f>V400+'P&amp;L'!V195</f>
        <v>67927.495696167054</v>
      </c>
      <c r="W402" s="254">
        <f>W400+'P&amp;L'!W195</f>
        <v>57425.213237921838</v>
      </c>
      <c r="X402" s="254">
        <f>X400+'P&amp;L'!X195</f>
        <v>54228.674251963872</v>
      </c>
      <c r="Y402" s="254">
        <f>Y400+'P&amp;L'!Y195</f>
        <v>53996.574075674675</v>
      </c>
      <c r="Z402" s="254">
        <f>Z400+'P&amp;L'!Z195</f>
        <v>50899.342735043501</v>
      </c>
      <c r="AA402" s="254">
        <f>AA400+'P&amp;L'!AA195</f>
        <v>51820.336755158685</v>
      </c>
      <c r="AB402" s="254">
        <f>AB400+'P&amp;L'!AB195</f>
        <v>53050.078560738097</v>
      </c>
      <c r="AC402" s="254">
        <f>AC400+'P&amp;L'!AC195</f>
        <v>52443.005380852839</v>
      </c>
      <c r="AD402" s="254">
        <f>AD400+'P&amp;L'!AD195</f>
        <v>53685.738816903278</v>
      </c>
      <c r="AE402" s="254">
        <f>AE400+'P&amp;L'!AE195</f>
        <v>55017.156407427952</v>
      </c>
      <c r="AF402" s="254">
        <f>AF400+'P&amp;L'!AF195</f>
        <v>56300.28676275679</v>
      </c>
      <c r="AG402" s="254">
        <f>AG400+'P&amp;L'!AG195</f>
        <v>57702.573810912596</v>
      </c>
      <c r="AH402" s="254">
        <f>AH400+'P&amp;L'!AH195</f>
        <v>59228.389920811838</v>
      </c>
      <c r="AI402" s="254">
        <f>AI400+'P&amp;L'!AI195</f>
        <v>60883.467682975082</v>
      </c>
      <c r="AJ402" s="254">
        <f>AJ400+'P&amp;L'!AJ195</f>
        <v>62733.185293919065</v>
      </c>
      <c r="AK402" s="254">
        <f>AK400+'P&amp;L'!AK195</f>
        <v>64708.336339151421</v>
      </c>
      <c r="AL402" s="254">
        <f>AL400+'P&amp;L'!AL195</f>
        <v>58796.736694981439</v>
      </c>
      <c r="AM402" s="2"/>
      <c r="AN402" s="2"/>
    </row>
    <row r="403" spans="1:40" outlineLevel="1">
      <c r="A403" s="2"/>
      <c r="B403" s="2" t="s">
        <v>872</v>
      </c>
      <c r="C403" s="18" t="s">
        <v>732</v>
      </c>
      <c r="D403" s="906">
        <v>8563</v>
      </c>
      <c r="E403" s="906">
        <v>9834</v>
      </c>
      <c r="F403" s="906">
        <v>9483</v>
      </c>
      <c r="G403" s="906">
        <v>9170</v>
      </c>
      <c r="H403" s="906">
        <v>10175</v>
      </c>
      <c r="I403" s="906">
        <v>10464</v>
      </c>
      <c r="J403" s="906">
        <v>9575</v>
      </c>
      <c r="K403" s="906">
        <v>9861</v>
      </c>
      <c r="L403" s="739">
        <v>10416</v>
      </c>
      <c r="M403" s="739">
        <v>10948</v>
      </c>
      <c r="N403" s="739">
        <v>10847</v>
      </c>
      <c r="O403" s="739">
        <v>10151</v>
      </c>
      <c r="P403" s="739">
        <v>10234</v>
      </c>
      <c r="Q403" s="254"/>
      <c r="R403" s="739">
        <v>10644</v>
      </c>
      <c r="S403" s="465">
        <f>'P&amp;L'!S189</f>
        <v>10533</v>
      </c>
      <c r="T403" s="465">
        <f>'P&amp;L'!T189</f>
        <v>10458.8976</v>
      </c>
      <c r="U403" s="465">
        <f>'P&amp;L'!U189</f>
        <v>10234.637000000001</v>
      </c>
      <c r="V403" s="465">
        <f>'P&amp;L'!V189</f>
        <v>10568</v>
      </c>
      <c r="W403" s="465">
        <f>'P&amp;L'!W189</f>
        <v>8434</v>
      </c>
      <c r="X403" s="465">
        <f>'P&amp;L'!X189</f>
        <v>8411</v>
      </c>
      <c r="Y403" s="465">
        <f>'P&amp;L'!Y189</f>
        <v>8653.1655742179282</v>
      </c>
      <c r="Z403" s="465">
        <f>'P&amp;L'!Z189</f>
        <v>8200.9322838511616</v>
      </c>
      <c r="AA403" s="465">
        <f>'P&amp;L'!AA189</f>
        <v>8383.2212777158857</v>
      </c>
      <c r="AB403" s="465">
        <f>'P&amp;L'!AB189</f>
        <v>8576.4676981060948</v>
      </c>
      <c r="AC403" s="465">
        <f>'P&amp;L'!AC189</f>
        <v>8665.3684419380006</v>
      </c>
      <c r="AD403" s="465">
        <f>'P&amp;L'!AD189</f>
        <v>8866.5442399652729</v>
      </c>
      <c r="AE403" s="465">
        <f>'P&amp;L'!AE189</f>
        <v>9082.3759499193475</v>
      </c>
      <c r="AF403" s="465">
        <f>'P&amp;L'!AF189</f>
        <v>9290.0133798083407</v>
      </c>
      <c r="AG403" s="465">
        <f>'P&amp;L'!AG189</f>
        <v>9517.3432962335028</v>
      </c>
      <c r="AH403" s="465">
        <f>'P&amp;L'!AH189</f>
        <v>9765.0748225299358</v>
      </c>
      <c r="AI403" s="465">
        <f>'P&amp;L'!AI189</f>
        <v>10034.144622136932</v>
      </c>
      <c r="AJ403" s="465">
        <f>'P&amp;L'!AJ189</f>
        <v>10336.04978408508</v>
      </c>
      <c r="AK403" s="465">
        <f>'P&amp;L'!AK189</f>
        <v>10658.860518414622</v>
      </c>
      <c r="AL403" s="465">
        <f>'P&amp;L'!AL189</f>
        <v>9667.2128045104419</v>
      </c>
      <c r="AM403" s="2"/>
      <c r="AN403" s="2"/>
    </row>
    <row r="404" spans="1:40" outlineLevel="1">
      <c r="A404" s="2"/>
      <c r="B404" s="36" t="s">
        <v>398</v>
      </c>
      <c r="C404" s="18" t="s">
        <v>732</v>
      </c>
      <c r="D404" s="603">
        <v>-58</v>
      </c>
      <c r="E404" s="603">
        <v>-182.7</v>
      </c>
      <c r="F404" s="603">
        <v>-81</v>
      </c>
      <c r="G404" s="603">
        <v>-1025</v>
      </c>
      <c r="H404" s="603">
        <v>-78</v>
      </c>
      <c r="I404" s="603">
        <v>-94</v>
      </c>
      <c r="J404" s="603">
        <v>5</v>
      </c>
      <c r="K404" s="603">
        <v>-7</v>
      </c>
      <c r="L404" s="602">
        <v>-1</v>
      </c>
      <c r="M404" s="602">
        <v>3</v>
      </c>
      <c r="N404" s="602">
        <v>-2</v>
      </c>
      <c r="O404" s="602">
        <v>-1</v>
      </c>
      <c r="P404" s="739">
        <v>0</v>
      </c>
      <c r="Q404" s="254"/>
      <c r="R404" s="254"/>
      <c r="S404" s="465">
        <f>'P&amp;L'!S195</f>
        <v>19</v>
      </c>
      <c r="T404" s="739">
        <v>15</v>
      </c>
      <c r="U404" s="739">
        <v>15</v>
      </c>
      <c r="V404" s="254"/>
      <c r="W404" s="254"/>
      <c r="X404" s="254"/>
      <c r="Y404" s="254"/>
      <c r="Z404" s="254"/>
      <c r="AA404" s="254"/>
      <c r="AB404" s="254"/>
      <c r="AC404" s="254"/>
      <c r="AD404" s="254"/>
      <c r="AE404" s="254"/>
      <c r="AF404" s="254"/>
      <c r="AG404" s="254"/>
      <c r="AH404" s="254"/>
      <c r="AI404" s="254"/>
      <c r="AJ404" s="254"/>
      <c r="AK404" s="254"/>
      <c r="AL404" s="254"/>
      <c r="AM404" s="2"/>
      <c r="AN404" s="2"/>
    </row>
    <row r="405" spans="1:40" outlineLevel="1">
      <c r="A405" s="2"/>
      <c r="B405" s="2" t="s">
        <v>872</v>
      </c>
      <c r="C405" s="18" t="s">
        <v>732</v>
      </c>
      <c r="D405" s="154">
        <f t="shared" ref="D405:P405" si="475">D403-D404</f>
        <v>8621</v>
      </c>
      <c r="E405" s="154">
        <f t="shared" si="475"/>
        <v>10016.700000000001</v>
      </c>
      <c r="F405" s="154">
        <f t="shared" si="475"/>
        <v>9564</v>
      </c>
      <c r="G405" s="154">
        <f t="shared" si="475"/>
        <v>10195</v>
      </c>
      <c r="H405" s="154">
        <f t="shared" si="475"/>
        <v>10253</v>
      </c>
      <c r="I405" s="154">
        <f t="shared" si="475"/>
        <v>10558</v>
      </c>
      <c r="J405" s="154">
        <f t="shared" si="475"/>
        <v>9570</v>
      </c>
      <c r="K405" s="154">
        <f t="shared" si="475"/>
        <v>9868</v>
      </c>
      <c r="L405" s="260">
        <f>L403-L404</f>
        <v>10417</v>
      </c>
      <c r="M405" s="260">
        <f t="shared" si="475"/>
        <v>10945</v>
      </c>
      <c r="N405" s="260">
        <f t="shared" si="475"/>
        <v>10849</v>
      </c>
      <c r="O405" s="260">
        <f t="shared" si="475"/>
        <v>10152</v>
      </c>
      <c r="P405" s="260">
        <f t="shared" si="475"/>
        <v>10234</v>
      </c>
      <c r="Q405" s="254"/>
      <c r="R405" s="254"/>
      <c r="S405" s="254">
        <f>S400+S404</f>
        <v>10513.650342357123</v>
      </c>
      <c r="T405" s="254">
        <f>T400+T404</f>
        <v>68621.320030738862</v>
      </c>
      <c r="U405" s="254">
        <f>U400+U404</f>
        <v>68179.369397140676</v>
      </c>
      <c r="V405" s="254"/>
      <c r="W405" s="254"/>
      <c r="X405" s="254"/>
      <c r="Y405" s="254"/>
      <c r="Z405" s="254"/>
      <c r="AA405" s="254"/>
      <c r="AB405" s="254"/>
      <c r="AC405" s="254"/>
      <c r="AD405" s="254"/>
      <c r="AE405" s="254"/>
      <c r="AF405" s="254"/>
      <c r="AG405" s="254"/>
      <c r="AH405" s="254"/>
      <c r="AI405" s="254"/>
      <c r="AJ405" s="254"/>
      <c r="AK405" s="254"/>
      <c r="AL405" s="254"/>
      <c r="AM405" s="2"/>
      <c r="AN405" s="2"/>
    </row>
    <row r="406" spans="1:40" outlineLevel="1">
      <c r="A406" s="2"/>
      <c r="B406" s="2"/>
      <c r="C406" s="18"/>
      <c r="D406" s="2"/>
      <c r="E406" s="2"/>
      <c r="F406" s="2"/>
      <c r="G406" s="2"/>
      <c r="H406" s="2"/>
      <c r="I406" s="2"/>
      <c r="J406" s="2"/>
      <c r="K406" s="2"/>
      <c r="L406" s="2"/>
      <c r="M406" s="2"/>
      <c r="N406" s="2"/>
      <c r="O406" s="2"/>
      <c r="P406" s="2"/>
      <c r="Q406" s="2"/>
      <c r="R406" s="168"/>
      <c r="S406" s="168"/>
      <c r="T406" s="19"/>
      <c r="U406" s="19"/>
      <c r="V406" s="2"/>
      <c r="W406" s="2"/>
      <c r="X406" s="2"/>
      <c r="Y406" s="2"/>
      <c r="Z406" s="2"/>
      <c r="AA406" s="2"/>
      <c r="AB406" s="2"/>
      <c r="AC406" s="2"/>
      <c r="AD406" s="2"/>
      <c r="AE406" s="2"/>
      <c r="AF406" s="2"/>
      <c r="AG406" s="2"/>
      <c r="AH406" s="2"/>
      <c r="AI406" s="2"/>
      <c r="AJ406" s="2"/>
      <c r="AK406" s="2"/>
      <c r="AL406" s="2"/>
      <c r="AM406" s="2"/>
      <c r="AN406" s="2"/>
    </row>
    <row r="407" spans="1:40" ht="15.6" outlineLevel="1">
      <c r="A407" s="2"/>
      <c r="B407" s="237" t="s">
        <v>1132</v>
      </c>
      <c r="C407" s="238"/>
      <c r="D407" s="239"/>
      <c r="E407" s="239"/>
      <c r="F407" s="239"/>
      <c r="G407" s="239"/>
      <c r="H407" s="239"/>
      <c r="I407" s="239"/>
      <c r="J407" s="239"/>
      <c r="K407" s="239"/>
      <c r="L407" s="239"/>
      <c r="M407" s="239"/>
      <c r="N407" s="239"/>
      <c r="O407" s="239"/>
      <c r="P407" s="239"/>
      <c r="Q407" s="239"/>
      <c r="R407" s="239"/>
      <c r="S407" s="239"/>
      <c r="T407" s="239"/>
      <c r="U407" s="239"/>
      <c r="V407" s="239"/>
      <c r="W407" s="239"/>
      <c r="X407" s="239"/>
      <c r="Y407" s="239"/>
      <c r="Z407" s="239"/>
      <c r="AA407" s="239"/>
      <c r="AB407" s="239"/>
      <c r="AC407" s="239"/>
      <c r="AD407" s="239"/>
      <c r="AE407" s="239"/>
      <c r="AF407" s="239"/>
      <c r="AG407" s="239"/>
      <c r="AH407" s="270"/>
      <c r="AI407" s="240"/>
      <c r="AJ407" s="240"/>
      <c r="AK407" s="240"/>
      <c r="AL407" s="240"/>
      <c r="AM407" s="2"/>
      <c r="AN407" s="2"/>
    </row>
    <row r="408" spans="1:40" outlineLevel="1">
      <c r="A408" s="2"/>
      <c r="B408" s="6"/>
      <c r="C408" s="18"/>
      <c r="D408" s="2"/>
      <c r="E408" s="2"/>
      <c r="F408" s="2"/>
      <c r="G408" s="2"/>
      <c r="H408" s="2"/>
      <c r="I408" s="2"/>
      <c r="J408" s="2"/>
      <c r="K408" s="2"/>
      <c r="L408" s="254"/>
      <c r="M408" s="254"/>
      <c r="N408" s="254"/>
      <c r="O408" s="254"/>
      <c r="P408" s="254"/>
      <c r="Q408" s="254"/>
      <c r="R408" s="254"/>
      <c r="S408" s="254"/>
      <c r="T408" s="254"/>
      <c r="U408" s="254"/>
      <c r="V408" s="254"/>
      <c r="W408" s="254"/>
      <c r="X408" s="254"/>
      <c r="Y408" s="254"/>
      <c r="Z408" s="254"/>
      <c r="AA408" s="254"/>
      <c r="AB408" s="254"/>
      <c r="AC408" s="254"/>
      <c r="AD408" s="254"/>
      <c r="AE408" s="254"/>
      <c r="AF408" s="254"/>
      <c r="AG408" s="254"/>
      <c r="AH408" s="254"/>
      <c r="AI408" s="254"/>
      <c r="AJ408" s="254"/>
      <c r="AK408" s="254"/>
      <c r="AL408" s="254"/>
      <c r="AM408" s="2"/>
      <c r="AN408" s="2"/>
    </row>
    <row r="409" spans="1:40" outlineLevel="1">
      <c r="A409" s="2"/>
      <c r="B409" s="6" t="s">
        <v>802</v>
      </c>
      <c r="C409" s="18"/>
      <c r="D409" s="2"/>
      <c r="E409" s="2"/>
      <c r="F409" s="2"/>
      <c r="G409" s="2"/>
      <c r="H409" s="2"/>
      <c r="I409" s="2"/>
      <c r="J409" s="2"/>
      <c r="K409" s="2"/>
      <c r="L409" s="254"/>
      <c r="M409" s="254"/>
      <c r="N409" s="254"/>
      <c r="O409" s="254"/>
      <c r="P409" s="254"/>
      <c r="Q409" s="254"/>
      <c r="R409" s="254"/>
      <c r="S409" s="254"/>
      <c r="T409" s="254"/>
      <c r="U409" s="254"/>
      <c r="V409" s="254"/>
      <c r="W409" s="254"/>
      <c r="X409" s="254"/>
      <c r="Y409" s="254"/>
      <c r="Z409" s="254"/>
      <c r="AA409" s="254"/>
      <c r="AB409" s="254"/>
      <c r="AC409" s="254"/>
      <c r="AD409" s="254"/>
      <c r="AE409" s="254"/>
      <c r="AF409" s="254"/>
      <c r="AG409" s="254"/>
      <c r="AH409" s="254"/>
      <c r="AI409" s="254"/>
      <c r="AJ409" s="254"/>
      <c r="AK409" s="254"/>
      <c r="AL409" s="254"/>
      <c r="AM409" s="2"/>
      <c r="AN409" s="2"/>
    </row>
    <row r="410" spans="1:40" outlineLevel="1">
      <c r="A410" s="2"/>
      <c r="B410" s="55" t="s">
        <v>1026</v>
      </c>
      <c r="C410" s="18"/>
      <c r="D410" s="2"/>
      <c r="E410" s="2"/>
      <c r="F410" s="2"/>
      <c r="G410" s="2"/>
      <c r="H410" s="2"/>
      <c r="I410" s="168">
        <f t="shared" ref="I410:AH410" si="476">I326-I385</f>
        <v>-197.69122199999947</v>
      </c>
      <c r="J410" s="168">
        <f t="shared" si="476"/>
        <v>537.14534599999934</v>
      </c>
      <c r="K410" s="168">
        <f t="shared" si="476"/>
        <v>-29.073895558689401</v>
      </c>
      <c r="L410" s="254">
        <f t="shared" si="476"/>
        <v>2599.7400000000002</v>
      </c>
      <c r="M410" s="254">
        <f t="shared" si="476"/>
        <v>2597.7600000000002</v>
      </c>
      <c r="N410" s="254">
        <f t="shared" si="476"/>
        <v>2332.8000000000002</v>
      </c>
      <c r="O410" s="254">
        <f t="shared" si="476"/>
        <v>2195.96</v>
      </c>
      <c r="P410" s="254">
        <f t="shared" si="476"/>
        <v>1927.0842240000002</v>
      </c>
      <c r="Q410" s="254">
        <f t="shared" si="476"/>
        <v>1612.8707962000003</v>
      </c>
      <c r="R410" s="254">
        <f t="shared" si="476"/>
        <v>1613.6</v>
      </c>
      <c r="S410" s="254">
        <f t="shared" si="476"/>
        <v>1685.6999999999998</v>
      </c>
      <c r="T410" s="254">
        <f t="shared" si="476"/>
        <v>1671.0693999999999</v>
      </c>
      <c r="U410" s="254">
        <f t="shared" si="476"/>
        <v>1634.4767999999999</v>
      </c>
      <c r="V410" s="254">
        <f t="shared" si="476"/>
        <v>1726.547</v>
      </c>
      <c r="W410" s="254">
        <f t="shared" si="476"/>
        <v>2236.4238078000003</v>
      </c>
      <c r="X410" s="254">
        <f t="shared" si="476"/>
        <v>2018.3724865394995</v>
      </c>
      <c r="Y410" s="254">
        <f t="shared" si="476"/>
        <v>1821.5811691018982</v>
      </c>
      <c r="Z410" s="254">
        <f t="shared" si="476"/>
        <v>1643.9770051144628</v>
      </c>
      <c r="AA410" s="254">
        <f t="shared" si="476"/>
        <v>1483.6892471158026</v>
      </c>
      <c r="AB410" s="254">
        <f t="shared" si="476"/>
        <v>1339.0295455220116</v>
      </c>
      <c r="AC410" s="254">
        <f t="shared" si="476"/>
        <v>1208.4741648336153</v>
      </c>
      <c r="AD410" s="254">
        <f t="shared" si="476"/>
        <v>1090.6479337623375</v>
      </c>
      <c r="AE410" s="254">
        <f t="shared" si="476"/>
        <v>984.30976022050947</v>
      </c>
      <c r="AF410" s="254">
        <f t="shared" si="476"/>
        <v>888.33955859900971</v>
      </c>
      <c r="AG410" s="254">
        <f t="shared" si="476"/>
        <v>801.72645163560617</v>
      </c>
      <c r="AH410" s="254">
        <f t="shared" si="476"/>
        <v>723.55812260113453</v>
      </c>
      <c r="AI410" s="254">
        <f>AI326-AI385</f>
        <v>653.01120564752375</v>
      </c>
      <c r="AJ410" s="254">
        <f t="shared" ref="AJ410:AK410" si="477">AJ326-AJ385</f>
        <v>653.01120564752375</v>
      </c>
      <c r="AK410" s="254">
        <f t="shared" si="477"/>
        <v>653.01120564752375</v>
      </c>
      <c r="AL410" s="254">
        <f t="shared" ref="AL410" si="478">AL326-AL385</f>
        <v>653.01120564752375</v>
      </c>
      <c r="AM410" s="2"/>
      <c r="AN410" s="2"/>
    </row>
    <row r="411" spans="1:40" outlineLevel="1">
      <c r="A411" s="2"/>
      <c r="B411" s="55" t="s">
        <v>1027</v>
      </c>
      <c r="C411" s="18"/>
      <c r="D411" s="2"/>
      <c r="E411" s="2"/>
      <c r="F411" s="2"/>
      <c r="G411" s="2"/>
      <c r="H411" s="2"/>
      <c r="I411" s="168">
        <f t="shared" ref="I411:AH411" si="479">I327-I386</f>
        <v>600.79</v>
      </c>
      <c r="J411" s="168">
        <f t="shared" si="479"/>
        <v>907.59439999999995</v>
      </c>
      <c r="K411" s="168">
        <f t="shared" si="479"/>
        <v>1184.7771520000001</v>
      </c>
      <c r="L411" s="254">
        <f t="shared" si="479"/>
        <v>1308.159416</v>
      </c>
      <c r="M411" s="254">
        <f t="shared" si="479"/>
        <v>1287</v>
      </c>
      <c r="N411" s="254">
        <f t="shared" si="479"/>
        <v>1209.5999999999999</v>
      </c>
      <c r="O411" s="254">
        <f t="shared" si="479"/>
        <v>1311.19</v>
      </c>
      <c r="P411" s="254">
        <f t="shared" si="479"/>
        <v>1268.19</v>
      </c>
      <c r="Q411" s="254">
        <f t="shared" si="479"/>
        <v>1210.46</v>
      </c>
      <c r="R411" s="254">
        <f t="shared" si="479"/>
        <v>1242.2047455999998</v>
      </c>
      <c r="S411" s="254">
        <f t="shared" si="479"/>
        <v>1403.8996846983312</v>
      </c>
      <c r="T411" s="254">
        <f t="shared" si="479"/>
        <v>1491.7612012800003</v>
      </c>
      <c r="U411" s="254">
        <f t="shared" si="479"/>
        <v>1749.886269957228</v>
      </c>
      <c r="V411" s="254">
        <f t="shared" si="479"/>
        <v>2138.2337361000004</v>
      </c>
      <c r="W411" s="254">
        <f t="shared" si="479"/>
        <v>2415.7206602031124</v>
      </c>
      <c r="X411" s="254">
        <f t="shared" si="479"/>
        <v>2354.7237066884372</v>
      </c>
      <c r="Y411" s="254">
        <f t="shared" si="479"/>
        <v>2401.8535842763822</v>
      </c>
      <c r="Z411" s="254">
        <f t="shared" si="479"/>
        <v>2439.2359899276798</v>
      </c>
      <c r="AA411" s="254">
        <f t="shared" si="479"/>
        <v>2455.0766366295943</v>
      </c>
      <c r="AB411" s="254">
        <f t="shared" si="479"/>
        <v>2471.3579349445035</v>
      </c>
      <c r="AC411" s="254">
        <f t="shared" si="479"/>
        <v>2488.0998262053809</v>
      </c>
      <c r="AD411" s="254">
        <f t="shared" si="479"/>
        <v>2505.3232177651494</v>
      </c>
      <c r="AE411" s="254">
        <f t="shared" si="479"/>
        <v>2523.0500306292902</v>
      </c>
      <c r="AF411" s="254">
        <f t="shared" si="479"/>
        <v>2541.3032494547638</v>
      </c>
      <c r="AG411" s="254">
        <f t="shared" si="479"/>
        <v>2560.1069750332017</v>
      </c>
      <c r="AH411" s="254">
        <f t="shared" si="479"/>
        <v>2579.4864793822289</v>
      </c>
      <c r="AI411" s="254">
        <f>AI327-AI386</f>
        <v>2599.4682635749496</v>
      </c>
      <c r="AJ411" s="254">
        <f t="shared" ref="AJ411:AK411" si="480">AJ327-AJ386</f>
        <v>2599.4682635749496</v>
      </c>
      <c r="AK411" s="254">
        <f t="shared" si="480"/>
        <v>2599.4682635749496</v>
      </c>
      <c r="AL411" s="254">
        <f t="shared" ref="AL411" si="481">AL327-AL386</f>
        <v>2599.4682635749496</v>
      </c>
      <c r="AM411" s="2"/>
      <c r="AN411" s="2"/>
    </row>
    <row r="412" spans="1:40" outlineLevel="1">
      <c r="A412" s="2"/>
      <c r="B412" s="55"/>
      <c r="C412" s="18"/>
      <c r="D412" s="2"/>
      <c r="E412" s="2"/>
      <c r="F412" s="2"/>
      <c r="G412" s="2"/>
      <c r="H412" s="2"/>
      <c r="I412" s="168"/>
      <c r="J412" s="168"/>
      <c r="K412" s="168"/>
      <c r="L412" s="254"/>
      <c r="M412" s="254"/>
      <c r="N412" s="254"/>
      <c r="O412" s="254"/>
      <c r="P412" s="254"/>
      <c r="Q412" s="254"/>
      <c r="R412" s="254"/>
      <c r="S412" s="254"/>
      <c r="T412" s="254"/>
      <c r="U412" s="254"/>
      <c r="V412" s="254"/>
      <c r="W412" s="254"/>
      <c r="X412" s="254"/>
      <c r="Y412" s="254"/>
      <c r="Z412" s="254"/>
      <c r="AA412" s="254"/>
      <c r="AB412" s="254"/>
      <c r="AC412" s="254"/>
      <c r="AD412" s="254"/>
      <c r="AE412" s="254"/>
      <c r="AF412" s="254"/>
      <c r="AG412" s="254"/>
      <c r="AH412" s="254"/>
      <c r="AI412" s="254"/>
      <c r="AJ412" s="254"/>
      <c r="AK412" s="254"/>
      <c r="AL412" s="254"/>
      <c r="AM412" s="2"/>
      <c r="AN412" s="2"/>
    </row>
    <row r="413" spans="1:40" outlineLevel="1">
      <c r="A413" s="2"/>
      <c r="B413" s="55" t="s">
        <v>248</v>
      </c>
      <c r="C413" s="18"/>
      <c r="D413" s="2"/>
      <c r="E413" s="2"/>
      <c r="F413" s="2"/>
      <c r="G413" s="2"/>
      <c r="H413" s="2"/>
      <c r="I413" s="168">
        <f t="shared" ref="I413:AH413" si="482">I317-I368</f>
        <v>3281.3024439999999</v>
      </c>
      <c r="J413" s="168">
        <f t="shared" si="482"/>
        <v>3490.4845080000005</v>
      </c>
      <c r="K413" s="168">
        <f t="shared" si="482"/>
        <v>3977.9373199999995</v>
      </c>
      <c r="L413" s="254">
        <f t="shared" si="482"/>
        <v>4455.8364760000004</v>
      </c>
      <c r="M413" s="254">
        <f t="shared" si="482"/>
        <v>4502.5200000000004</v>
      </c>
      <c r="N413" s="254">
        <f t="shared" si="482"/>
        <v>4718.3500000000004</v>
      </c>
      <c r="O413" s="254">
        <f t="shared" si="482"/>
        <v>5432.52</v>
      </c>
      <c r="P413" s="254">
        <f t="shared" si="482"/>
        <v>5547.52</v>
      </c>
      <c r="Q413" s="254">
        <f t="shared" si="482"/>
        <v>5695.9400000000005</v>
      </c>
      <c r="R413" s="254">
        <f t="shared" si="482"/>
        <v>5792.4</v>
      </c>
      <c r="S413" s="254">
        <f t="shared" si="482"/>
        <v>6381</v>
      </c>
      <c r="T413" s="254">
        <f t="shared" si="482"/>
        <v>6045.34</v>
      </c>
      <c r="U413" s="254">
        <f t="shared" si="482"/>
        <v>5775.38</v>
      </c>
      <c r="V413" s="254">
        <f t="shared" si="482"/>
        <v>6587</v>
      </c>
      <c r="W413" s="254">
        <f t="shared" si="482"/>
        <v>6897</v>
      </c>
      <c r="X413" s="254">
        <f t="shared" si="482"/>
        <v>6630</v>
      </c>
      <c r="Y413" s="254">
        <f t="shared" si="482"/>
        <v>6093.316880552813</v>
      </c>
      <c r="Z413" s="254">
        <f t="shared" si="482"/>
        <v>6198.0355380059227</v>
      </c>
      <c r="AA413" s="254">
        <f t="shared" si="482"/>
        <v>6688.1299259624875</v>
      </c>
      <c r="AB413" s="254">
        <f t="shared" si="482"/>
        <v>6963.8490325765051</v>
      </c>
      <c r="AC413" s="254">
        <f t="shared" si="482"/>
        <v>7126.6125740375119</v>
      </c>
      <c r="AD413" s="254">
        <f t="shared" si="482"/>
        <v>7424.838440504911</v>
      </c>
      <c r="AE413" s="254">
        <f t="shared" si="482"/>
        <v>7732.5922923691869</v>
      </c>
      <c r="AF413" s="254">
        <f t="shared" si="482"/>
        <v>8092.5493211929579</v>
      </c>
      <c r="AG413" s="254">
        <f t="shared" si="482"/>
        <v>8477.9601885107149</v>
      </c>
      <c r="AH413" s="254">
        <f t="shared" si="482"/>
        <v>8890.9616116852085</v>
      </c>
      <c r="AI413" s="254">
        <f>AI317-AI368</f>
        <v>9333.9232458455954</v>
      </c>
      <c r="AJ413" s="254">
        <f t="shared" ref="AJ413:AK413" si="483">AJ317-AJ368</f>
        <v>9809.4755773188772</v>
      </c>
      <c r="AK413" s="254">
        <f t="shared" si="483"/>
        <v>10320.541423846014</v>
      </c>
      <c r="AL413" s="254">
        <f t="shared" ref="AL413" si="484">AL317-AL368</f>
        <v>10870.371524631395</v>
      </c>
      <c r="AM413" s="2"/>
      <c r="AN413" s="2"/>
    </row>
    <row r="414" spans="1:40" outlineLevel="1">
      <c r="A414" s="2"/>
      <c r="B414" s="243" t="s">
        <v>1064</v>
      </c>
      <c r="C414" s="18"/>
      <c r="D414" s="2"/>
      <c r="E414" s="2"/>
      <c r="F414" s="2"/>
      <c r="G414" s="2"/>
      <c r="H414" s="2"/>
      <c r="I414" s="168">
        <f t="shared" ref="I414:AH414" si="485">I320-I371</f>
        <v>1776.6</v>
      </c>
      <c r="J414" s="168">
        <f t="shared" si="485"/>
        <v>1775.2</v>
      </c>
      <c r="K414" s="168">
        <f t="shared" si="485"/>
        <v>1770.3000000000002</v>
      </c>
      <c r="L414" s="254">
        <f t="shared" si="485"/>
        <v>1439.55</v>
      </c>
      <c r="M414" s="254">
        <f t="shared" si="485"/>
        <v>1393.7188246933124</v>
      </c>
      <c r="N414" s="254">
        <f t="shared" si="485"/>
        <v>1212.5240601503758</v>
      </c>
      <c r="O414" s="254">
        <f t="shared" si="485"/>
        <v>1227.3176533438859</v>
      </c>
      <c r="P414" s="254">
        <f t="shared" si="485"/>
        <v>1123.9199999999998</v>
      </c>
      <c r="Q414" s="254">
        <f t="shared" si="485"/>
        <v>1064.3499999999999</v>
      </c>
      <c r="R414" s="254">
        <f t="shared" si="485"/>
        <v>1038.8</v>
      </c>
      <c r="S414" s="254">
        <f t="shared" si="485"/>
        <v>1037.8799999999999</v>
      </c>
      <c r="T414" s="254">
        <f t="shared" si="485"/>
        <v>1076.7174000000002</v>
      </c>
      <c r="U414" s="254">
        <f t="shared" si="485"/>
        <v>1111.576</v>
      </c>
      <c r="V414" s="254">
        <f t="shared" si="485"/>
        <v>3051</v>
      </c>
      <c r="W414" s="254">
        <f t="shared" si="485"/>
        <v>2762</v>
      </c>
      <c r="X414" s="254">
        <f t="shared" si="485"/>
        <v>2727.3130970246034</v>
      </c>
      <c r="Y414" s="254">
        <f t="shared" si="485"/>
        <v>1466.1999468726694</v>
      </c>
      <c r="Z414" s="254">
        <f t="shared" si="485"/>
        <v>1359.0364504214481</v>
      </c>
      <c r="AA414" s="254">
        <f t="shared" si="485"/>
        <v>1295.8025413259338</v>
      </c>
      <c r="AB414" s="254">
        <f t="shared" si="485"/>
        <v>1267.3239391172024</v>
      </c>
      <c r="AC414" s="254">
        <f t="shared" si="485"/>
        <v>1244.0173009068521</v>
      </c>
      <c r="AD414" s="254">
        <f t="shared" si="485"/>
        <v>1223.8407922079455</v>
      </c>
      <c r="AE414" s="254">
        <f t="shared" si="485"/>
        <v>1206.4387829471584</v>
      </c>
      <c r="AF414" s="254">
        <f t="shared" si="485"/>
        <v>1191.5040950680693</v>
      </c>
      <c r="AG414" s="254">
        <f t="shared" si="485"/>
        <v>1178.7711122496764</v>
      </c>
      <c r="AH414" s="254">
        <f t="shared" si="485"/>
        <v>1168.0098963446019</v>
      </c>
      <c r="AI414" s="254">
        <f>AI320-AI371</f>
        <v>1159.0211616478091</v>
      </c>
      <c r="AJ414" s="254">
        <f t="shared" ref="AJ414:AK414" si="486">AJ320-AJ371</f>
        <v>1159.0211616478091</v>
      </c>
      <c r="AK414" s="254">
        <f t="shared" si="486"/>
        <v>1159.0211616478091</v>
      </c>
      <c r="AL414" s="254">
        <f t="shared" ref="AL414" si="487">AL320-AL371</f>
        <v>1159.0211616478091</v>
      </c>
      <c r="AM414" s="2"/>
      <c r="AN414" s="2"/>
    </row>
    <row r="415" spans="1:40" outlineLevel="1">
      <c r="A415" s="2"/>
      <c r="B415" s="55" t="s">
        <v>236</v>
      </c>
      <c r="C415" s="18"/>
      <c r="D415" s="2"/>
      <c r="E415" s="2"/>
      <c r="F415" s="2"/>
      <c r="G415" s="2"/>
      <c r="H415" s="2"/>
      <c r="I415" s="168">
        <f t="shared" ref="I415:AH415" si="488">I331-I390</f>
        <v>788.00000000000011</v>
      </c>
      <c r="J415" s="168">
        <f t="shared" si="488"/>
        <v>813.00000000000011</v>
      </c>
      <c r="K415" s="168">
        <f t="shared" si="488"/>
        <v>961.76183873911259</v>
      </c>
      <c r="L415" s="254">
        <f t="shared" si="488"/>
        <v>943.31930357917577</v>
      </c>
      <c r="M415" s="254">
        <f t="shared" si="488"/>
        <v>894.04597228645343</v>
      </c>
      <c r="N415" s="254">
        <f t="shared" si="488"/>
        <v>724</v>
      </c>
      <c r="O415" s="254">
        <f t="shared" si="488"/>
        <v>810.0005000000001</v>
      </c>
      <c r="P415" s="254">
        <f t="shared" si="488"/>
        <v>801.94656578699994</v>
      </c>
      <c r="Q415" s="254">
        <f t="shared" si="488"/>
        <v>765.24746383526769</v>
      </c>
      <c r="R415" s="254">
        <f t="shared" si="488"/>
        <v>63.86</v>
      </c>
      <c r="S415" s="254">
        <f t="shared" si="488"/>
        <v>51.35</v>
      </c>
      <c r="T415" s="254">
        <f t="shared" si="488"/>
        <v>24.400540689696555</v>
      </c>
      <c r="U415" s="254">
        <f t="shared" si="488"/>
        <v>40.60598928789824</v>
      </c>
      <c r="V415" s="254">
        <f t="shared" si="488"/>
        <v>51.594711931790471</v>
      </c>
      <c r="W415" s="254">
        <f t="shared" si="488"/>
        <v>57.423080001665355</v>
      </c>
      <c r="X415" s="254">
        <f t="shared" si="488"/>
        <v>28.901485191841445</v>
      </c>
      <c r="Y415" s="254">
        <f t="shared" si="488"/>
        <v>22.111098772553767</v>
      </c>
      <c r="Z415" s="254">
        <f t="shared" si="488"/>
        <v>16.666617803299211</v>
      </c>
      <c r="AA415" s="254">
        <f t="shared" si="488"/>
        <v>12.343426436703133</v>
      </c>
      <c r="AB415" s="254">
        <f t="shared" si="488"/>
        <v>8.9547362700047124</v>
      </c>
      <c r="AC415" s="254">
        <f t="shared" si="488"/>
        <v>6.3452874322293091</v>
      </c>
      <c r="AD415" s="254">
        <f t="shared" si="488"/>
        <v>4.3860999612905296</v>
      </c>
      <c r="AE415" s="254">
        <f t="shared" si="488"/>
        <v>2.970100433760047</v>
      </c>
      <c r="AF415" s="254">
        <f t="shared" si="488"/>
        <v>2.0084779834508666</v>
      </c>
      <c r="AG415" s="254">
        <f t="shared" si="488"/>
        <v>1.4276481561475602</v>
      </c>
      <c r="AH415" s="254">
        <f t="shared" si="488"/>
        <v>1.1667233071561789</v>
      </c>
      <c r="AI415" s="254">
        <f>AI331-AI390</f>
        <v>1.1754051311453653</v>
      </c>
      <c r="AJ415" s="254">
        <f t="shared" ref="AJ415:AK415" si="489">AJ331-AJ390</f>
        <v>1.1754051311453653</v>
      </c>
      <c r="AK415" s="254">
        <f t="shared" si="489"/>
        <v>1.1754051311453653</v>
      </c>
      <c r="AL415" s="254">
        <f t="shared" ref="AL415" si="490">AL331-AL390</f>
        <v>1.1754051311453653</v>
      </c>
      <c r="AM415" s="2"/>
      <c r="AN415" s="2"/>
    </row>
    <row r="416" spans="1:40" outlineLevel="1">
      <c r="A416" s="2"/>
      <c r="B416" s="55" t="s">
        <v>657</v>
      </c>
      <c r="C416" s="18"/>
      <c r="D416" s="2"/>
      <c r="E416" s="2"/>
      <c r="F416" s="2"/>
      <c r="G416" s="2"/>
      <c r="H416" s="2"/>
      <c r="I416" s="168"/>
      <c r="J416" s="168"/>
      <c r="K416" s="168"/>
      <c r="L416" s="254"/>
      <c r="M416" s="254"/>
      <c r="N416" s="254"/>
      <c r="O416" s="254"/>
      <c r="P416" s="254"/>
      <c r="Q416" s="254">
        <f t="shared" ref="Q416:AH416" si="491">Q321-Q372</f>
        <v>1487</v>
      </c>
      <c r="R416" s="254">
        <f t="shared" si="491"/>
        <v>1516.8</v>
      </c>
      <c r="S416" s="254">
        <f t="shared" si="491"/>
        <v>2176.1999999999998</v>
      </c>
      <c r="T416" s="254">
        <f t="shared" si="491"/>
        <v>2439.0450000000001</v>
      </c>
      <c r="U416" s="254">
        <f t="shared" si="491"/>
        <v>3067.5329999999999</v>
      </c>
      <c r="V416" s="254">
        <f t="shared" si="491"/>
        <v>3262</v>
      </c>
      <c r="W416" s="254">
        <f t="shared" si="491"/>
        <v>3117</v>
      </c>
      <c r="X416" s="254">
        <f t="shared" si="491"/>
        <v>2786</v>
      </c>
      <c r="Y416" s="254">
        <f t="shared" si="491"/>
        <v>2703.2</v>
      </c>
      <c r="Z416" s="254">
        <f t="shared" si="491"/>
        <v>2669.41</v>
      </c>
      <c r="AA416" s="254">
        <f t="shared" si="491"/>
        <v>2635.62</v>
      </c>
      <c r="AB416" s="254">
        <f t="shared" si="491"/>
        <v>2601.83</v>
      </c>
      <c r="AC416" s="254">
        <f t="shared" si="491"/>
        <v>2601.83</v>
      </c>
      <c r="AD416" s="254">
        <f t="shared" si="491"/>
        <v>2601.83</v>
      </c>
      <c r="AE416" s="254">
        <f t="shared" si="491"/>
        <v>2601.83</v>
      </c>
      <c r="AF416" s="254">
        <f t="shared" si="491"/>
        <v>2601.83</v>
      </c>
      <c r="AG416" s="254">
        <f t="shared" si="491"/>
        <v>2601.83</v>
      </c>
      <c r="AH416" s="254">
        <f t="shared" si="491"/>
        <v>2601.83</v>
      </c>
      <c r="AI416" s="254">
        <f>AI321-AI372</f>
        <v>2601.83</v>
      </c>
      <c r="AJ416" s="254">
        <f t="shared" ref="AJ416:AK416" si="492">AJ321-AJ372</f>
        <v>2601.83</v>
      </c>
      <c r="AK416" s="254">
        <f t="shared" si="492"/>
        <v>2601.83</v>
      </c>
      <c r="AL416" s="254">
        <f t="shared" ref="AL416" si="493">AL321-AL372</f>
        <v>2601.83</v>
      </c>
      <c r="AM416" s="2"/>
      <c r="AN416" s="2"/>
    </row>
    <row r="417" spans="1:40" outlineLevel="1">
      <c r="A417" s="2"/>
      <c r="B417" s="55" t="s">
        <v>1156</v>
      </c>
      <c r="C417" s="18"/>
      <c r="D417" s="2"/>
      <c r="E417" s="2"/>
      <c r="F417" s="2"/>
      <c r="G417" s="2"/>
      <c r="H417" s="2"/>
      <c r="I417" s="168"/>
      <c r="J417" s="168"/>
      <c r="K417" s="168"/>
      <c r="L417" s="254"/>
      <c r="M417" s="254"/>
      <c r="N417" s="254"/>
      <c r="O417" s="254"/>
      <c r="P417" s="254"/>
      <c r="Q417" s="254"/>
      <c r="R417" s="254"/>
      <c r="S417" s="254">
        <f t="shared" ref="S417:AH417" si="494">S330-S392</f>
        <v>0</v>
      </c>
      <c r="T417" s="254">
        <f t="shared" si="494"/>
        <v>0</v>
      </c>
      <c r="U417" s="254">
        <f t="shared" si="494"/>
        <v>0</v>
      </c>
      <c r="V417" s="254">
        <f t="shared" si="494"/>
        <v>0</v>
      </c>
      <c r="W417" s="254">
        <f t="shared" si="494"/>
        <v>0</v>
      </c>
      <c r="X417" s="254">
        <f t="shared" si="494"/>
        <v>0</v>
      </c>
      <c r="Y417" s="254">
        <f t="shared" si="494"/>
        <v>0</v>
      </c>
      <c r="Z417" s="254">
        <f t="shared" si="494"/>
        <v>0</v>
      </c>
      <c r="AA417" s="254">
        <f t="shared" si="494"/>
        <v>0</v>
      </c>
      <c r="AB417" s="254">
        <f t="shared" si="494"/>
        <v>0</v>
      </c>
      <c r="AC417" s="254">
        <f t="shared" si="494"/>
        <v>0</v>
      </c>
      <c r="AD417" s="254">
        <f t="shared" si="494"/>
        <v>0</v>
      </c>
      <c r="AE417" s="254">
        <f t="shared" si="494"/>
        <v>0</v>
      </c>
      <c r="AF417" s="254">
        <f t="shared" si="494"/>
        <v>0</v>
      </c>
      <c r="AG417" s="254">
        <f t="shared" si="494"/>
        <v>0</v>
      </c>
      <c r="AH417" s="254">
        <f t="shared" si="494"/>
        <v>0</v>
      </c>
      <c r="AI417" s="254">
        <f>AI330-AI392</f>
        <v>0</v>
      </c>
      <c r="AJ417" s="254">
        <f t="shared" ref="AJ417:AK417" si="495">AJ330-AJ392</f>
        <v>0</v>
      </c>
      <c r="AK417" s="254">
        <f t="shared" si="495"/>
        <v>0</v>
      </c>
      <c r="AL417" s="254">
        <f t="shared" ref="AL417" si="496">AL330-AL392</f>
        <v>0</v>
      </c>
      <c r="AM417" s="2"/>
      <c r="AN417" s="2"/>
    </row>
    <row r="418" spans="1:40" outlineLevel="1">
      <c r="A418" s="2"/>
      <c r="B418" s="55" t="s">
        <v>949</v>
      </c>
      <c r="C418" s="18"/>
      <c r="D418" s="2"/>
      <c r="E418" s="2"/>
      <c r="F418" s="2"/>
      <c r="G418" s="2"/>
      <c r="H418" s="2"/>
      <c r="I418" s="168"/>
      <c r="J418" s="168"/>
      <c r="K418" s="168"/>
      <c r="L418" s="254"/>
      <c r="M418" s="254"/>
      <c r="N418" s="254"/>
      <c r="O418" s="254"/>
      <c r="P418" s="254"/>
      <c r="Q418" s="254"/>
      <c r="R418" s="254"/>
      <c r="S418" s="254"/>
      <c r="T418" s="254"/>
      <c r="U418" s="254"/>
      <c r="V418" s="254"/>
      <c r="W418" s="254"/>
      <c r="X418" s="254"/>
      <c r="Y418" s="254"/>
      <c r="Z418" s="254"/>
      <c r="AA418" s="254"/>
      <c r="AB418" s="254"/>
      <c r="AC418" s="254"/>
      <c r="AD418" s="254"/>
      <c r="AE418" s="254"/>
      <c r="AF418" s="254"/>
      <c r="AG418" s="254"/>
      <c r="AH418" s="254"/>
      <c r="AI418" s="254"/>
      <c r="AJ418" s="254"/>
      <c r="AK418" s="254"/>
      <c r="AL418" s="254"/>
      <c r="AM418" s="2"/>
      <c r="AN418" s="2"/>
    </row>
    <row r="419" spans="1:40" outlineLevel="1">
      <c r="A419" s="2"/>
      <c r="B419" s="55" t="s">
        <v>179</v>
      </c>
      <c r="C419" s="18"/>
      <c r="D419" s="2"/>
      <c r="E419" s="2"/>
      <c r="F419" s="2"/>
      <c r="G419" s="2"/>
      <c r="H419" s="2"/>
      <c r="I419" s="168">
        <f t="shared" ref="I419:O419" si="497">I333-I394</f>
        <v>2156.3263020000004</v>
      </c>
      <c r="J419" s="168">
        <f t="shared" si="497"/>
        <v>2262.8538139999991</v>
      </c>
      <c r="K419" s="168">
        <f t="shared" si="497"/>
        <v>2257.7673048195775</v>
      </c>
      <c r="L419" s="254">
        <f t="shared" si="497"/>
        <v>2376.1939880000009</v>
      </c>
      <c r="M419" s="254">
        <f t="shared" si="497"/>
        <v>2563.2077443609014</v>
      </c>
      <c r="N419" s="254">
        <f t="shared" si="497"/>
        <v>2788.5787297190345</v>
      </c>
      <c r="O419" s="254">
        <f t="shared" si="497"/>
        <v>2783.9806885635135</v>
      </c>
      <c r="P419" s="254">
        <f t="shared" ref="P419:AB419" si="498">P431</f>
        <v>3491.8134959272847</v>
      </c>
      <c r="Q419" s="254">
        <f t="shared" si="498"/>
        <v>2418.9074970220463</v>
      </c>
      <c r="R419" s="254">
        <f t="shared" si="498"/>
        <v>2678.7377130689292</v>
      </c>
      <c r="S419" s="254">
        <f t="shared" si="498"/>
        <v>2102.239535387238</v>
      </c>
      <c r="T419" s="254">
        <f>T431</f>
        <v>3071.4190161581228</v>
      </c>
      <c r="U419" s="254">
        <f>U431</f>
        <v>2080.6937439093708</v>
      </c>
      <c r="V419" s="254">
        <f t="shared" si="498"/>
        <v>2137.7222799475239</v>
      </c>
      <c r="W419" s="254">
        <f t="shared" si="498"/>
        <v>1809.3082798339201</v>
      </c>
      <c r="X419" s="254">
        <f t="shared" si="498"/>
        <v>1575.3471131396618</v>
      </c>
      <c r="Y419" s="254">
        <f t="shared" si="498"/>
        <v>1245.8823232342947</v>
      </c>
      <c r="Z419" s="254">
        <f t="shared" si="498"/>
        <v>1298.014264693782</v>
      </c>
      <c r="AA419" s="254">
        <f t="shared" si="498"/>
        <v>1196.9051640822181</v>
      </c>
      <c r="AB419" s="254">
        <f t="shared" si="498"/>
        <v>754.90693577551428</v>
      </c>
      <c r="AC419" s="254">
        <f t="shared" ref="AC419:AH419" si="499">AC431</f>
        <v>754.90693577551428</v>
      </c>
      <c r="AD419" s="254">
        <f t="shared" si="499"/>
        <v>754.90693577551428</v>
      </c>
      <c r="AE419" s="254">
        <f t="shared" si="499"/>
        <v>754.90693577551428</v>
      </c>
      <c r="AF419" s="254">
        <f t="shared" si="499"/>
        <v>754.90693577551428</v>
      </c>
      <c r="AG419" s="254">
        <f t="shared" si="499"/>
        <v>754.90693577551428</v>
      </c>
      <c r="AH419" s="254">
        <f t="shared" si="499"/>
        <v>754.90693577551428</v>
      </c>
      <c r="AI419" s="254">
        <f>AI431</f>
        <v>754.90693577551428</v>
      </c>
      <c r="AJ419" s="254">
        <f t="shared" ref="AJ419:AK419" si="500">AJ431</f>
        <v>754.90693577551428</v>
      </c>
      <c r="AK419" s="254">
        <f t="shared" si="500"/>
        <v>754.90693577551428</v>
      </c>
      <c r="AL419" s="254">
        <f t="shared" ref="AL419" si="501">AL431</f>
        <v>754.90693577551428</v>
      </c>
      <c r="AM419" s="2"/>
      <c r="AN419" s="2"/>
    </row>
    <row r="420" spans="1:40" outlineLevel="1">
      <c r="A420" s="2"/>
      <c r="B420" s="55" t="s">
        <v>1158</v>
      </c>
      <c r="C420" s="18"/>
      <c r="D420" s="2"/>
      <c r="E420" s="2"/>
      <c r="F420" s="2"/>
      <c r="G420" s="2"/>
      <c r="H420" s="2"/>
      <c r="I420" s="168">
        <f t="shared" ref="I420:AH420" si="502">I336-I395</f>
        <v>517</v>
      </c>
      <c r="J420" s="168">
        <f t="shared" si="502"/>
        <v>590</v>
      </c>
      <c r="K420" s="168">
        <f t="shared" si="502"/>
        <v>717</v>
      </c>
      <c r="L420" s="254">
        <f t="shared" si="502"/>
        <v>655</v>
      </c>
      <c r="M420" s="254">
        <f t="shared" si="502"/>
        <v>750</v>
      </c>
      <c r="N420" s="254">
        <f t="shared" si="502"/>
        <v>553</v>
      </c>
      <c r="O420" s="254">
        <f t="shared" si="502"/>
        <v>638</v>
      </c>
      <c r="P420" s="254">
        <f t="shared" si="502"/>
        <v>637</v>
      </c>
      <c r="Q420" s="254">
        <f t="shared" si="502"/>
        <v>762</v>
      </c>
      <c r="R420" s="254">
        <f t="shared" si="502"/>
        <v>787.62611275964389</v>
      </c>
      <c r="S420" s="254">
        <f t="shared" si="502"/>
        <v>0</v>
      </c>
      <c r="T420" s="254">
        <f t="shared" si="502"/>
        <v>0</v>
      </c>
      <c r="U420" s="254">
        <f t="shared" si="502"/>
        <v>0</v>
      </c>
      <c r="V420" s="254">
        <f t="shared" si="502"/>
        <v>0</v>
      </c>
      <c r="W420" s="254">
        <f t="shared" si="502"/>
        <v>0</v>
      </c>
      <c r="X420" s="254">
        <f t="shared" si="502"/>
        <v>0</v>
      </c>
      <c r="Y420" s="254">
        <f t="shared" si="502"/>
        <v>0</v>
      </c>
      <c r="Z420" s="254">
        <f t="shared" si="502"/>
        <v>0</v>
      </c>
      <c r="AA420" s="254">
        <f t="shared" si="502"/>
        <v>0</v>
      </c>
      <c r="AB420" s="254">
        <f t="shared" si="502"/>
        <v>0</v>
      </c>
      <c r="AC420" s="254">
        <f t="shared" si="502"/>
        <v>0</v>
      </c>
      <c r="AD420" s="254">
        <f t="shared" si="502"/>
        <v>0</v>
      </c>
      <c r="AE420" s="254">
        <f t="shared" si="502"/>
        <v>0</v>
      </c>
      <c r="AF420" s="254">
        <f t="shared" si="502"/>
        <v>0</v>
      </c>
      <c r="AG420" s="254">
        <f t="shared" si="502"/>
        <v>0</v>
      </c>
      <c r="AH420" s="254">
        <f t="shared" si="502"/>
        <v>0</v>
      </c>
      <c r="AI420" s="254">
        <f>AI336-AI395</f>
        <v>0</v>
      </c>
      <c r="AJ420" s="254">
        <f t="shared" ref="AJ420:AK420" si="503">AJ336-AJ395</f>
        <v>0</v>
      </c>
      <c r="AK420" s="254">
        <f t="shared" si="503"/>
        <v>0</v>
      </c>
      <c r="AL420" s="254">
        <f t="shared" ref="AL420" si="504">AL336-AL395</f>
        <v>0</v>
      </c>
      <c r="AM420" s="2"/>
      <c r="AN420" s="2"/>
    </row>
    <row r="421" spans="1:40" outlineLevel="1">
      <c r="A421" s="2"/>
      <c r="B421" s="55" t="s">
        <v>1159</v>
      </c>
      <c r="C421" s="18"/>
      <c r="D421" s="2"/>
      <c r="E421" s="2"/>
      <c r="F421" s="2"/>
      <c r="G421" s="2"/>
      <c r="H421" s="2"/>
      <c r="I421" s="168">
        <f t="shared" ref="I421:AH421" si="505">I337-I396</f>
        <v>513</v>
      </c>
      <c r="J421" s="168">
        <f t="shared" si="505"/>
        <v>509</v>
      </c>
      <c r="K421" s="168">
        <f t="shared" si="505"/>
        <v>501</v>
      </c>
      <c r="L421" s="254">
        <f t="shared" si="505"/>
        <v>455</v>
      </c>
      <c r="M421" s="254">
        <f t="shared" si="505"/>
        <v>439</v>
      </c>
      <c r="N421" s="254">
        <f t="shared" si="505"/>
        <v>424</v>
      </c>
      <c r="O421" s="254">
        <f t="shared" si="505"/>
        <v>432</v>
      </c>
      <c r="P421" s="254">
        <f t="shared" si="505"/>
        <v>402</v>
      </c>
      <c r="Q421" s="254">
        <f t="shared" si="505"/>
        <v>131.59281437125748</v>
      </c>
      <c r="R421" s="254">
        <f t="shared" si="505"/>
        <v>0</v>
      </c>
      <c r="S421" s="254">
        <f t="shared" si="505"/>
        <v>0</v>
      </c>
      <c r="T421" s="254">
        <f t="shared" si="505"/>
        <v>0</v>
      </c>
      <c r="U421" s="254">
        <f t="shared" si="505"/>
        <v>0</v>
      </c>
      <c r="V421" s="254">
        <f t="shared" si="505"/>
        <v>0</v>
      </c>
      <c r="W421" s="254">
        <f t="shared" si="505"/>
        <v>0</v>
      </c>
      <c r="X421" s="254">
        <f t="shared" si="505"/>
        <v>0</v>
      </c>
      <c r="Y421" s="254">
        <f t="shared" si="505"/>
        <v>0</v>
      </c>
      <c r="Z421" s="254">
        <f t="shared" si="505"/>
        <v>0</v>
      </c>
      <c r="AA421" s="254">
        <f t="shared" si="505"/>
        <v>0</v>
      </c>
      <c r="AB421" s="254">
        <f t="shared" si="505"/>
        <v>0</v>
      </c>
      <c r="AC421" s="254">
        <f t="shared" si="505"/>
        <v>0</v>
      </c>
      <c r="AD421" s="254">
        <f t="shared" si="505"/>
        <v>0</v>
      </c>
      <c r="AE421" s="254">
        <f t="shared" si="505"/>
        <v>0</v>
      </c>
      <c r="AF421" s="254">
        <f t="shared" si="505"/>
        <v>0</v>
      </c>
      <c r="AG421" s="254">
        <f t="shared" si="505"/>
        <v>0</v>
      </c>
      <c r="AH421" s="254">
        <f t="shared" si="505"/>
        <v>0</v>
      </c>
      <c r="AI421" s="254">
        <f>AI337-AI396</f>
        <v>0</v>
      </c>
      <c r="AJ421" s="254">
        <f t="shared" ref="AJ421:AK421" si="506">AJ337-AJ396</f>
        <v>0</v>
      </c>
      <c r="AK421" s="254">
        <f t="shared" si="506"/>
        <v>0</v>
      </c>
      <c r="AL421" s="254">
        <f t="shared" ref="AL421" si="507">AL337-AL396</f>
        <v>0</v>
      </c>
      <c r="AM421" s="2"/>
      <c r="AN421" s="2"/>
    </row>
    <row r="422" spans="1:40" outlineLevel="1">
      <c r="A422" s="2"/>
      <c r="B422" s="2" t="s">
        <v>752</v>
      </c>
      <c r="C422" s="18"/>
      <c r="D422" s="2"/>
      <c r="E422" s="2"/>
      <c r="F422" s="2"/>
      <c r="G422" s="2"/>
      <c r="H422" s="2"/>
      <c r="I422" s="168"/>
      <c r="J422" s="168"/>
      <c r="K422" s="168"/>
      <c r="L422" s="254"/>
      <c r="M422" s="254"/>
      <c r="N422" s="254"/>
      <c r="O422" s="254"/>
      <c r="P422" s="254">
        <f t="shared" ref="P422:AH422" si="508">P335-P397</f>
        <v>0</v>
      </c>
      <c r="Q422" s="254">
        <f t="shared" si="508"/>
        <v>0</v>
      </c>
      <c r="R422" s="254">
        <f t="shared" si="508"/>
        <v>0</v>
      </c>
      <c r="S422" s="254">
        <f t="shared" si="508"/>
        <v>0</v>
      </c>
      <c r="T422" s="254">
        <f t="shared" si="508"/>
        <v>0</v>
      </c>
      <c r="U422" s="254">
        <f t="shared" si="508"/>
        <v>0</v>
      </c>
      <c r="V422" s="254">
        <f t="shared" si="508"/>
        <v>0</v>
      </c>
      <c r="W422" s="254">
        <f t="shared" si="508"/>
        <v>0</v>
      </c>
      <c r="X422" s="254">
        <f t="shared" si="508"/>
        <v>0</v>
      </c>
      <c r="Y422" s="254">
        <f t="shared" si="508"/>
        <v>0</v>
      </c>
      <c r="Z422" s="254">
        <f t="shared" si="508"/>
        <v>0</v>
      </c>
      <c r="AA422" s="254">
        <f t="shared" si="508"/>
        <v>0</v>
      </c>
      <c r="AB422" s="254">
        <f t="shared" si="508"/>
        <v>0</v>
      </c>
      <c r="AC422" s="254">
        <f t="shared" si="508"/>
        <v>0</v>
      </c>
      <c r="AD422" s="254">
        <f t="shared" si="508"/>
        <v>0</v>
      </c>
      <c r="AE422" s="254">
        <f t="shared" si="508"/>
        <v>0</v>
      </c>
      <c r="AF422" s="254">
        <f t="shared" si="508"/>
        <v>0</v>
      </c>
      <c r="AG422" s="254">
        <f t="shared" si="508"/>
        <v>0</v>
      </c>
      <c r="AH422" s="254">
        <f t="shared" si="508"/>
        <v>0</v>
      </c>
      <c r="AI422" s="254">
        <f>AI335-AI397</f>
        <v>0</v>
      </c>
      <c r="AJ422" s="254">
        <f t="shared" ref="AJ422:AK422" si="509">AJ335-AJ397</f>
        <v>0</v>
      </c>
      <c r="AK422" s="254">
        <f t="shared" si="509"/>
        <v>0</v>
      </c>
      <c r="AL422" s="254">
        <f t="shared" ref="AL422" si="510">AL335-AL397</f>
        <v>0</v>
      </c>
      <c r="AM422" s="2"/>
      <c r="AN422" s="2"/>
    </row>
    <row r="423" spans="1:40" outlineLevel="1">
      <c r="A423" s="2"/>
      <c r="B423" s="2" t="s">
        <v>58</v>
      </c>
      <c r="C423" s="18"/>
      <c r="D423" s="2"/>
      <c r="E423" s="2"/>
      <c r="F423" s="2"/>
      <c r="G423" s="2"/>
      <c r="H423" s="2"/>
      <c r="I423" s="168"/>
      <c r="J423" s="168"/>
      <c r="K423" s="168"/>
      <c r="L423" s="254"/>
      <c r="M423" s="254"/>
      <c r="N423" s="254"/>
      <c r="O423" s="254"/>
      <c r="P423" s="254"/>
      <c r="Q423" s="254"/>
      <c r="R423" s="254"/>
      <c r="S423" s="254">
        <f t="shared" ref="S423:AH423" si="511">S340-S398</f>
        <v>0</v>
      </c>
      <c r="T423" s="254">
        <f t="shared" si="511"/>
        <v>0</v>
      </c>
      <c r="U423" s="254">
        <f t="shared" si="511"/>
        <v>0</v>
      </c>
      <c r="V423" s="254">
        <f t="shared" si="511"/>
        <v>0</v>
      </c>
      <c r="W423" s="254">
        <f t="shared" si="511"/>
        <v>0</v>
      </c>
      <c r="X423" s="254">
        <f t="shared" si="511"/>
        <v>0</v>
      </c>
      <c r="Y423" s="254">
        <f t="shared" si="511"/>
        <v>0</v>
      </c>
      <c r="Z423" s="254">
        <f t="shared" si="511"/>
        <v>0</v>
      </c>
      <c r="AA423" s="254">
        <f t="shared" si="511"/>
        <v>0</v>
      </c>
      <c r="AB423" s="254">
        <f t="shared" si="511"/>
        <v>0</v>
      </c>
      <c r="AC423" s="254">
        <f t="shared" si="511"/>
        <v>0</v>
      </c>
      <c r="AD423" s="254"/>
      <c r="AE423" s="254"/>
      <c r="AF423" s="254">
        <f t="shared" si="511"/>
        <v>0</v>
      </c>
      <c r="AG423" s="254">
        <f t="shared" si="511"/>
        <v>0</v>
      </c>
      <c r="AH423" s="254">
        <f t="shared" si="511"/>
        <v>0</v>
      </c>
      <c r="AI423" s="254">
        <f>AI340-AI398</f>
        <v>0</v>
      </c>
      <c r="AJ423" s="254">
        <f t="shared" ref="AJ423:AK423" si="512">AJ340-AJ398</f>
        <v>0</v>
      </c>
      <c r="AK423" s="254">
        <f t="shared" si="512"/>
        <v>0</v>
      </c>
      <c r="AL423" s="254">
        <f t="shared" ref="AL423" si="513">AL340-AL398</f>
        <v>0</v>
      </c>
      <c r="AM423" s="2"/>
      <c r="AN423" s="2"/>
    </row>
    <row r="424" spans="1:40" outlineLevel="1">
      <c r="A424" s="2"/>
      <c r="B424" s="23" t="s">
        <v>647</v>
      </c>
      <c r="C424" s="22"/>
      <c r="D424" s="23"/>
      <c r="E424" s="23"/>
      <c r="F424" s="23"/>
      <c r="G424" s="23"/>
      <c r="H424" s="23"/>
      <c r="I424" s="882"/>
      <c r="J424" s="882"/>
      <c r="K424" s="882"/>
      <c r="L424" s="853"/>
      <c r="M424" s="853"/>
      <c r="N424" s="853">
        <f>N341-N399</f>
        <v>0</v>
      </c>
      <c r="O424" s="853">
        <f>O341-O399</f>
        <v>0</v>
      </c>
      <c r="P424" s="853">
        <f>P341-P399</f>
        <v>69.525714285714287</v>
      </c>
      <c r="Q424" s="853">
        <f>Q341-Q399</f>
        <v>193.57142857142856</v>
      </c>
      <c r="R424" s="853">
        <f>R341-R399</f>
        <v>247.57142857142856</v>
      </c>
      <c r="S424" s="853">
        <f t="shared" ref="S424:AH424" si="514">S341-S399</f>
        <v>319.57142857142856</v>
      </c>
      <c r="T424" s="853">
        <f t="shared" si="514"/>
        <v>540.57142857142856</v>
      </c>
      <c r="U424" s="853">
        <f t="shared" si="514"/>
        <v>842.57142857142867</v>
      </c>
      <c r="V424" s="853">
        <f t="shared" si="514"/>
        <v>1003.5714285714287</v>
      </c>
      <c r="W424" s="853">
        <f t="shared" si="514"/>
        <v>981.57142857142867</v>
      </c>
      <c r="X424" s="853">
        <f t="shared" si="514"/>
        <v>981.57142857142867</v>
      </c>
      <c r="Y424" s="853">
        <f t="shared" si="514"/>
        <v>981.57142857142867</v>
      </c>
      <c r="Z424" s="853">
        <f t="shared" si="514"/>
        <v>957.57142857142844</v>
      </c>
      <c r="AA424" s="853">
        <f t="shared" si="514"/>
        <v>1156.2936507936518</v>
      </c>
      <c r="AB424" s="853">
        <f t="shared" si="514"/>
        <v>1042.7380952380945</v>
      </c>
      <c r="AC424" s="853">
        <f t="shared" si="514"/>
        <v>900</v>
      </c>
      <c r="AD424" s="853">
        <f t="shared" si="514"/>
        <v>900</v>
      </c>
      <c r="AE424" s="853">
        <f t="shared" si="514"/>
        <v>900</v>
      </c>
      <c r="AF424" s="853">
        <f t="shared" si="514"/>
        <v>900</v>
      </c>
      <c r="AG424" s="853">
        <f t="shared" si="514"/>
        <v>900</v>
      </c>
      <c r="AH424" s="853">
        <f t="shared" si="514"/>
        <v>900</v>
      </c>
      <c r="AI424" s="853">
        <f>AI341-AI399</f>
        <v>900</v>
      </c>
      <c r="AJ424" s="853">
        <f t="shared" ref="AJ424:AK424" si="515">AJ341-AJ399</f>
        <v>900</v>
      </c>
      <c r="AK424" s="853">
        <f t="shared" si="515"/>
        <v>900</v>
      </c>
      <c r="AL424" s="853">
        <f t="shared" ref="AL424" si="516">AL341-AL399</f>
        <v>900</v>
      </c>
      <c r="AM424" s="2"/>
      <c r="AN424" s="2"/>
    </row>
    <row r="425" spans="1:40" outlineLevel="1">
      <c r="A425" s="6"/>
      <c r="B425" s="6" t="s">
        <v>214</v>
      </c>
      <c r="C425" s="21"/>
      <c r="D425" s="6"/>
      <c r="E425" s="6"/>
      <c r="F425" s="6"/>
      <c r="G425" s="6"/>
      <c r="H425" s="6"/>
      <c r="I425" s="855">
        <f t="shared" ref="I425:AB425" si="517">SUM(I410:I424)</f>
        <v>9435.3275240000003</v>
      </c>
      <c r="J425" s="855">
        <f t="shared" si="517"/>
        <v>10885.278068</v>
      </c>
      <c r="K425" s="855">
        <f t="shared" si="517"/>
        <v>11341.469720000001</v>
      </c>
      <c r="L425" s="259">
        <f t="shared" si="517"/>
        <v>14232.799183579176</v>
      </c>
      <c r="M425" s="259">
        <f t="shared" si="517"/>
        <v>14427.252541340669</v>
      </c>
      <c r="N425" s="259">
        <f t="shared" si="517"/>
        <v>13962.85278986941</v>
      </c>
      <c r="O425" s="259">
        <f t="shared" si="517"/>
        <v>14830.968841907399</v>
      </c>
      <c r="P425" s="259">
        <f t="shared" si="517"/>
        <v>15269</v>
      </c>
      <c r="Q425" s="259">
        <f t="shared" si="517"/>
        <v>15341.94</v>
      </c>
      <c r="R425" s="259">
        <f t="shared" si="517"/>
        <v>14981.600000000002</v>
      </c>
      <c r="S425" s="259">
        <f t="shared" si="517"/>
        <v>15157.840648656997</v>
      </c>
      <c r="T425" s="259">
        <f>SUM(T410:T424)</f>
        <v>16360.323986699248</v>
      </c>
      <c r="U425" s="259">
        <f>SUM(U410:U424)</f>
        <v>16302.723231725928</v>
      </c>
      <c r="V425" s="259">
        <f t="shared" si="517"/>
        <v>19957.669156550743</v>
      </c>
      <c r="W425" s="259">
        <f t="shared" si="517"/>
        <v>20276.447256410127</v>
      </c>
      <c r="X425" s="259">
        <f t="shared" si="517"/>
        <v>19102.229317155474</v>
      </c>
      <c r="Y425" s="259">
        <f t="shared" si="517"/>
        <v>16735.716431382039</v>
      </c>
      <c r="Z425" s="259">
        <f t="shared" si="517"/>
        <v>16581.947294538022</v>
      </c>
      <c r="AA425" s="259">
        <f t="shared" si="517"/>
        <v>16923.860592346387</v>
      </c>
      <c r="AB425" s="259">
        <f t="shared" si="517"/>
        <v>16449.990219443836</v>
      </c>
      <c r="AC425" s="259">
        <f t="shared" ref="AC425:AH425" si="518">SUM(AC410:AC424)</f>
        <v>16330.286089191104</v>
      </c>
      <c r="AD425" s="259">
        <f t="shared" si="518"/>
        <v>16505.773419977148</v>
      </c>
      <c r="AE425" s="259">
        <f t="shared" si="518"/>
        <v>16706.097902375419</v>
      </c>
      <c r="AF425" s="259">
        <f t="shared" si="518"/>
        <v>16972.441638073764</v>
      </c>
      <c r="AG425" s="259">
        <f t="shared" si="518"/>
        <v>17276.729311360861</v>
      </c>
      <c r="AH425" s="259">
        <f t="shared" si="518"/>
        <v>17619.919769095846</v>
      </c>
      <c r="AI425" s="259">
        <f>SUM(AI410:AI424)</f>
        <v>18003.336217622538</v>
      </c>
      <c r="AJ425" s="259">
        <f t="shared" ref="AJ425:AK425" si="519">SUM(AJ410:AJ424)</f>
        <v>18478.88854909582</v>
      </c>
      <c r="AK425" s="259">
        <f t="shared" si="519"/>
        <v>18989.954395622957</v>
      </c>
      <c r="AL425" s="259">
        <f t="shared" ref="AL425" si="520">SUM(AL410:AL424)</f>
        <v>19539.784496408338</v>
      </c>
      <c r="AM425" s="6"/>
      <c r="AN425" s="6"/>
    </row>
    <row r="426" spans="1:40" outlineLevel="1">
      <c r="A426" s="2"/>
      <c r="B426" s="2"/>
      <c r="C426" s="18"/>
      <c r="D426" s="2"/>
      <c r="E426" s="2"/>
      <c r="F426" s="2"/>
      <c r="G426" s="2"/>
      <c r="H426" s="2"/>
      <c r="I426" s="168"/>
      <c r="J426" s="168"/>
      <c r="K426" s="168"/>
      <c r="L426" s="254"/>
      <c r="M426" s="254"/>
      <c r="N426" s="254"/>
      <c r="O426" s="254"/>
      <c r="P426" s="259">
        <f>SUM(P410:P424)+P424</f>
        <v>15338.525714285714</v>
      </c>
      <c r="Q426" s="259">
        <f>SUM(Q410:Q424)+Q424</f>
        <v>15535.51142857143</v>
      </c>
      <c r="R426" s="259"/>
      <c r="S426" s="259"/>
      <c r="T426" s="259"/>
      <c r="U426" s="259"/>
      <c r="V426" s="259"/>
      <c r="W426" s="259"/>
      <c r="X426" s="259"/>
      <c r="Y426" s="259"/>
      <c r="Z426" s="259"/>
      <c r="AA426" s="259"/>
      <c r="AB426" s="259"/>
      <c r="AC426" s="259"/>
      <c r="AD426" s="259"/>
      <c r="AE426" s="259"/>
      <c r="AF426" s="259"/>
      <c r="AG426" s="259"/>
      <c r="AH426" s="259"/>
      <c r="AI426" s="259"/>
      <c r="AJ426" s="259"/>
      <c r="AK426" s="259"/>
      <c r="AL426" s="259"/>
      <c r="AM426" s="2"/>
      <c r="AN426" s="2"/>
    </row>
    <row r="427" spans="1:40" outlineLevel="1">
      <c r="A427" s="2"/>
      <c r="B427" s="2"/>
      <c r="C427" s="18"/>
      <c r="D427" s="2"/>
      <c r="E427" s="2"/>
      <c r="F427" s="2"/>
      <c r="G427" s="2"/>
      <c r="H427" s="2"/>
      <c r="I427" s="168"/>
      <c r="J427" s="168"/>
      <c r="K427" s="168"/>
      <c r="L427" s="254"/>
      <c r="M427" s="254"/>
      <c r="N427" s="254"/>
      <c r="O427" s="254"/>
      <c r="P427" s="254">
        <f t="shared" ref="P427:AK427" si="521">P24</f>
        <v>15269</v>
      </c>
      <c r="Q427" s="254">
        <f t="shared" si="521"/>
        <v>15350</v>
      </c>
      <c r="R427" s="254">
        <f t="shared" si="521"/>
        <v>15185</v>
      </c>
      <c r="S427" s="254">
        <f t="shared" si="521"/>
        <v>15598</v>
      </c>
      <c r="T427" s="254">
        <f t="shared" si="521"/>
        <v>16600</v>
      </c>
      <c r="U427" s="254">
        <f t="shared" si="521"/>
        <v>17558</v>
      </c>
      <c r="V427" s="254">
        <f t="shared" si="521"/>
        <v>18622</v>
      </c>
      <c r="W427" s="254">
        <f t="shared" si="521"/>
        <v>19385</v>
      </c>
      <c r="X427" s="254">
        <f t="shared" si="521"/>
        <v>16951</v>
      </c>
      <c r="Y427" s="254">
        <f t="shared" si="521"/>
        <v>15470</v>
      </c>
      <c r="Z427" s="254">
        <f t="shared" si="521"/>
        <v>14758</v>
      </c>
      <c r="AA427" s="254">
        <f t="shared" si="521"/>
        <v>15356</v>
      </c>
      <c r="AB427" s="254">
        <f t="shared" si="521"/>
        <v>15938</v>
      </c>
      <c r="AC427" s="254">
        <f t="shared" si="521"/>
        <v>14986</v>
      </c>
      <c r="AD427" s="254">
        <f t="shared" si="521"/>
        <v>15611.450108041132</v>
      </c>
      <c r="AE427" s="254">
        <f t="shared" si="521"/>
        <v>15908.732422000228</v>
      </c>
      <c r="AF427" s="254">
        <f t="shared" si="521"/>
        <v>16264.998725277013</v>
      </c>
      <c r="AG427" s="254">
        <f t="shared" si="521"/>
        <v>16669.5638986431</v>
      </c>
      <c r="AH427" s="254">
        <f t="shared" si="521"/>
        <v>17124.824150736196</v>
      </c>
      <c r="AI427" s="254">
        <f t="shared" si="521"/>
        <v>17634.476452910953</v>
      </c>
      <c r="AJ427" s="254">
        <f t="shared" si="521"/>
        <v>18203.619020918282</v>
      </c>
      <c r="AK427" s="254">
        <f t="shared" si="521"/>
        <v>18838.912682996801</v>
      </c>
      <c r="AL427" s="254">
        <f t="shared" ref="AL427" si="522">AL24</f>
        <v>19468.487656956768</v>
      </c>
      <c r="AM427" s="2"/>
      <c r="AN427" s="2"/>
    </row>
    <row r="428" spans="1:40" outlineLevel="1">
      <c r="A428" s="2"/>
      <c r="B428" s="2"/>
      <c r="C428" s="18"/>
      <c r="D428" s="2"/>
      <c r="E428" s="2"/>
      <c r="F428" s="2"/>
      <c r="G428" s="2"/>
      <c r="H428" s="2"/>
      <c r="I428" s="168"/>
      <c r="J428" s="168"/>
      <c r="K428" s="168"/>
      <c r="L428" s="254"/>
      <c r="M428" s="254"/>
      <c r="N428" s="254"/>
      <c r="O428" s="254"/>
      <c r="P428" s="254"/>
      <c r="Q428" s="465">
        <f>'P&amp;L'!Q29</f>
        <v>15350</v>
      </c>
      <c r="R428" s="465">
        <f>'P&amp;L'!R29</f>
        <v>15185</v>
      </c>
      <c r="S428" s="465">
        <f>'P&amp;L'!S29</f>
        <v>15598</v>
      </c>
      <c r="T428" s="465">
        <f>'P&amp;L'!T29</f>
        <v>16600</v>
      </c>
      <c r="U428" s="465">
        <f>'P&amp;L'!U29</f>
        <v>17558</v>
      </c>
      <c r="V428" s="465">
        <f>'P&amp;L'!V29</f>
        <v>18622</v>
      </c>
      <c r="W428" s="465">
        <f>'P&amp;L'!W29</f>
        <v>19385</v>
      </c>
      <c r="X428" s="465">
        <f>'P&amp;L'!X29</f>
        <v>16951</v>
      </c>
      <c r="Y428" s="465">
        <f>'P&amp;L'!Y29</f>
        <v>15470</v>
      </c>
      <c r="Z428" s="465">
        <f>'P&amp;L'!Z29</f>
        <v>14758</v>
      </c>
      <c r="AA428" s="465">
        <f>'P&amp;L'!AA29</f>
        <v>15356</v>
      </c>
      <c r="AB428" s="465">
        <f>'P&amp;L'!AB29</f>
        <v>15938</v>
      </c>
      <c r="AC428" s="465">
        <f>'P&amp;L'!AC29</f>
        <v>14986</v>
      </c>
      <c r="AD428" s="465"/>
      <c r="AE428" s="465"/>
      <c r="AF428" s="465">
        <f>'P&amp;L'!AP29</f>
        <v>9264</v>
      </c>
      <c r="AG428" s="465">
        <f>'P&amp;L'!AQ29</f>
        <v>9168</v>
      </c>
      <c r="AH428" s="465">
        <f>'P&amp;L'!AR29</f>
        <v>18622</v>
      </c>
      <c r="AI428" s="465">
        <f>'P&amp;L'!AS29</f>
        <v>9541</v>
      </c>
      <c r="AJ428" s="465">
        <f>'P&amp;L'!AT29</f>
        <v>9660</v>
      </c>
      <c r="AK428" s="465">
        <f>'P&amp;L'!AU29</f>
        <v>19385</v>
      </c>
      <c r="AL428" s="465">
        <f>'P&amp;L'!AV29</f>
        <v>8638</v>
      </c>
      <c r="AM428" s="2"/>
      <c r="AN428" s="2"/>
    </row>
    <row r="429" spans="1:40" outlineLevel="1">
      <c r="A429" s="2"/>
      <c r="B429" s="2"/>
      <c r="C429" s="18"/>
      <c r="D429" s="2"/>
      <c r="E429" s="2"/>
      <c r="F429" s="2"/>
      <c r="G429" s="2"/>
      <c r="H429" s="2"/>
      <c r="I429" s="168"/>
      <c r="J429" s="168"/>
      <c r="K429" s="168"/>
      <c r="L429" s="254"/>
      <c r="M429" s="254"/>
      <c r="N429" s="254"/>
      <c r="O429" s="254"/>
      <c r="P429" s="254"/>
      <c r="Q429" s="465"/>
      <c r="R429" s="465"/>
      <c r="S429" s="465"/>
      <c r="T429" s="465"/>
      <c r="U429" s="465"/>
      <c r="V429" s="465"/>
      <c r="W429" s="465"/>
      <c r="X429" s="465"/>
      <c r="Y429" s="465"/>
      <c r="Z429" s="465"/>
      <c r="AA429" s="465"/>
      <c r="AB429" s="465"/>
      <c r="AC429" s="465"/>
      <c r="AD429" s="465"/>
      <c r="AE429" s="465"/>
      <c r="AF429" s="465"/>
      <c r="AG429" s="465"/>
      <c r="AH429" s="465"/>
      <c r="AI429" s="465"/>
      <c r="AJ429" s="465"/>
      <c r="AK429" s="465"/>
      <c r="AL429" s="465"/>
      <c r="AM429" s="2"/>
      <c r="AN429" s="2"/>
    </row>
    <row r="430" spans="1:40" ht="14.4" outlineLevel="1" thickBot="1">
      <c r="A430" s="2"/>
      <c r="B430" s="2"/>
      <c r="C430" s="18"/>
      <c r="D430" s="2"/>
      <c r="E430" s="2"/>
      <c r="F430" s="2"/>
      <c r="G430" s="2"/>
      <c r="H430" s="2"/>
      <c r="I430" s="168"/>
      <c r="J430" s="168"/>
      <c r="K430" s="168"/>
      <c r="L430" s="168"/>
      <c r="M430" s="168"/>
      <c r="N430" s="168"/>
      <c r="O430" s="168"/>
      <c r="P430" s="168"/>
      <c r="Q430" s="907"/>
      <c r="R430" s="907"/>
      <c r="S430" s="907"/>
      <c r="T430" s="908" t="s">
        <v>973</v>
      </c>
      <c r="U430" s="907"/>
      <c r="V430" s="907"/>
      <c r="W430" s="907"/>
      <c r="X430" s="907"/>
      <c r="Y430" s="907"/>
      <c r="Z430" s="907"/>
      <c r="AA430" s="907"/>
      <c r="AB430" s="907"/>
      <c r="AC430" s="907"/>
      <c r="AD430" s="907"/>
      <c r="AE430" s="907"/>
      <c r="AF430" s="907"/>
      <c r="AG430" s="907"/>
      <c r="AH430" s="907"/>
      <c r="AI430" s="907"/>
      <c r="AJ430" s="907"/>
      <c r="AK430" s="907"/>
      <c r="AL430" s="907"/>
      <c r="AM430" s="2"/>
      <c r="AN430" s="2"/>
    </row>
    <row r="431" spans="1:40" outlineLevel="1">
      <c r="A431" s="530"/>
      <c r="B431" s="909" t="s">
        <v>950</v>
      </c>
      <c r="C431" s="910"/>
      <c r="D431" s="911"/>
      <c r="E431" s="911"/>
      <c r="F431" s="911"/>
      <c r="G431" s="911"/>
      <c r="H431" s="911"/>
      <c r="I431" s="912"/>
      <c r="J431" s="912"/>
      <c r="K431" s="912"/>
      <c r="L431" s="912"/>
      <c r="M431" s="912"/>
      <c r="N431" s="912"/>
      <c r="O431" s="912"/>
      <c r="P431" s="913">
        <v>3491.8134959272847</v>
      </c>
      <c r="Q431" s="913">
        <v>2418.9074970220463</v>
      </c>
      <c r="R431" s="913">
        <v>2678.7377130689292</v>
      </c>
      <c r="S431" s="607">
        <v>2102.239535387238</v>
      </c>
      <c r="T431" s="607">
        <v>3071.4190161581228</v>
      </c>
      <c r="U431" s="607">
        <v>2080.6937439093708</v>
      </c>
      <c r="V431" s="607">
        <v>2137.7222799475239</v>
      </c>
      <c r="W431" s="607">
        <v>1809.3082798339201</v>
      </c>
      <c r="X431" s="607">
        <v>1575.3471131396618</v>
      </c>
      <c r="Y431" s="607">
        <v>1245.8823232342947</v>
      </c>
      <c r="Z431" s="607">
        <v>1298.014264693782</v>
      </c>
      <c r="AA431" s="607">
        <v>1196.9051640822181</v>
      </c>
      <c r="AB431" s="607">
        <v>754.90693577551428</v>
      </c>
      <c r="AC431" s="607">
        <v>754.90693577551428</v>
      </c>
      <c r="AD431" s="607">
        <v>754.90693577551428</v>
      </c>
      <c r="AE431" s="607">
        <v>754.90693577551428</v>
      </c>
      <c r="AF431" s="607">
        <v>754.90693577551428</v>
      </c>
      <c r="AG431" s="607">
        <v>754.90693577551428</v>
      </c>
      <c r="AH431" s="607">
        <v>754.90693577551428</v>
      </c>
      <c r="AI431" s="607">
        <v>754.90693577551428</v>
      </c>
      <c r="AJ431" s="607">
        <v>754.90693577551428</v>
      </c>
      <c r="AK431" s="607">
        <v>754.90693577551428</v>
      </c>
      <c r="AL431" s="607">
        <v>754.90693577551428</v>
      </c>
      <c r="AM431" s="530"/>
      <c r="AN431" s="530"/>
    </row>
    <row r="432" spans="1:40" ht="14.4" outlineLevel="1" thickBot="1">
      <c r="A432" s="2"/>
      <c r="B432" s="914" t="s">
        <v>951</v>
      </c>
      <c r="C432" s="78"/>
      <c r="D432" s="76"/>
      <c r="E432" s="76"/>
      <c r="F432" s="76"/>
      <c r="G432" s="76"/>
      <c r="H432" s="76"/>
      <c r="I432" s="915"/>
      <c r="J432" s="915"/>
      <c r="K432" s="915"/>
      <c r="L432" s="915"/>
      <c r="M432" s="915"/>
      <c r="N432" s="915"/>
      <c r="O432" s="915"/>
      <c r="P432" s="916">
        <f t="shared" ref="P432:AB432" si="523">P427-P425</f>
        <v>0</v>
      </c>
      <c r="Q432" s="916">
        <f t="shared" si="523"/>
        <v>8.0599999999994907</v>
      </c>
      <c r="R432" s="916">
        <f t="shared" si="523"/>
        <v>203.39999999999782</v>
      </c>
      <c r="S432" s="157">
        <f t="shared" si="523"/>
        <v>440.15935134300344</v>
      </c>
      <c r="T432" s="157">
        <f t="shared" si="523"/>
        <v>239.67601330075195</v>
      </c>
      <c r="U432" s="157">
        <f t="shared" si="523"/>
        <v>1255.2767682740723</v>
      </c>
      <c r="V432" s="157">
        <f t="shared" si="523"/>
        <v>-1335.6691565507426</v>
      </c>
      <c r="W432" s="157">
        <f t="shared" si="523"/>
        <v>-891.44725641012701</v>
      </c>
      <c r="X432" s="916">
        <f t="shared" si="523"/>
        <v>-2151.2293171554738</v>
      </c>
      <c r="Y432" s="916">
        <f t="shared" si="523"/>
        <v>-1265.7164313820394</v>
      </c>
      <c r="Z432" s="916">
        <f t="shared" si="523"/>
        <v>-1823.9472945380221</v>
      </c>
      <c r="AA432" s="916">
        <f t="shared" si="523"/>
        <v>-1567.8605923463874</v>
      </c>
      <c r="AB432" s="916">
        <f t="shared" si="523"/>
        <v>-511.99021944383639</v>
      </c>
      <c r="AC432" s="916">
        <f t="shared" ref="AC432:AH432" si="524">AC427-AC425</f>
        <v>-1344.2860891911041</v>
      </c>
      <c r="AD432" s="916">
        <f t="shared" si="524"/>
        <v>-894.32331193601567</v>
      </c>
      <c r="AE432" s="916">
        <f t="shared" si="524"/>
        <v>-797.3654803751906</v>
      </c>
      <c r="AF432" s="916">
        <f t="shared" si="524"/>
        <v>-707.44291279675053</v>
      </c>
      <c r="AG432" s="916">
        <f t="shared" si="524"/>
        <v>-607.16541271776077</v>
      </c>
      <c r="AH432" s="917">
        <f t="shared" si="524"/>
        <v>-495.09561835964996</v>
      </c>
      <c r="AI432" s="917">
        <f>AI427-AI425</f>
        <v>-368.85976471158574</v>
      </c>
      <c r="AJ432" s="917">
        <f t="shared" ref="AJ432:AK432" si="525">AJ427-AJ425</f>
        <v>-275.26952817753772</v>
      </c>
      <c r="AK432" s="917">
        <f t="shared" si="525"/>
        <v>-151.04171262615637</v>
      </c>
      <c r="AL432" s="917">
        <f t="shared" ref="AL432" si="526">AL427-AL425</f>
        <v>-71.296839451570122</v>
      </c>
      <c r="AM432" s="2"/>
      <c r="AN432" s="2"/>
    </row>
    <row r="433" spans="1:40" outlineLevel="1">
      <c r="A433" s="2"/>
      <c r="B433" s="2"/>
      <c r="C433" s="18"/>
      <c r="D433" s="6"/>
      <c r="E433" s="6"/>
      <c r="F433" s="6"/>
      <c r="G433" s="6"/>
      <c r="H433" s="6"/>
      <c r="I433" s="168"/>
      <c r="J433" s="168"/>
      <c r="K433" s="168"/>
      <c r="L433" s="168"/>
      <c r="M433" s="168"/>
      <c r="N433" s="168"/>
      <c r="O433" s="168"/>
      <c r="P433" s="168"/>
      <c r="Q433" s="168"/>
      <c r="R433" s="168"/>
      <c r="S433" s="168"/>
      <c r="T433" s="168"/>
      <c r="U433" s="168"/>
      <c r="V433" s="168"/>
      <c r="W433" s="168"/>
      <c r="X433" s="168"/>
      <c r="Y433" s="168"/>
      <c r="Z433" s="168"/>
      <c r="AA433" s="168"/>
      <c r="AB433" s="168"/>
      <c r="AC433" s="168"/>
      <c r="AD433" s="168"/>
      <c r="AE433" s="168"/>
      <c r="AF433" s="168"/>
      <c r="AG433" s="168"/>
      <c r="AH433" s="168"/>
      <c r="AI433" s="168"/>
      <c r="AJ433" s="168"/>
      <c r="AK433" s="168"/>
      <c r="AL433" s="168"/>
      <c r="AM433" s="2"/>
      <c r="AN433" s="2"/>
    </row>
    <row r="434" spans="1:40" outlineLevel="1">
      <c r="A434" s="2"/>
      <c r="B434" s="2" t="s">
        <v>57</v>
      </c>
      <c r="C434" s="18"/>
      <c r="D434" s="6"/>
      <c r="E434" s="6"/>
      <c r="F434" s="6"/>
      <c r="G434" s="6"/>
      <c r="H434" s="6"/>
      <c r="I434" s="6"/>
      <c r="J434" s="6"/>
      <c r="K434" s="6"/>
      <c r="L434" s="259"/>
      <c r="M434" s="254"/>
      <c r="N434" s="254"/>
      <c r="O434" s="254"/>
      <c r="P434" s="254">
        <f>P338-P24</f>
        <v>9962.8172878999976</v>
      </c>
      <c r="Q434" s="254">
        <f>Q338-Q24</f>
        <v>10139.698279505068</v>
      </c>
      <c r="R434" s="254">
        <f>R338-R24</f>
        <v>9818.7113314285707</v>
      </c>
      <c r="S434" s="254">
        <f>S338-S24</f>
        <v>11158.490991014121</v>
      </c>
      <c r="T434" s="254">
        <f t="shared" ref="T434:AH434" si="527">T339-T428</f>
        <v>9221.0748000000021</v>
      </c>
      <c r="U434" s="254">
        <f t="shared" si="527"/>
        <v>8337.9967515764438</v>
      </c>
      <c r="V434" s="254">
        <f t="shared" si="527"/>
        <v>10219</v>
      </c>
      <c r="W434" s="254">
        <f t="shared" si="527"/>
        <v>8422</v>
      </c>
      <c r="X434" s="254">
        <f t="shared" si="527"/>
        <v>8986</v>
      </c>
      <c r="Y434" s="254">
        <f t="shared" si="527"/>
        <v>7662</v>
      </c>
      <c r="Z434" s="254">
        <f t="shared" si="527"/>
        <v>7287</v>
      </c>
      <c r="AA434" s="254">
        <f t="shared" si="527"/>
        <v>7889.0095399999991</v>
      </c>
      <c r="AB434" s="254">
        <f t="shared" si="527"/>
        <v>7544</v>
      </c>
      <c r="AC434" s="254">
        <f t="shared" si="527"/>
        <v>8624</v>
      </c>
      <c r="AD434" s="254"/>
      <c r="AE434" s="254"/>
      <c r="AF434" s="254">
        <f t="shared" si="527"/>
        <v>3545</v>
      </c>
      <c r="AG434" s="254">
        <f t="shared" si="527"/>
        <v>5141</v>
      </c>
      <c r="AH434" s="254">
        <f t="shared" si="527"/>
        <v>10219</v>
      </c>
      <c r="AI434" s="254">
        <f>AI339-AI428</f>
        <v>3045</v>
      </c>
      <c r="AJ434" s="254">
        <f t="shared" ref="AJ434:AK434" si="528">AJ339-AJ428</f>
        <v>4267</v>
      </c>
      <c r="AK434" s="254">
        <f t="shared" si="528"/>
        <v>8422</v>
      </c>
      <c r="AL434" s="254">
        <f t="shared" ref="AL434" si="529">AL339-AL428</f>
        <v>3526</v>
      </c>
      <c r="AM434" s="2"/>
      <c r="AN434" s="2"/>
    </row>
    <row r="435" spans="1:40" outlineLevel="1">
      <c r="A435" s="2"/>
      <c r="B435" s="2" t="s">
        <v>1128</v>
      </c>
      <c r="C435" s="18"/>
      <c r="D435" s="6"/>
      <c r="E435" s="6"/>
      <c r="F435" s="6"/>
      <c r="G435" s="6"/>
      <c r="H435" s="6"/>
      <c r="I435" s="6"/>
      <c r="J435" s="6"/>
      <c r="K435" s="6"/>
      <c r="L435" s="465">
        <f>'P&amp;L'!L189</f>
        <v>10416</v>
      </c>
      <c r="M435" s="465">
        <f>'P&amp;L'!M189</f>
        <v>10948</v>
      </c>
      <c r="N435" s="465">
        <f>'P&amp;L'!N189</f>
        <v>10847</v>
      </c>
      <c r="O435" s="465">
        <f>'P&amp;L'!O189</f>
        <v>10151</v>
      </c>
      <c r="P435" s="254">
        <f>P400+'Revenue Assumptions'!W1293</f>
        <v>10232.817287900001</v>
      </c>
      <c r="Q435" s="254">
        <f>Q400+'Revenue Assumptions'!X1293</f>
        <v>10751.758279505068</v>
      </c>
      <c r="R435" s="254">
        <f>R400+'Revenue Assumptions'!Y1293</f>
        <v>10852.111331428569</v>
      </c>
      <c r="S435" s="254">
        <f>S400+'Revenue Assumptions'!Z1293</f>
        <v>11078.650342357123</v>
      </c>
      <c r="T435" s="254">
        <f>T400+'Revenue Assumptions'!AA1293</f>
        <v>69751.320030738862</v>
      </c>
      <c r="U435" s="254">
        <f>U400+'Revenue Assumptions'!AB1293</f>
        <v>70356.369397140676</v>
      </c>
      <c r="V435" s="254">
        <f>V400+'Revenue Assumptions'!AC1293</f>
        <v>70833.495696167054</v>
      </c>
      <c r="W435" s="254">
        <f>W400+'Revenue Assumptions'!AD1293</f>
        <v>60107.213237921838</v>
      </c>
      <c r="X435" s="254">
        <f>X400+'Revenue Assumptions'!AE1293</f>
        <v>57032.674251963872</v>
      </c>
      <c r="Y435" s="254">
        <f>Y400+'Revenue Assumptions'!AF1293</f>
        <v>56101.574075674675</v>
      </c>
      <c r="Z435" s="254">
        <f>Z400+'Revenue Assumptions'!AG1293</f>
        <v>52299.009401710166</v>
      </c>
      <c r="AA435" s="254">
        <f>AA400+'Revenue Assumptions'!AH1293</f>
        <v>53220.00342182535</v>
      </c>
      <c r="AB435" s="254">
        <f>AB400+'Revenue Assumptions'!AI1293</f>
        <v>54336.189671849206</v>
      </c>
      <c r="AC435" s="254">
        <f>AC400+'Revenue Assumptions'!AJ1293</f>
        <v>53343.005380852839</v>
      </c>
      <c r="AD435" s="254"/>
      <c r="AE435" s="254"/>
      <c r="AF435" s="254">
        <f>AF400+'Revenue Assumptions'!AM1293</f>
        <v>57200.28676275679</v>
      </c>
      <c r="AG435" s="254">
        <f>AG400+'Revenue Assumptions'!AN1293</f>
        <v>58602.573810912596</v>
      </c>
      <c r="AH435" s="254">
        <f>AH400+'Revenue Assumptions'!AO1293</f>
        <v>60128.389920811838</v>
      </c>
      <c r="AI435" s="254">
        <f>AI400+'Revenue Assumptions'!AP1293</f>
        <v>61783.467682975082</v>
      </c>
      <c r="AJ435" s="254">
        <f>AJ400+'Revenue Assumptions'!AQ1293</f>
        <v>63633.185293919065</v>
      </c>
      <c r="AK435" s="254">
        <f>AK400+'Revenue Assumptions'!AR1293</f>
        <v>65608.336339151429</v>
      </c>
      <c r="AL435" s="254">
        <f>AL400+'Revenue Assumptions'!AS1293</f>
        <v>59696.736694981439</v>
      </c>
      <c r="AM435" s="2"/>
      <c r="AN435" s="2"/>
    </row>
    <row r="436" spans="1:40" outlineLevel="1">
      <c r="A436" s="2"/>
      <c r="B436" s="2"/>
      <c r="C436" s="18"/>
      <c r="D436" s="6"/>
      <c r="E436" s="6"/>
      <c r="F436" s="6"/>
      <c r="G436" s="6"/>
      <c r="H436" s="6"/>
      <c r="I436" s="6"/>
      <c r="J436" s="6"/>
      <c r="K436" s="6"/>
      <c r="L436" s="857"/>
      <c r="M436" s="263"/>
      <c r="N436" s="263"/>
      <c r="O436" s="263">
        <f t="shared" ref="O436:AB436" si="530">O435/N435-1</f>
        <v>-6.4165206969668986E-2</v>
      </c>
      <c r="P436" s="263">
        <f t="shared" si="530"/>
        <v>8.0600224509901341E-3</v>
      </c>
      <c r="Q436" s="263">
        <f t="shared" si="530"/>
        <v>5.0713403455243888E-2</v>
      </c>
      <c r="R436" s="263">
        <f t="shared" si="530"/>
        <v>9.3336410022157867E-3</v>
      </c>
      <c r="S436" s="263">
        <f t="shared" si="530"/>
        <v>2.0875109369038691E-2</v>
      </c>
      <c r="T436" s="263">
        <f t="shared" si="530"/>
        <v>5.2960124090258436</v>
      </c>
      <c r="U436" s="263">
        <f t="shared" si="530"/>
        <v>8.6743787233729552E-3</v>
      </c>
      <c r="V436" s="263">
        <f t="shared" si="530"/>
        <v>6.781565096589004E-3</v>
      </c>
      <c r="W436" s="263">
        <f t="shared" si="530"/>
        <v>-0.15142952289485323</v>
      </c>
      <c r="X436" s="263">
        <f t="shared" si="530"/>
        <v>-5.1150915511388728E-2</v>
      </c>
      <c r="Y436" s="263">
        <f t="shared" si="530"/>
        <v>-1.6325732371862856E-2</v>
      </c>
      <c r="Z436" s="263">
        <f t="shared" si="530"/>
        <v>-6.7779999699033033E-2</v>
      </c>
      <c r="AA436" s="263">
        <f t="shared" si="530"/>
        <v>1.7610161849166195E-2</v>
      </c>
      <c r="AB436" s="263">
        <f t="shared" si="530"/>
        <v>2.0973058591839733E-2</v>
      </c>
      <c r="AC436" s="263">
        <f t="shared" ref="AC436:AI436" si="531">AC435/AB435-1</f>
        <v>-1.8278504565639841E-2</v>
      </c>
      <c r="AD436" s="263"/>
      <c r="AE436" s="263"/>
      <c r="AF436" s="263"/>
      <c r="AG436" s="263">
        <f t="shared" si="531"/>
        <v>2.451538493105665E-2</v>
      </c>
      <c r="AH436" s="263">
        <f t="shared" si="531"/>
        <v>2.6036674000402327E-2</v>
      </c>
      <c r="AI436" s="263">
        <f t="shared" si="531"/>
        <v>2.7525728933419868E-2</v>
      </c>
      <c r="AJ436" s="263">
        <f t="shared" ref="AJ436" si="532">AJ435/AI435-1</f>
        <v>2.9938714680686207E-2</v>
      </c>
      <c r="AK436" s="263">
        <f t="shared" ref="AK436:AL436" si="533">AK435/AJ435-1</f>
        <v>3.1039638140212933E-2</v>
      </c>
      <c r="AL436" s="263">
        <f t="shared" si="533"/>
        <v>-9.0104397916919488E-2</v>
      </c>
      <c r="AM436" s="2"/>
      <c r="AN436" s="2"/>
    </row>
    <row r="437" spans="1:40" outlineLevel="1">
      <c r="A437" s="2"/>
      <c r="B437" s="2"/>
      <c r="C437" s="18"/>
      <c r="D437" s="6"/>
      <c r="E437" s="6"/>
      <c r="F437" s="6"/>
      <c r="G437" s="6"/>
      <c r="H437" s="6"/>
      <c r="I437" s="6"/>
      <c r="J437" s="6"/>
      <c r="K437" s="6"/>
      <c r="L437" s="6"/>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row>
    <row r="438" spans="1:40" outlineLevel="1">
      <c r="A438" s="2"/>
      <c r="B438" s="2"/>
      <c r="C438" s="18"/>
      <c r="D438" s="6"/>
      <c r="E438" s="6"/>
      <c r="F438" s="6"/>
      <c r="G438" s="6"/>
      <c r="H438" s="6"/>
      <c r="I438" s="6"/>
      <c r="J438" s="6"/>
      <c r="K438" s="6"/>
      <c r="L438" s="6"/>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row>
    <row r="439" spans="1:40" outlineLevel="1">
      <c r="A439" s="2"/>
      <c r="B439" s="2"/>
      <c r="C439" s="18"/>
      <c r="D439" s="6"/>
      <c r="E439" s="6"/>
      <c r="F439" s="6"/>
      <c r="G439" s="6"/>
      <c r="H439" s="6"/>
      <c r="I439" s="6"/>
      <c r="J439" s="6"/>
      <c r="K439" s="6"/>
      <c r="L439" s="6"/>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row>
    <row r="440" spans="1:40" outlineLevel="1">
      <c r="A440" s="2"/>
      <c r="B440" s="2"/>
      <c r="C440" s="18"/>
      <c r="D440" s="6"/>
      <c r="E440" s="6"/>
      <c r="F440" s="6"/>
      <c r="G440" s="6"/>
      <c r="H440" s="6"/>
      <c r="I440" s="6"/>
      <c r="J440" s="6"/>
      <c r="K440" s="6"/>
      <c r="L440" s="6"/>
      <c r="M440" s="67">
        <f t="shared" ref="M440:U440" si="534">M397+M399</f>
        <v>0</v>
      </c>
      <c r="N440" s="67">
        <f t="shared" si="534"/>
        <v>0</v>
      </c>
      <c r="O440" s="67">
        <f t="shared" si="534"/>
        <v>0</v>
      </c>
      <c r="P440" s="67">
        <f t="shared" si="534"/>
        <v>69.691428571428574</v>
      </c>
      <c r="Q440" s="67">
        <f t="shared" si="534"/>
        <v>197.09523809523813</v>
      </c>
      <c r="R440" s="67">
        <f t="shared" si="534"/>
        <v>483.89714285714285</v>
      </c>
      <c r="S440" s="67">
        <f t="shared" si="534"/>
        <v>780.42857142857144</v>
      </c>
      <c r="T440" s="67">
        <f t="shared" si="534"/>
        <v>1205.4285714285716</v>
      </c>
      <c r="U440" s="67">
        <f t="shared" si="534"/>
        <v>2257.4285714285716</v>
      </c>
      <c r="V440" s="918">
        <v>2000</v>
      </c>
      <c r="W440" s="918">
        <v>2050</v>
      </c>
      <c r="X440" s="67">
        <f>X397+X399</f>
        <v>2906.4285714285716</v>
      </c>
      <c r="Y440" s="67">
        <f>Y397+Y399</f>
        <v>2059.4285714285711</v>
      </c>
      <c r="Z440" s="2"/>
      <c r="AA440" s="2"/>
      <c r="AB440" s="2"/>
      <c r="AC440" s="2"/>
      <c r="AD440" s="2"/>
      <c r="AE440" s="2"/>
      <c r="AF440" s="2"/>
      <c r="AG440" s="2"/>
      <c r="AH440" s="2"/>
      <c r="AI440" s="2"/>
      <c r="AJ440" s="2"/>
      <c r="AK440" s="2"/>
      <c r="AL440" s="2"/>
      <c r="AM440" s="2"/>
      <c r="AN440" s="2"/>
    </row>
    <row r="441" spans="1:40" ht="15.6" outlineLevel="1">
      <c r="A441" s="2"/>
      <c r="B441" s="237" t="s">
        <v>1172</v>
      </c>
      <c r="C441" s="238"/>
      <c r="D441" s="239"/>
      <c r="E441" s="239"/>
      <c r="F441" s="239"/>
      <c r="G441" s="239"/>
      <c r="H441" s="239"/>
      <c r="I441" s="239"/>
      <c r="J441" s="239"/>
      <c r="K441" s="239"/>
      <c r="L441" s="239"/>
      <c r="M441" s="239"/>
      <c r="N441" s="239"/>
      <c r="O441" s="239"/>
      <c r="P441" s="239"/>
      <c r="Q441" s="239"/>
      <c r="R441" s="239"/>
      <c r="S441" s="239"/>
      <c r="T441" s="239"/>
      <c r="U441" s="239"/>
      <c r="V441" s="239"/>
      <c r="W441" s="239"/>
      <c r="X441" s="239"/>
      <c r="Y441" s="239"/>
      <c r="Z441" s="239"/>
      <c r="AA441" s="239"/>
      <c r="AB441" s="239"/>
      <c r="AC441" s="239"/>
      <c r="AD441" s="239"/>
      <c r="AE441" s="239"/>
      <c r="AF441" s="239"/>
      <c r="AG441" s="239"/>
      <c r="AH441" s="270"/>
      <c r="AI441" s="240"/>
      <c r="AJ441" s="240"/>
      <c r="AK441" s="240"/>
      <c r="AL441" s="240"/>
      <c r="AM441" s="2"/>
      <c r="AN441" s="2"/>
    </row>
    <row r="442" spans="1:40" outlineLevel="1">
      <c r="A442" s="2"/>
      <c r="B442" s="2"/>
      <c r="C442" s="18"/>
      <c r="D442" s="6"/>
      <c r="E442" s="6"/>
      <c r="F442" s="6"/>
      <c r="G442" s="6"/>
      <c r="H442" s="6"/>
      <c r="I442" s="6"/>
      <c r="J442" s="6"/>
      <c r="K442" s="6"/>
      <c r="L442" s="6"/>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row>
    <row r="443" spans="1:40" outlineLevel="1">
      <c r="A443" s="313"/>
      <c r="B443" s="919" t="s">
        <v>266</v>
      </c>
      <c r="C443" s="397" t="s">
        <v>733</v>
      </c>
      <c r="D443" s="764"/>
      <c r="E443" s="764"/>
      <c r="F443" s="764"/>
      <c r="G443" s="764"/>
      <c r="H443" s="764"/>
      <c r="I443" s="764"/>
      <c r="J443" s="764"/>
      <c r="K443" s="764"/>
      <c r="L443" s="764"/>
      <c r="M443" s="313">
        <f t="shared" ref="M443:AI443" si="535">IFERROR(M368/L368-1, "")</f>
        <v>0.21461369355691762</v>
      </c>
      <c r="N443" s="313">
        <f t="shared" si="535"/>
        <v>9.5353268836118277E-2</v>
      </c>
      <c r="O443" s="313">
        <f t="shared" si="535"/>
        <v>6.2306889969103718E-3</v>
      </c>
      <c r="P443" s="313">
        <f t="shared" si="535"/>
        <v>0.22061584678933532</v>
      </c>
      <c r="Q443" s="313">
        <f t="shared" si="535"/>
        <v>0.11875737066092396</v>
      </c>
      <c r="R443" s="313">
        <f t="shared" si="535"/>
        <v>0.10613968250330852</v>
      </c>
      <c r="S443" s="313">
        <f t="shared" si="535"/>
        <v>0.10161591050341823</v>
      </c>
      <c r="T443" s="313">
        <f t="shared" si="535"/>
        <v>2.9069111424541605E-2</v>
      </c>
      <c r="U443" s="313">
        <f t="shared" si="535"/>
        <v>-1.4857252504762775E-2</v>
      </c>
      <c r="V443" s="313">
        <f t="shared" si="535"/>
        <v>-9.0807907953865619E-2</v>
      </c>
      <c r="W443" s="313">
        <f t="shared" si="535"/>
        <v>-4.3101249681203768E-2</v>
      </c>
      <c r="X443" s="313">
        <f t="shared" si="535"/>
        <v>-6.7164179104477584E-2</v>
      </c>
      <c r="Y443" s="313">
        <f t="shared" si="535"/>
        <v>-8.0947680157946622E-2</v>
      </c>
      <c r="Z443" s="313">
        <f t="shared" si="535"/>
        <v>1.7185821697099923E-2</v>
      </c>
      <c r="AA443" s="313">
        <f t="shared" si="535"/>
        <v>9.104793634032271E-2</v>
      </c>
      <c r="AB443" s="313">
        <f t="shared" si="535"/>
        <v>5.2741665517545666E-2</v>
      </c>
      <c r="AC443" s="313">
        <f t="shared" si="535"/>
        <v>3.4654397779097401E-2</v>
      </c>
      <c r="AD443" s="313">
        <f t="shared" si="535"/>
        <v>5.3295105948858668E-2</v>
      </c>
      <c r="AE443" s="313">
        <f t="shared" si="535"/>
        <v>5.2856953479299529E-2</v>
      </c>
      <c r="AF443" s="313">
        <f t="shared" si="535"/>
        <v>4.6550628199935939E-2</v>
      </c>
      <c r="AG443" s="313">
        <f t="shared" si="535"/>
        <v>4.7625396154019617E-2</v>
      </c>
      <c r="AH443" s="313">
        <f t="shared" si="535"/>
        <v>4.871471603914701E-2</v>
      </c>
      <c r="AI443" s="313">
        <f t="shared" si="535"/>
        <v>4.98215663846997E-2</v>
      </c>
      <c r="AJ443" s="313">
        <f t="shared" ref="AJ443:AJ449" si="536">IFERROR(AJ368/AI368-1, "")</f>
        <v>5.0948815299605599E-2</v>
      </c>
      <c r="AK443" s="313">
        <f t="shared" ref="AK443:AL449" si="537">IFERROR(AK368/AJ368-1, "")</f>
        <v>5.2099201685032348E-2</v>
      </c>
      <c r="AL443" s="313">
        <f t="shared" si="537"/>
        <v>5.3275315528987344E-2</v>
      </c>
      <c r="AM443" s="313"/>
      <c r="AN443" s="313"/>
    </row>
    <row r="444" spans="1:40" outlineLevel="1">
      <c r="A444" s="313"/>
      <c r="B444" s="919" t="s">
        <v>1028</v>
      </c>
      <c r="C444" s="397" t="s">
        <v>733</v>
      </c>
      <c r="D444" s="764"/>
      <c r="E444" s="764"/>
      <c r="F444" s="764"/>
      <c r="G444" s="764"/>
      <c r="H444" s="764"/>
      <c r="I444" s="764"/>
      <c r="J444" s="764"/>
      <c r="K444" s="764"/>
      <c r="L444" s="764"/>
      <c r="M444" s="313" t="str">
        <f t="shared" ref="M444:AI444" si="538">IFERROR(M369/L369-1, "")</f>
        <v/>
      </c>
      <c r="N444" s="313" t="str">
        <f t="shared" si="538"/>
        <v/>
      </c>
      <c r="O444" s="313" t="str">
        <f t="shared" si="538"/>
        <v/>
      </c>
      <c r="P444" s="313" t="str">
        <f t="shared" si="538"/>
        <v/>
      </c>
      <c r="Q444" s="313" t="str">
        <f t="shared" si="538"/>
        <v/>
      </c>
      <c r="R444" s="313" t="str">
        <f t="shared" si="538"/>
        <v/>
      </c>
      <c r="S444" s="313" t="str">
        <f t="shared" si="538"/>
        <v/>
      </c>
      <c r="T444" s="313" t="str">
        <f t="shared" si="538"/>
        <v/>
      </c>
      <c r="U444" s="313">
        <f t="shared" si="538"/>
        <v>-0.13426065920774111</v>
      </c>
      <c r="V444" s="313">
        <f t="shared" si="538"/>
        <v>-0.28676213761788338</v>
      </c>
      <c r="W444" s="313">
        <f t="shared" si="538"/>
        <v>-0.247796278158668</v>
      </c>
      <c r="X444" s="313">
        <f t="shared" si="538"/>
        <v>-0.568359375</v>
      </c>
      <c r="Y444" s="313">
        <f t="shared" si="538"/>
        <v>-0.38992789587637644</v>
      </c>
      <c r="Z444" s="313">
        <f t="shared" si="538"/>
        <v>3.3587521267728571E-2</v>
      </c>
      <c r="AA444" s="313">
        <f t="shared" si="538"/>
        <v>3.5354107641627719E-2</v>
      </c>
      <c r="AB444" s="313">
        <f t="shared" si="538"/>
        <v>-3.836874191724382E-2</v>
      </c>
      <c r="AC444" s="313">
        <f t="shared" si="538"/>
        <v>-3.4184054151414345E-2</v>
      </c>
      <c r="AD444" s="313">
        <f t="shared" si="538"/>
        <v>-3.1254165213440377E-2</v>
      </c>
      <c r="AE444" s="313">
        <f t="shared" si="538"/>
        <v>-2.9215281309012742E-2</v>
      </c>
      <c r="AF444" s="313">
        <f t="shared" si="538"/>
        <v>-2.7801187603300082E-2</v>
      </c>
      <c r="AG444" s="313">
        <f t="shared" si="538"/>
        <v>-2.6821486587379262E-2</v>
      </c>
      <c r="AH444" s="313">
        <f t="shared" si="538"/>
        <v>-2.6142083115912707E-2</v>
      </c>
      <c r="AI444" s="313">
        <f t="shared" si="538"/>
        <v>-2.5669510636749604E-2</v>
      </c>
      <c r="AJ444" s="313">
        <f t="shared" si="536"/>
        <v>0</v>
      </c>
      <c r="AK444" s="313">
        <f t="shared" si="537"/>
        <v>0</v>
      </c>
      <c r="AL444" s="313">
        <f t="shared" si="537"/>
        <v>0</v>
      </c>
      <c r="AM444" s="313"/>
      <c r="AN444" s="313"/>
    </row>
    <row r="445" spans="1:40" outlineLevel="1">
      <c r="A445" s="313"/>
      <c r="B445" s="919" t="s">
        <v>1152</v>
      </c>
      <c r="C445" s="397" t="s">
        <v>733</v>
      </c>
      <c r="D445" s="764"/>
      <c r="E445" s="764"/>
      <c r="F445" s="764"/>
      <c r="G445" s="764"/>
      <c r="H445" s="764"/>
      <c r="I445" s="764"/>
      <c r="J445" s="764"/>
      <c r="K445" s="764"/>
      <c r="L445" s="764"/>
      <c r="M445" s="313" t="str">
        <f t="shared" ref="M445:AI445" si="539">IFERROR(M370/L370-1, "")</f>
        <v/>
      </c>
      <c r="N445" s="313" t="str">
        <f t="shared" si="539"/>
        <v/>
      </c>
      <c r="O445" s="313" t="str">
        <f t="shared" si="539"/>
        <v/>
      </c>
      <c r="P445" s="313" t="str">
        <f t="shared" si="539"/>
        <v/>
      </c>
      <c r="Q445" s="313" t="str">
        <f t="shared" si="539"/>
        <v/>
      </c>
      <c r="R445" s="313" t="str">
        <f t="shared" si="539"/>
        <v/>
      </c>
      <c r="S445" s="313" t="str">
        <f t="shared" si="539"/>
        <v/>
      </c>
      <c r="T445" s="313" t="str">
        <f t="shared" si="539"/>
        <v/>
      </c>
      <c r="U445" s="313">
        <f t="shared" si="539"/>
        <v>0.20343839541547282</v>
      </c>
      <c r="V445" s="313">
        <f t="shared" si="539"/>
        <v>0.37857142857142856</v>
      </c>
      <c r="W445" s="313">
        <f t="shared" si="539"/>
        <v>0.26252158894645938</v>
      </c>
      <c r="X445" s="313">
        <f t="shared" si="539"/>
        <v>0.12175102599179199</v>
      </c>
      <c r="Y445" s="313">
        <f t="shared" si="539"/>
        <v>2.9804878048780514E-2</v>
      </c>
      <c r="Z445" s="313">
        <f t="shared" si="539"/>
        <v>2.4229074889867919E-2</v>
      </c>
      <c r="AA445" s="313">
        <f t="shared" si="539"/>
        <v>3.5803440860215252E-2</v>
      </c>
      <c r="AB445" s="313">
        <f t="shared" si="539"/>
        <v>2.9999999999999805E-2</v>
      </c>
      <c r="AC445" s="313">
        <f t="shared" si="539"/>
        <v>0.11066752049249096</v>
      </c>
      <c r="AD445" s="313">
        <f t="shared" si="539"/>
        <v>3.0000000000000027E-2</v>
      </c>
      <c r="AE445" s="313">
        <f t="shared" si="539"/>
        <v>2.9999999999999805E-2</v>
      </c>
      <c r="AF445" s="313">
        <f t="shared" si="539"/>
        <v>3.0000000000000027E-2</v>
      </c>
      <c r="AG445" s="313">
        <f t="shared" si="539"/>
        <v>3.0000000000000027E-2</v>
      </c>
      <c r="AH445" s="313">
        <f t="shared" si="539"/>
        <v>3.0000000000000027E-2</v>
      </c>
      <c r="AI445" s="313">
        <f t="shared" si="539"/>
        <v>3.0000000000000249E-2</v>
      </c>
      <c r="AJ445" s="313">
        <f t="shared" si="536"/>
        <v>2.9999999999999805E-2</v>
      </c>
      <c r="AK445" s="313">
        <f t="shared" si="537"/>
        <v>3.0000000000000027E-2</v>
      </c>
      <c r="AL445" s="313">
        <f t="shared" si="537"/>
        <v>-1</v>
      </c>
      <c r="AM445" s="313"/>
      <c r="AN445" s="313"/>
    </row>
    <row r="446" spans="1:40" outlineLevel="1">
      <c r="A446" s="313"/>
      <c r="B446" s="919" t="s">
        <v>1064</v>
      </c>
      <c r="C446" s="397" t="s">
        <v>733</v>
      </c>
      <c r="D446" s="764"/>
      <c r="E446" s="764"/>
      <c r="F446" s="764"/>
      <c r="G446" s="764"/>
      <c r="H446" s="764"/>
      <c r="I446" s="764"/>
      <c r="J446" s="764"/>
      <c r="K446" s="764"/>
      <c r="L446" s="764"/>
      <c r="M446" s="313">
        <f t="shared" ref="M446:AI446" si="540">IFERROR(M371/L371-1, "")</f>
        <v>5.0037082247805786E-2</v>
      </c>
      <c r="N446" s="313">
        <f t="shared" si="540"/>
        <v>7.0821030211160485E-2</v>
      </c>
      <c r="O446" s="313">
        <f t="shared" si="540"/>
        <v>-2.9660409958184197E-2</v>
      </c>
      <c r="P446" s="313">
        <f t="shared" si="540"/>
        <v>4.0856032768740391E-2</v>
      </c>
      <c r="Q446" s="313">
        <f t="shared" si="540"/>
        <v>-1.0725296284433083E-2</v>
      </c>
      <c r="R446" s="313">
        <f t="shared" si="540"/>
        <v>-2.4005261427162194E-2</v>
      </c>
      <c r="S446" s="313">
        <f t="shared" si="540"/>
        <v>-4.3582832262077487E-2</v>
      </c>
      <c r="T446" s="313">
        <f t="shared" si="540"/>
        <v>-5.0315101456815947E-2</v>
      </c>
      <c r="U446" s="313">
        <f t="shared" si="540"/>
        <v>-9.465288304523467E-2</v>
      </c>
      <c r="V446" s="313">
        <f t="shared" si="540"/>
        <v>3.5032248629622398E-2</v>
      </c>
      <c r="W446" s="313">
        <f t="shared" si="540"/>
        <v>-5.8465286236297209E-2</v>
      </c>
      <c r="X446" s="313">
        <f t="shared" si="540"/>
        <v>-0.17464424320827943</v>
      </c>
      <c r="Y446" s="313">
        <f t="shared" si="540"/>
        <v>0.79724694074497271</v>
      </c>
      <c r="Z446" s="313">
        <f t="shared" si="540"/>
        <v>-3.3101758299744155E-2</v>
      </c>
      <c r="AA446" s="313">
        <f t="shared" si="540"/>
        <v>-4.6528486469884944E-2</v>
      </c>
      <c r="AB446" s="313">
        <f t="shared" si="540"/>
        <v>-2.1977578605140269E-2</v>
      </c>
      <c r="AC446" s="313">
        <f t="shared" si="540"/>
        <v>-1.8390434750712004E-2</v>
      </c>
      <c r="AD446" s="313">
        <f t="shared" si="540"/>
        <v>-1.6218832876519151E-2</v>
      </c>
      <c r="AE446" s="313">
        <f t="shared" si="540"/>
        <v>-1.4219177340372813E-2</v>
      </c>
      <c r="AF446" s="313">
        <f t="shared" si="540"/>
        <v>-1.2379151010551426E-2</v>
      </c>
      <c r="AG446" s="313">
        <f t="shared" si="540"/>
        <v>-1.0686478436035651E-2</v>
      </c>
      <c r="AH446" s="313">
        <f t="shared" si="540"/>
        <v>-9.1291819024447163E-3</v>
      </c>
      <c r="AI446" s="313">
        <f t="shared" si="540"/>
        <v>-7.695769295212318E-3</v>
      </c>
      <c r="AJ446" s="313">
        <f t="shared" si="536"/>
        <v>0</v>
      </c>
      <c r="AK446" s="313">
        <f t="shared" si="537"/>
        <v>0</v>
      </c>
      <c r="AL446" s="313">
        <f t="shared" si="537"/>
        <v>0</v>
      </c>
      <c r="AM446" s="313"/>
      <c r="AN446" s="313"/>
    </row>
    <row r="447" spans="1:40" outlineLevel="1">
      <c r="A447" s="313"/>
      <c r="B447" s="919" t="s">
        <v>657</v>
      </c>
      <c r="C447" s="397" t="s">
        <v>733</v>
      </c>
      <c r="D447" s="764"/>
      <c r="E447" s="764"/>
      <c r="F447" s="764"/>
      <c r="G447" s="764"/>
      <c r="H447" s="764"/>
      <c r="I447" s="764"/>
      <c r="J447" s="764"/>
      <c r="K447" s="764"/>
      <c r="L447" s="764"/>
      <c r="M447" s="313" t="str">
        <f t="shared" ref="M447:AI447" si="541">IFERROR(M372/L372-1, "")</f>
        <v/>
      </c>
      <c r="N447" s="313" t="str">
        <f t="shared" si="541"/>
        <v/>
      </c>
      <c r="O447" s="313" t="str">
        <f t="shared" si="541"/>
        <v/>
      </c>
      <c r="P447" s="313" t="str">
        <f t="shared" si="541"/>
        <v/>
      </c>
      <c r="Q447" s="313" t="str">
        <f t="shared" si="541"/>
        <v/>
      </c>
      <c r="R447" s="313" t="str">
        <f t="shared" si="541"/>
        <v/>
      </c>
      <c r="S447" s="313">
        <f t="shared" si="541"/>
        <v>-0.36234177215189878</v>
      </c>
      <c r="T447" s="313">
        <f t="shared" si="541"/>
        <v>-0.41292390405293633</v>
      </c>
      <c r="U447" s="313">
        <f t="shared" si="541"/>
        <v>1.0461906942340882</v>
      </c>
      <c r="V447" s="313">
        <f t="shared" si="541"/>
        <v>0.25659713495853231</v>
      </c>
      <c r="W447" s="313">
        <f t="shared" si="541"/>
        <v>-1.3698630136986356E-2</v>
      </c>
      <c r="X447" s="313">
        <f t="shared" si="541"/>
        <v>0.64722222222222214</v>
      </c>
      <c r="Y447" s="313">
        <f t="shared" si="541"/>
        <v>0.13962900505902209</v>
      </c>
      <c r="Z447" s="313">
        <f t="shared" si="541"/>
        <v>5.0000000000000044E-2</v>
      </c>
      <c r="AA447" s="313">
        <f t="shared" si="541"/>
        <v>4.7619047619047672E-2</v>
      </c>
      <c r="AB447" s="313">
        <f t="shared" si="541"/>
        <v>4.5454545454545414E-2</v>
      </c>
      <c r="AC447" s="313">
        <f t="shared" si="541"/>
        <v>0</v>
      </c>
      <c r="AD447" s="313">
        <f t="shared" si="541"/>
        <v>0</v>
      </c>
      <c r="AE447" s="313">
        <f t="shared" si="541"/>
        <v>0</v>
      </c>
      <c r="AF447" s="313">
        <f t="shared" si="541"/>
        <v>0</v>
      </c>
      <c r="AG447" s="313">
        <f t="shared" si="541"/>
        <v>0</v>
      </c>
      <c r="AH447" s="313">
        <f t="shared" si="541"/>
        <v>0</v>
      </c>
      <c r="AI447" s="313">
        <f t="shared" si="541"/>
        <v>0</v>
      </c>
      <c r="AJ447" s="313">
        <f t="shared" si="536"/>
        <v>0</v>
      </c>
      <c r="AK447" s="313">
        <f t="shared" si="537"/>
        <v>0</v>
      </c>
      <c r="AL447" s="313">
        <f t="shared" si="537"/>
        <v>0</v>
      </c>
      <c r="AM447" s="313"/>
      <c r="AN447" s="313"/>
    </row>
    <row r="448" spans="1:40" outlineLevel="1">
      <c r="A448" s="313"/>
      <c r="B448" s="919" t="s">
        <v>1018</v>
      </c>
      <c r="C448" s="397" t="s">
        <v>733</v>
      </c>
      <c r="D448" s="764"/>
      <c r="E448" s="764"/>
      <c r="F448" s="764"/>
      <c r="G448" s="764"/>
      <c r="H448" s="764"/>
      <c r="I448" s="764"/>
      <c r="J448" s="764"/>
      <c r="K448" s="764"/>
      <c r="L448" s="764"/>
      <c r="M448" s="313" t="str">
        <f t="shared" ref="M448:AI448" si="542">IFERROR(M373/L373-1, "")</f>
        <v/>
      </c>
      <c r="N448" s="313" t="str">
        <f t="shared" si="542"/>
        <v/>
      </c>
      <c r="O448" s="313" t="str">
        <f t="shared" si="542"/>
        <v/>
      </c>
      <c r="P448" s="313" t="str">
        <f t="shared" si="542"/>
        <v/>
      </c>
      <c r="Q448" s="313" t="str">
        <f t="shared" si="542"/>
        <v/>
      </c>
      <c r="R448" s="313" t="str">
        <f t="shared" si="542"/>
        <v/>
      </c>
      <c r="S448" s="313" t="str">
        <f t="shared" si="542"/>
        <v/>
      </c>
      <c r="T448" s="313" t="str">
        <f t="shared" si="542"/>
        <v/>
      </c>
      <c r="U448" s="313">
        <f t="shared" si="542"/>
        <v>-4.8581132075471767E-2</v>
      </c>
      <c r="V448" s="313">
        <f t="shared" si="542"/>
        <v>0.16211735402140204</v>
      </c>
      <c r="W448" s="313">
        <f t="shared" si="542"/>
        <v>0.24232081911262804</v>
      </c>
      <c r="X448" s="313">
        <f t="shared" si="542"/>
        <v>0.24725274725274726</v>
      </c>
      <c r="Y448" s="313">
        <f t="shared" si="542"/>
        <v>-0.13391304347826083</v>
      </c>
      <c r="Z448" s="313">
        <f t="shared" si="542"/>
        <v>3.7918340026773745E-2</v>
      </c>
      <c r="AA448" s="313">
        <f t="shared" si="542"/>
        <v>2.8368587366588205E-2</v>
      </c>
      <c r="AB448" s="313">
        <f t="shared" si="542"/>
        <v>2.5624339290426068E-2</v>
      </c>
      <c r="AC448" s="313">
        <f t="shared" si="542"/>
        <v>2.2735564924697638E-2</v>
      </c>
      <c r="AD448" s="313">
        <f t="shared" si="542"/>
        <v>1.9721318704251978E-2</v>
      </c>
      <c r="AE448" s="313">
        <f t="shared" si="542"/>
        <v>1.6600089564332565E-2</v>
      </c>
      <c r="AF448" s="313">
        <f t="shared" si="542"/>
        <v>2.0084702306960356E-2</v>
      </c>
      <c r="AG448" s="313">
        <f t="shared" si="542"/>
        <v>2.0279927078000526E-2</v>
      </c>
      <c r="AH448" s="313">
        <f t="shared" si="542"/>
        <v>2.0473131280905665E-2</v>
      </c>
      <c r="AI448" s="313">
        <f t="shared" si="542"/>
        <v>2.066426304910518E-2</v>
      </c>
      <c r="AJ448" s="313">
        <f t="shared" si="536"/>
        <v>0</v>
      </c>
      <c r="AK448" s="313">
        <f t="shared" si="537"/>
        <v>0</v>
      </c>
      <c r="AL448" s="313">
        <f t="shared" si="537"/>
        <v>0</v>
      </c>
      <c r="AM448" s="313"/>
      <c r="AN448" s="313"/>
    </row>
    <row r="449" spans="1:40" outlineLevel="1">
      <c r="A449" s="313"/>
      <c r="B449" s="919" t="s">
        <v>1033</v>
      </c>
      <c r="C449" s="397" t="s">
        <v>733</v>
      </c>
      <c r="D449" s="764"/>
      <c r="E449" s="764"/>
      <c r="F449" s="764"/>
      <c r="G449" s="764"/>
      <c r="H449" s="764"/>
      <c r="I449" s="764"/>
      <c r="J449" s="764"/>
      <c r="K449" s="764"/>
      <c r="L449" s="764"/>
      <c r="M449" s="313" t="str">
        <f t="shared" ref="M449:AI449" si="543">IFERROR(M374/L374-1, "")</f>
        <v/>
      </c>
      <c r="N449" s="313" t="str">
        <f t="shared" si="543"/>
        <v/>
      </c>
      <c r="O449" s="313" t="str">
        <f t="shared" si="543"/>
        <v/>
      </c>
      <c r="P449" s="313" t="str">
        <f t="shared" si="543"/>
        <v/>
      </c>
      <c r="Q449" s="313" t="str">
        <f t="shared" si="543"/>
        <v/>
      </c>
      <c r="R449" s="313" t="str">
        <f t="shared" si="543"/>
        <v/>
      </c>
      <c r="S449" s="313" t="str">
        <f t="shared" si="543"/>
        <v/>
      </c>
      <c r="T449" s="313" t="str">
        <f t="shared" si="543"/>
        <v/>
      </c>
      <c r="U449" s="313">
        <f t="shared" si="543"/>
        <v>-2.0696517412935322</v>
      </c>
      <c r="V449" s="313">
        <f t="shared" si="543"/>
        <v>-1.2279069767441861</v>
      </c>
      <c r="W449" s="313">
        <f t="shared" si="543"/>
        <v>-2.7551020408163263</v>
      </c>
      <c r="X449" s="313">
        <f t="shared" si="543"/>
        <v>-2.1976744186046511</v>
      </c>
      <c r="Y449" s="313">
        <f t="shared" si="543"/>
        <v>0</v>
      </c>
      <c r="Z449" s="313">
        <f t="shared" si="543"/>
        <v>0</v>
      </c>
      <c r="AA449" s="313">
        <f t="shared" si="543"/>
        <v>0</v>
      </c>
      <c r="AB449" s="313">
        <f t="shared" si="543"/>
        <v>0</v>
      </c>
      <c r="AC449" s="313">
        <f t="shared" si="543"/>
        <v>0</v>
      </c>
      <c r="AD449" s="313">
        <f t="shared" si="543"/>
        <v>0</v>
      </c>
      <c r="AE449" s="313">
        <f t="shared" si="543"/>
        <v>0</v>
      </c>
      <c r="AF449" s="313">
        <f t="shared" si="543"/>
        <v>0</v>
      </c>
      <c r="AG449" s="313">
        <f t="shared" si="543"/>
        <v>0</v>
      </c>
      <c r="AH449" s="313">
        <f t="shared" si="543"/>
        <v>0</v>
      </c>
      <c r="AI449" s="313">
        <f t="shared" si="543"/>
        <v>0</v>
      </c>
      <c r="AJ449" s="313">
        <f t="shared" si="536"/>
        <v>0</v>
      </c>
      <c r="AK449" s="313">
        <f t="shared" si="537"/>
        <v>0</v>
      </c>
      <c r="AL449" s="313">
        <f t="shared" si="537"/>
        <v>0</v>
      </c>
      <c r="AM449" s="313"/>
      <c r="AN449" s="313"/>
    </row>
    <row r="450" spans="1:40" outlineLevel="1">
      <c r="A450" s="313"/>
      <c r="B450" s="919" t="s">
        <v>1070</v>
      </c>
      <c r="C450" s="397" t="s">
        <v>733</v>
      </c>
      <c r="D450" s="764"/>
      <c r="E450" s="764"/>
      <c r="F450" s="764"/>
      <c r="G450" s="764"/>
      <c r="H450" s="764"/>
      <c r="I450" s="764"/>
      <c r="J450" s="764"/>
      <c r="K450" s="764"/>
      <c r="L450" s="764"/>
      <c r="M450" s="313" t="str">
        <f t="shared" ref="M450:AI450" si="544">IFERROR(M376/L376-1, "")</f>
        <v/>
      </c>
      <c r="N450" s="313" t="str">
        <f t="shared" si="544"/>
        <v/>
      </c>
      <c r="O450" s="313" t="str">
        <f t="shared" si="544"/>
        <v/>
      </c>
      <c r="P450" s="313" t="str">
        <f t="shared" si="544"/>
        <v/>
      </c>
      <c r="Q450" s="313" t="str">
        <f t="shared" si="544"/>
        <v/>
      </c>
      <c r="R450" s="313" t="str">
        <f t="shared" si="544"/>
        <v/>
      </c>
      <c r="S450" s="313" t="str">
        <f t="shared" si="544"/>
        <v/>
      </c>
      <c r="T450" s="313" t="str">
        <f t="shared" si="544"/>
        <v/>
      </c>
      <c r="U450" s="313">
        <f t="shared" si="544"/>
        <v>1.7639999999999998</v>
      </c>
      <c r="V450" s="313">
        <f t="shared" si="544"/>
        <v>0.32850940665701889</v>
      </c>
      <c r="W450" s="313">
        <f t="shared" si="544"/>
        <v>-0.1214596949891068</v>
      </c>
      <c r="X450" s="313">
        <f t="shared" si="544"/>
        <v>-4.7737135771853678E-2</v>
      </c>
      <c r="Y450" s="313">
        <f t="shared" si="544"/>
        <v>-0.46466531569965863</v>
      </c>
      <c r="Z450" s="313">
        <f t="shared" si="544"/>
        <v>-0.68632569711718339</v>
      </c>
      <c r="AA450" s="313">
        <f t="shared" si="544"/>
        <v>-0.59536299591971742</v>
      </c>
      <c r="AB450" s="313">
        <f t="shared" si="544"/>
        <v>-3.2405173246478403E-2</v>
      </c>
      <c r="AC450" s="313">
        <f t="shared" si="544"/>
        <v>-1</v>
      </c>
      <c r="AD450" s="313" t="str">
        <f t="shared" si="544"/>
        <v/>
      </c>
      <c r="AE450" s="313" t="str">
        <f t="shared" si="544"/>
        <v/>
      </c>
      <c r="AF450" s="313" t="str">
        <f t="shared" si="544"/>
        <v/>
      </c>
      <c r="AG450" s="313" t="str">
        <f t="shared" si="544"/>
        <v/>
      </c>
      <c r="AH450" s="313" t="str">
        <f t="shared" si="544"/>
        <v/>
      </c>
      <c r="AI450" s="313" t="str">
        <f t="shared" si="544"/>
        <v/>
      </c>
      <c r="AJ450" s="313" t="str">
        <f t="shared" ref="AJ450:AJ452" si="545">IFERROR(AJ376/AI376-1, "")</f>
        <v/>
      </c>
      <c r="AK450" s="313" t="str">
        <f t="shared" ref="AK450:AL452" si="546">IFERROR(AK376/AJ376-1, "")</f>
        <v/>
      </c>
      <c r="AL450" s="313" t="str">
        <f t="shared" si="546"/>
        <v/>
      </c>
      <c r="AM450" s="313"/>
      <c r="AN450" s="313"/>
    </row>
    <row r="451" spans="1:40" outlineLevel="1">
      <c r="A451" s="313"/>
      <c r="B451" s="919" t="s">
        <v>1038</v>
      </c>
      <c r="C451" s="397" t="s">
        <v>733</v>
      </c>
      <c r="D451" s="764"/>
      <c r="E451" s="764"/>
      <c r="F451" s="764"/>
      <c r="G451" s="764"/>
      <c r="H451" s="764"/>
      <c r="I451" s="764"/>
      <c r="J451" s="764"/>
      <c r="K451" s="764"/>
      <c r="L451" s="764"/>
      <c r="M451" s="313" t="str">
        <f t="shared" ref="M451:AI451" si="547">IFERROR(M377/L377-1, "")</f>
        <v/>
      </c>
      <c r="N451" s="313" t="str">
        <f t="shared" si="547"/>
        <v/>
      </c>
      <c r="O451" s="313" t="str">
        <f t="shared" si="547"/>
        <v/>
      </c>
      <c r="P451" s="313" t="str">
        <f t="shared" si="547"/>
        <v/>
      </c>
      <c r="Q451" s="313" t="str">
        <f t="shared" si="547"/>
        <v/>
      </c>
      <c r="R451" s="313" t="str">
        <f t="shared" si="547"/>
        <v/>
      </c>
      <c r="S451" s="313" t="str">
        <f t="shared" si="547"/>
        <v/>
      </c>
      <c r="T451" s="313" t="str">
        <f t="shared" si="547"/>
        <v/>
      </c>
      <c r="U451" s="313">
        <f t="shared" si="547"/>
        <v>-0.25396825396825395</v>
      </c>
      <c r="V451" s="313">
        <f t="shared" si="547"/>
        <v>0.12765957446808507</v>
      </c>
      <c r="W451" s="313">
        <f t="shared" si="547"/>
        <v>-1</v>
      </c>
      <c r="X451" s="313" t="str">
        <f t="shared" si="547"/>
        <v/>
      </c>
      <c r="Y451" s="313" t="str">
        <f t="shared" si="547"/>
        <v/>
      </c>
      <c r="Z451" s="313" t="str">
        <f t="shared" si="547"/>
        <v/>
      </c>
      <c r="AA451" s="313" t="str">
        <f t="shared" si="547"/>
        <v/>
      </c>
      <c r="AB451" s="313" t="str">
        <f t="shared" si="547"/>
        <v/>
      </c>
      <c r="AC451" s="313" t="str">
        <f t="shared" si="547"/>
        <v/>
      </c>
      <c r="AD451" s="313" t="str">
        <f t="shared" si="547"/>
        <v/>
      </c>
      <c r="AE451" s="313" t="str">
        <f t="shared" si="547"/>
        <v/>
      </c>
      <c r="AF451" s="313" t="str">
        <f t="shared" si="547"/>
        <v/>
      </c>
      <c r="AG451" s="313" t="str">
        <f t="shared" si="547"/>
        <v/>
      </c>
      <c r="AH451" s="313" t="str">
        <f t="shared" si="547"/>
        <v/>
      </c>
      <c r="AI451" s="313" t="str">
        <f t="shared" si="547"/>
        <v/>
      </c>
      <c r="AJ451" s="313" t="str">
        <f t="shared" si="545"/>
        <v/>
      </c>
      <c r="AK451" s="313" t="str">
        <f t="shared" si="546"/>
        <v/>
      </c>
      <c r="AL451" s="313" t="str">
        <f t="shared" si="546"/>
        <v/>
      </c>
      <c r="AM451" s="313"/>
      <c r="AN451" s="313"/>
    </row>
    <row r="452" spans="1:40" outlineLevel="1">
      <c r="A452" s="313"/>
      <c r="B452" s="920" t="s">
        <v>1153</v>
      </c>
      <c r="C452" s="921" t="s">
        <v>733</v>
      </c>
      <c r="D452" s="755"/>
      <c r="E452" s="755"/>
      <c r="F452" s="755"/>
      <c r="G452" s="755"/>
      <c r="H452" s="755"/>
      <c r="I452" s="755"/>
      <c r="J452" s="755"/>
      <c r="K452" s="755"/>
      <c r="L452" s="755"/>
      <c r="M452" s="755" t="str">
        <f t="shared" ref="M452:AI452" si="548">IFERROR(M378/L378-1, "")</f>
        <v/>
      </c>
      <c r="N452" s="755" t="str">
        <f t="shared" si="548"/>
        <v/>
      </c>
      <c r="O452" s="755" t="str">
        <f t="shared" si="548"/>
        <v/>
      </c>
      <c r="P452" s="755" t="str">
        <f t="shared" si="548"/>
        <v/>
      </c>
      <c r="Q452" s="755" t="str">
        <f t="shared" si="548"/>
        <v/>
      </c>
      <c r="R452" s="755" t="str">
        <f t="shared" si="548"/>
        <v/>
      </c>
      <c r="S452" s="755" t="str">
        <f t="shared" si="548"/>
        <v/>
      </c>
      <c r="T452" s="755" t="str">
        <f t="shared" si="548"/>
        <v/>
      </c>
      <c r="U452" s="755">
        <f t="shared" si="548"/>
        <v>-2.0751067092827924E-4</v>
      </c>
      <c r="V452" s="755">
        <f t="shared" si="548"/>
        <v>-1.5115909573556352E-2</v>
      </c>
      <c r="W452" s="755">
        <f t="shared" si="548"/>
        <v>-8.4925887946303735E-2</v>
      </c>
      <c r="X452" s="755">
        <f t="shared" si="548"/>
        <v>-8.8732681336593289E-2</v>
      </c>
      <c r="Y452" s="755">
        <f t="shared" si="548"/>
        <v>-2.1445995056687761E-2</v>
      </c>
      <c r="Z452" s="755">
        <f t="shared" si="548"/>
        <v>-5.7377332361457145E-2</v>
      </c>
      <c r="AA452" s="755">
        <f t="shared" si="548"/>
        <v>1.6033217739968908E-2</v>
      </c>
      <c r="AB452" s="755">
        <f t="shared" si="548"/>
        <v>2.3051570987860259E-2</v>
      </c>
      <c r="AC452" s="755">
        <f t="shared" si="548"/>
        <v>1.0365659495404689E-2</v>
      </c>
      <c r="AD452" s="755">
        <f t="shared" si="548"/>
        <v>2.3216069734973699E-2</v>
      </c>
      <c r="AE452" s="755">
        <f t="shared" si="548"/>
        <v>2.4342258281555784E-2</v>
      </c>
      <c r="AF452" s="755">
        <f t="shared" si="548"/>
        <v>2.2861576203618617E-2</v>
      </c>
      <c r="AG452" s="755">
        <f t="shared" si="548"/>
        <v>2.4470354038376163E-2</v>
      </c>
      <c r="AH452" s="755">
        <f t="shared" si="548"/>
        <v>2.6029483080060034E-2</v>
      </c>
      <c r="AI452" s="755">
        <f t="shared" si="548"/>
        <v>2.7554299838665752E-2</v>
      </c>
      <c r="AJ452" s="755">
        <f t="shared" si="545"/>
        <v>3.0087782598040125E-2</v>
      </c>
      <c r="AK452" s="755">
        <f t="shared" si="546"/>
        <v>3.1231538263930325E-2</v>
      </c>
      <c r="AL452" s="755">
        <f t="shared" si="546"/>
        <v>-9.3035058690464578E-2</v>
      </c>
      <c r="AM452" s="313"/>
      <c r="AN452" s="313"/>
    </row>
    <row r="453" spans="1:40" outlineLevel="1"/>
    <row r="454" spans="1:40" outlineLevel="1"/>
    <row r="455" spans="1:40" outlineLevel="1">
      <c r="B455" s="280" t="s">
        <v>1126</v>
      </c>
      <c r="C455" s="22" t="s">
        <v>732</v>
      </c>
      <c r="D455" s="155"/>
      <c r="E455" s="155"/>
      <c r="F455" s="155"/>
      <c r="G455" s="155"/>
      <c r="H455" s="155"/>
      <c r="I455" s="155"/>
      <c r="J455" s="155"/>
      <c r="K455" s="155"/>
      <c r="L455" s="261"/>
      <c r="M455" s="261"/>
      <c r="N455" s="261"/>
      <c r="O455" s="261"/>
      <c r="P455" s="853"/>
      <c r="Q455" s="853"/>
      <c r="R455" s="853"/>
      <c r="S455" s="853"/>
      <c r="T455" s="853"/>
      <c r="U455" s="853"/>
      <c r="V455" s="853"/>
      <c r="W455" s="854">
        <f>'Revenue Assumptions'!AD1747</f>
        <v>745.04430000000013</v>
      </c>
      <c r="X455" s="854">
        <f>'Revenue Assumptions'!AE1747</f>
        <v>782.29651500000023</v>
      </c>
      <c r="Y455" s="854">
        <f>'Revenue Assumptions'!AF1747</f>
        <v>821.41134075000025</v>
      </c>
      <c r="Z455" s="854">
        <f>'Revenue Assumptions'!AG1747</f>
        <v>862.48190778750018</v>
      </c>
      <c r="AA455" s="854">
        <f>'Revenue Assumptions'!AH1747</f>
        <v>905.60600317687533</v>
      </c>
      <c r="AB455" s="854">
        <f>'Revenue Assumptions'!AI1747</f>
        <v>950.88630333571916</v>
      </c>
      <c r="AC455" s="854">
        <f>'Revenue Assumptions'!AJ1747</f>
        <v>998.43061850250513</v>
      </c>
      <c r="AD455" s="854">
        <f>'Revenue Assumptions'!AK1747</f>
        <v>1048.3521494276304</v>
      </c>
      <c r="AE455" s="854">
        <f>'Revenue Assumptions'!AL1747</f>
        <v>1100.769756899012</v>
      </c>
      <c r="AF455" s="854">
        <f>'Revenue Assumptions'!AM1747</f>
        <v>1155.8082447439626</v>
      </c>
      <c r="AG455" s="854">
        <f>'Revenue Assumptions'!AN1747</f>
        <v>1213.5986569811607</v>
      </c>
      <c r="AH455" s="854">
        <f>'Revenue Assumptions'!AO1747</f>
        <v>1274.2785898302188</v>
      </c>
      <c r="AI455" s="854">
        <f>'Revenue Assumptions'!AP1747</f>
        <v>1337.9925193217298</v>
      </c>
      <c r="AJ455" s="854">
        <f>'Revenue Assumptions'!AQ1747</f>
        <v>1337.9925193217298</v>
      </c>
      <c r="AK455" s="854">
        <f>'Revenue Assumptions'!AR1747</f>
        <v>1337.9925193217298</v>
      </c>
      <c r="AL455" s="854">
        <f>'Revenue Assumptions'!AS1747</f>
        <v>1337.9925193217298</v>
      </c>
    </row>
    <row r="456" spans="1:40" outlineLevel="1"/>
    <row r="457" spans="1:40" outlineLevel="1">
      <c r="A457" s="2"/>
      <c r="B457" s="281" t="s">
        <v>1127</v>
      </c>
      <c r="C457" s="282" t="s">
        <v>732</v>
      </c>
      <c r="D457" s="268"/>
      <c r="E457" s="268"/>
      <c r="F457" s="268"/>
      <c r="G457" s="268"/>
      <c r="H457" s="268"/>
      <c r="I457" s="268"/>
      <c r="J457" s="268"/>
      <c r="K457" s="268"/>
      <c r="L457" s="206">
        <f t="shared" ref="L457:AK457" si="549">L207</f>
        <v>238</v>
      </c>
      <c r="M457" s="206">
        <f t="shared" si="549"/>
        <v>219</v>
      </c>
      <c r="N457" s="206">
        <f t="shared" si="549"/>
        <v>128</v>
      </c>
      <c r="O457" s="206">
        <f t="shared" si="549"/>
        <v>224</v>
      </c>
      <c r="P457" s="206">
        <f t="shared" si="549"/>
        <v>162</v>
      </c>
      <c r="Q457" s="206">
        <f t="shared" si="549"/>
        <v>189</v>
      </c>
      <c r="R457" s="206">
        <f t="shared" si="549"/>
        <v>251</v>
      </c>
      <c r="S457" s="206">
        <f t="shared" si="549"/>
        <v>113</v>
      </c>
      <c r="T457" s="206">
        <f t="shared" si="549"/>
        <v>166</v>
      </c>
      <c r="U457" s="206">
        <f t="shared" si="549"/>
        <v>313</v>
      </c>
      <c r="V457" s="206">
        <f t="shared" si="549"/>
        <v>163</v>
      </c>
      <c r="W457" s="206">
        <f t="shared" si="549"/>
        <v>642</v>
      </c>
      <c r="X457" s="206">
        <f t="shared" si="549"/>
        <v>157</v>
      </c>
      <c r="Y457" s="206">
        <f t="shared" si="549"/>
        <v>253</v>
      </c>
      <c r="Z457" s="206">
        <f t="shared" si="549"/>
        <v>80</v>
      </c>
      <c r="AA457" s="206">
        <f t="shared" si="549"/>
        <v>80</v>
      </c>
      <c r="AB457" s="206">
        <f t="shared" si="549"/>
        <v>244</v>
      </c>
      <c r="AC457" s="206">
        <f t="shared" si="549"/>
        <v>150</v>
      </c>
      <c r="AD457" s="206">
        <f t="shared" si="549"/>
        <v>150</v>
      </c>
      <c r="AE457" s="206">
        <f t="shared" si="549"/>
        <v>150</v>
      </c>
      <c r="AF457" s="206">
        <f t="shared" si="549"/>
        <v>150</v>
      </c>
      <c r="AG457" s="206">
        <f t="shared" si="549"/>
        <v>150</v>
      </c>
      <c r="AH457" s="206">
        <f t="shared" si="549"/>
        <v>150</v>
      </c>
      <c r="AI457" s="206">
        <f t="shared" si="549"/>
        <v>150</v>
      </c>
      <c r="AJ457" s="206">
        <f t="shared" si="549"/>
        <v>150</v>
      </c>
      <c r="AK457" s="206">
        <f t="shared" si="549"/>
        <v>150</v>
      </c>
      <c r="AL457" s="206">
        <f t="shared" ref="AL457" si="550">AL207</f>
        <v>150</v>
      </c>
      <c r="AM457" s="2"/>
      <c r="AN457" s="2"/>
    </row>
    <row r="458" spans="1:40" outlineLevel="1"/>
    <row r="459" spans="1:40" outlineLevel="1"/>
  </sheetData>
  <dataConsolidate/>
  <phoneticPr fontId="10" type="noConversion"/>
  <printOptions horizontalCentered="1" verticalCentered="1"/>
  <pageMargins left="0.18" right="0.18" top="0.31" bottom="0.25" header="0.21" footer="0.19"/>
  <pageSetup paperSize="9" fitToHeight="0" orientation="portrait" r:id="rId1"/>
  <headerFooter alignWithMargins="0"/>
  <ignoredErrors>
    <ignoredError sqref="AD19:AK19 AC200:AK201 AC218:AK218 AG49:AK49 AD55:AK62 AD52:AK53 AE48:AK48" unlockedFormula="1"/>
  </ignoredError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outlinePr summaryBelow="0"/>
    <pageSetUpPr autoPageBreaks="0" fitToPage="1"/>
  </sheetPr>
  <dimension ref="A1:CA219"/>
  <sheetViews>
    <sheetView showGridLines="0" zoomScale="115" zoomScaleNormal="115" workbookViewId="0">
      <pane xSplit="3" ySplit="6" topLeftCell="W7" activePane="bottomRight" state="frozen"/>
      <selection activeCell="D7" sqref="D7"/>
      <selection pane="topRight" activeCell="D7" sqref="D7"/>
      <selection pane="bottomLeft" activeCell="D7" sqref="D7"/>
      <selection pane="bottomRight" activeCell="B4" sqref="B4:AH107"/>
    </sheetView>
  </sheetViews>
  <sheetFormatPr defaultColWidth="9.6640625" defaultRowHeight="13.8" outlineLevelRow="1" outlineLevelCol="1"/>
  <cols>
    <col min="1" max="1" width="2.6640625" customWidth="1"/>
    <col min="2" max="2" width="50.6640625" customWidth="1"/>
    <col min="3" max="3" width="9.6640625" customWidth="1"/>
    <col min="4" max="4" width="9.6640625" hidden="1" customWidth="1" outlineLevel="1" collapsed="1"/>
    <col min="5" max="8" width="9.6640625" hidden="1" customWidth="1" outlineLevel="1"/>
    <col min="9" max="9" width="9.6640625" hidden="1" customWidth="1" outlineLevel="1" collapsed="1"/>
    <col min="10" max="14" width="9.6640625" hidden="1" customWidth="1" outlineLevel="1"/>
    <col min="15" max="15" width="9.6640625" hidden="1" customWidth="1" outlineLevel="1" collapsed="1"/>
    <col min="16" max="18" width="9.6640625" hidden="1" customWidth="1" outlineLevel="1"/>
    <col min="19" max="19" width="9.6640625" hidden="1" customWidth="1" outlineLevel="1" collapsed="1"/>
    <col min="20" max="22" width="9.6640625" hidden="1" customWidth="1" outlineLevel="1"/>
    <col min="23" max="23" width="9.6640625" customWidth="1" collapsed="1"/>
    <col min="24" max="38" width="9.6640625" customWidth="1"/>
    <col min="42" max="66" width="9.6640625" hidden="1" customWidth="1" outlineLevel="1"/>
    <col min="67" max="67" width="9.6640625" customWidth="1" collapsed="1"/>
  </cols>
  <sheetData>
    <row r="1" spans="1:74">
      <c r="A1" s="472"/>
      <c r="B1" s="469"/>
      <c r="C1" s="485"/>
      <c r="D1" s="472"/>
      <c r="E1" s="477"/>
      <c r="F1" s="478"/>
      <c r="G1" s="469"/>
      <c r="H1" s="469"/>
      <c r="I1" s="469"/>
      <c r="J1" s="469"/>
      <c r="K1" s="472"/>
      <c r="L1" s="479"/>
      <c r="M1" s="469"/>
      <c r="N1" s="479"/>
      <c r="O1" s="479"/>
      <c r="P1" s="479"/>
      <c r="Q1" s="479"/>
      <c r="R1" s="479"/>
      <c r="S1" s="479"/>
      <c r="T1" s="479"/>
      <c r="U1" s="479"/>
      <c r="V1" s="479"/>
      <c r="W1" s="479"/>
      <c r="X1" s="479"/>
      <c r="Y1" s="479"/>
      <c r="Z1" s="479"/>
      <c r="AA1" s="479"/>
      <c r="AB1" s="479"/>
      <c r="AC1" s="479"/>
      <c r="AD1" s="479"/>
      <c r="AE1" s="479"/>
      <c r="AF1" s="479"/>
      <c r="AG1" s="479"/>
      <c r="AH1" s="479"/>
      <c r="AI1" s="479"/>
      <c r="AJ1" s="479"/>
      <c r="AK1" s="479"/>
      <c r="AL1" s="479"/>
      <c r="AM1" s="479"/>
      <c r="AN1" s="479"/>
      <c r="AO1" s="479"/>
      <c r="AP1" s="479"/>
      <c r="AQ1" s="479"/>
      <c r="AR1" s="479"/>
      <c r="AS1" s="479"/>
      <c r="AT1" s="479"/>
      <c r="AU1" s="479"/>
      <c r="AV1" s="479"/>
      <c r="AW1" s="479"/>
      <c r="AX1" s="479"/>
      <c r="AY1" s="479"/>
      <c r="AZ1" s="479"/>
      <c r="BA1" s="479"/>
      <c r="BB1" s="479"/>
      <c r="BC1" s="479"/>
      <c r="BD1" s="479"/>
      <c r="BE1" s="479"/>
      <c r="BF1" s="479"/>
      <c r="BG1" s="479"/>
      <c r="BH1" s="479"/>
      <c r="BI1" s="479"/>
      <c r="BJ1" s="479"/>
      <c r="BK1" s="479"/>
      <c r="BL1" s="479"/>
      <c r="BM1" s="479"/>
      <c r="BN1" s="479"/>
      <c r="BO1" s="479"/>
      <c r="BP1" s="479"/>
      <c r="BQ1" s="479"/>
      <c r="BR1" s="479"/>
      <c r="BS1" s="479"/>
      <c r="BT1" s="479"/>
      <c r="BU1" s="479"/>
      <c r="BV1" s="479"/>
    </row>
    <row r="2" spans="1:74" ht="23.4">
      <c r="A2" s="472"/>
      <c r="B2" s="475" t="s">
        <v>1368</v>
      </c>
      <c r="C2" s="472"/>
      <c r="D2" s="476"/>
      <c r="E2" s="476"/>
      <c r="F2" s="476"/>
      <c r="G2" s="476"/>
      <c r="H2" s="476"/>
      <c r="I2" s="476"/>
      <c r="J2" s="476"/>
      <c r="K2" s="476"/>
      <c r="L2" s="472"/>
      <c r="M2" s="477"/>
      <c r="N2" s="478"/>
      <c r="O2" s="469"/>
      <c r="P2" s="472"/>
      <c r="Q2" s="472"/>
      <c r="R2" s="472"/>
      <c r="S2" s="472"/>
      <c r="T2" s="472"/>
      <c r="U2" s="472"/>
      <c r="V2" s="472"/>
      <c r="W2" s="472"/>
      <c r="X2" s="472"/>
      <c r="Y2" s="472"/>
      <c r="Z2" s="472"/>
      <c r="AA2" s="479"/>
      <c r="AB2" s="479"/>
      <c r="AC2" s="479"/>
      <c r="AD2" s="479"/>
      <c r="AE2" s="479"/>
      <c r="AF2" s="479"/>
      <c r="AG2" s="479"/>
      <c r="AH2" s="479"/>
      <c r="AI2" s="479"/>
      <c r="AJ2" s="479"/>
      <c r="AK2" s="479"/>
      <c r="AL2" s="479"/>
      <c r="AM2" s="479"/>
      <c r="AN2" s="479"/>
      <c r="AO2" s="479"/>
      <c r="AP2" s="479"/>
      <c r="AQ2" s="479"/>
      <c r="AR2" s="479"/>
      <c r="AS2" s="479"/>
      <c r="AT2" s="479"/>
      <c r="AU2" s="479"/>
      <c r="AV2" s="479"/>
      <c r="AW2" s="479"/>
      <c r="AX2" s="479"/>
      <c r="AY2" s="479"/>
      <c r="AZ2" s="479"/>
      <c r="BA2" s="479"/>
      <c r="BB2" s="479"/>
      <c r="BC2" s="479"/>
      <c r="BD2" s="479"/>
      <c r="BE2" s="479"/>
      <c r="BF2" s="479"/>
      <c r="BG2" s="479"/>
      <c r="BH2" s="479"/>
      <c r="BI2" s="479"/>
      <c r="BJ2" s="479"/>
      <c r="BK2" s="479"/>
      <c r="BL2" s="479"/>
      <c r="BM2" s="479"/>
      <c r="BN2" s="479"/>
      <c r="BO2" s="479"/>
      <c r="BP2" s="479"/>
      <c r="BQ2" s="479"/>
      <c r="BR2" s="479"/>
      <c r="BS2" s="479"/>
      <c r="BT2" s="479"/>
      <c r="BU2" s="479"/>
      <c r="BV2" s="479"/>
    </row>
    <row r="3" spans="1:74" ht="18">
      <c r="A3" s="472"/>
      <c r="B3" s="480" t="str">
        <f ca="1">MID(CELL("filename",A1),FIND("]",CELL("filename",A1))+1,255)</f>
        <v>P&amp;L</v>
      </c>
      <c r="C3" s="490"/>
      <c r="D3" s="476"/>
      <c r="E3" s="476"/>
      <c r="F3" s="476"/>
      <c r="G3" s="476"/>
      <c r="H3" s="476"/>
      <c r="I3" s="476"/>
      <c r="J3" s="476"/>
      <c r="K3" s="476"/>
      <c r="L3" s="481"/>
      <c r="M3" s="469"/>
      <c r="N3" s="469"/>
      <c r="O3" s="469"/>
      <c r="P3" s="472"/>
      <c r="Q3" s="472"/>
      <c r="R3" s="472"/>
      <c r="S3" s="472"/>
      <c r="T3" s="472"/>
      <c r="U3" s="472"/>
      <c r="V3" s="472"/>
      <c r="W3" s="472"/>
      <c r="X3" s="472"/>
      <c r="Y3" s="472"/>
      <c r="Z3" s="472"/>
      <c r="AA3" s="472"/>
      <c r="AB3" s="472"/>
      <c r="AC3" s="472"/>
      <c r="AD3" s="472"/>
      <c r="AE3" s="472"/>
      <c r="AF3" s="472"/>
      <c r="AG3" s="472"/>
      <c r="AH3" s="472"/>
      <c r="AI3" s="472"/>
      <c r="AJ3" s="472"/>
      <c r="AK3" s="472"/>
      <c r="AL3" s="472"/>
      <c r="AM3" s="472"/>
      <c r="AN3" s="472"/>
      <c r="AO3" s="472"/>
      <c r="AP3" s="472"/>
      <c r="AQ3" s="472"/>
      <c r="AR3" s="472"/>
      <c r="AS3" s="472"/>
      <c r="AT3" s="472"/>
      <c r="AU3" s="472"/>
      <c r="AV3" s="472"/>
      <c r="AW3" s="472"/>
      <c r="AX3" s="472"/>
      <c r="AY3" s="472"/>
      <c r="AZ3" s="472"/>
      <c r="BA3" s="472"/>
      <c r="BB3" s="472"/>
      <c r="BC3" s="472"/>
      <c r="BD3" s="472"/>
      <c r="BE3" s="472"/>
      <c r="BF3" s="472"/>
      <c r="BG3" s="472"/>
      <c r="BH3" s="472"/>
      <c r="BI3" s="472"/>
      <c r="BJ3" s="472"/>
      <c r="BK3" s="472"/>
      <c r="BL3" s="472"/>
      <c r="BM3" s="472"/>
      <c r="BN3" s="472"/>
      <c r="BO3" s="472"/>
      <c r="BP3" s="472"/>
      <c r="BQ3" s="472"/>
      <c r="BR3" s="472"/>
      <c r="BS3" s="472"/>
      <c r="BT3" s="472"/>
      <c r="BU3" s="472"/>
      <c r="BV3" s="472"/>
    </row>
    <row r="4" spans="1:74" ht="14.4">
      <c r="A4" s="469"/>
      <c r="B4" s="489"/>
      <c r="C4" s="485"/>
      <c r="D4" s="488">
        <v>36707</v>
      </c>
      <c r="E4" s="488">
        <f>+EOMONTH(D4, 12)</f>
        <v>37072</v>
      </c>
      <c r="F4" s="488">
        <f t="shared" ref="F4:AI4" si="0">+EOMONTH(E4, 12)</f>
        <v>37437</v>
      </c>
      <c r="G4" s="488">
        <f t="shared" si="0"/>
        <v>37802</v>
      </c>
      <c r="H4" s="488">
        <f t="shared" si="0"/>
        <v>38168</v>
      </c>
      <c r="I4" s="488">
        <f t="shared" si="0"/>
        <v>38533</v>
      </c>
      <c r="J4" s="488">
        <f t="shared" si="0"/>
        <v>38898</v>
      </c>
      <c r="K4" s="488">
        <f t="shared" si="0"/>
        <v>39263</v>
      </c>
      <c r="L4" s="488">
        <f t="shared" si="0"/>
        <v>39629</v>
      </c>
      <c r="M4" s="488">
        <f t="shared" si="0"/>
        <v>39994</v>
      </c>
      <c r="N4" s="488">
        <f t="shared" si="0"/>
        <v>40359</v>
      </c>
      <c r="O4" s="488">
        <f t="shared" si="0"/>
        <v>40724</v>
      </c>
      <c r="P4" s="488">
        <f t="shared" si="0"/>
        <v>41090</v>
      </c>
      <c r="Q4" s="488">
        <f t="shared" si="0"/>
        <v>41455</v>
      </c>
      <c r="R4" s="488">
        <f t="shared" si="0"/>
        <v>41820</v>
      </c>
      <c r="S4" s="488">
        <f t="shared" si="0"/>
        <v>42185</v>
      </c>
      <c r="T4" s="488">
        <f t="shared" si="0"/>
        <v>42551</v>
      </c>
      <c r="U4" s="488">
        <f t="shared" si="0"/>
        <v>42916</v>
      </c>
      <c r="V4" s="488">
        <f t="shared" si="0"/>
        <v>43281</v>
      </c>
      <c r="W4" s="488">
        <f t="shared" si="0"/>
        <v>43646</v>
      </c>
      <c r="X4" s="488">
        <f t="shared" si="0"/>
        <v>44012</v>
      </c>
      <c r="Y4" s="488">
        <f t="shared" si="0"/>
        <v>44377</v>
      </c>
      <c r="Z4" s="488">
        <f t="shared" si="0"/>
        <v>44742</v>
      </c>
      <c r="AA4" s="488">
        <f t="shared" si="0"/>
        <v>45107</v>
      </c>
      <c r="AB4" s="488">
        <f t="shared" si="0"/>
        <v>45473</v>
      </c>
      <c r="AC4" s="488">
        <f t="shared" si="0"/>
        <v>45838</v>
      </c>
      <c r="AD4" s="488">
        <f t="shared" si="0"/>
        <v>46203</v>
      </c>
      <c r="AE4" s="488">
        <f t="shared" si="0"/>
        <v>46568</v>
      </c>
      <c r="AF4" s="488">
        <f t="shared" si="0"/>
        <v>46934</v>
      </c>
      <c r="AG4" s="488">
        <f t="shared" si="0"/>
        <v>47299</v>
      </c>
      <c r="AH4" s="488">
        <f t="shared" si="0"/>
        <v>47664</v>
      </c>
      <c r="AI4" s="488">
        <f t="shared" si="0"/>
        <v>48029</v>
      </c>
      <c r="AJ4" s="488">
        <f t="shared" ref="AJ4" si="1">+EOMONTH(AI4, 12)</f>
        <v>48395</v>
      </c>
      <c r="AK4" s="488">
        <f t="shared" ref="AK4:AL4" si="2">+EOMONTH(AJ4, 12)</f>
        <v>48760</v>
      </c>
      <c r="AL4" s="488">
        <f t="shared" si="2"/>
        <v>49125</v>
      </c>
      <c r="AM4" s="488"/>
      <c r="AN4" s="488"/>
      <c r="AO4" s="488"/>
      <c r="AP4" s="488"/>
      <c r="AQ4" s="488"/>
      <c r="AR4" s="488"/>
      <c r="AS4" s="488"/>
      <c r="AT4" s="488"/>
      <c r="AU4" s="488"/>
      <c r="AV4" s="488"/>
      <c r="AW4" s="488"/>
      <c r="AX4" s="488"/>
      <c r="AY4" s="488"/>
      <c r="AZ4" s="488"/>
      <c r="BA4" s="488"/>
      <c r="BB4" s="488"/>
      <c r="BC4" s="488"/>
      <c r="BD4" s="488"/>
      <c r="BE4" s="488"/>
      <c r="BF4" s="488"/>
      <c r="BG4" s="488"/>
      <c r="BH4" s="488"/>
      <c r="BI4" s="488"/>
      <c r="BJ4" s="488"/>
      <c r="BK4" s="488"/>
      <c r="BL4" s="488"/>
      <c r="BM4" s="488"/>
      <c r="BN4" s="488"/>
      <c r="BO4" s="488"/>
      <c r="BP4" s="488"/>
      <c r="BQ4" s="488"/>
      <c r="BR4" s="488"/>
      <c r="BS4" s="488"/>
      <c r="BT4" s="488"/>
      <c r="BU4" s="488"/>
      <c r="BV4" s="488"/>
    </row>
    <row r="5" spans="1:74">
      <c r="A5" s="472"/>
      <c r="B5" s="469" t="s">
        <v>1367</v>
      </c>
      <c r="C5" s="485" t="s">
        <v>184</v>
      </c>
      <c r="D5" s="491">
        <f>'Revenue Assumptions'!K5</f>
        <v>0</v>
      </c>
      <c r="E5" s="492">
        <f>'Revenue Assumptions'!L5</f>
        <v>1</v>
      </c>
      <c r="F5" s="492">
        <f>'Revenue Assumptions'!M5</f>
        <v>2</v>
      </c>
      <c r="G5" s="492">
        <f>'Revenue Assumptions'!N5</f>
        <v>3</v>
      </c>
      <c r="H5" s="492">
        <f>'Revenue Assumptions'!O5</f>
        <v>4</v>
      </c>
      <c r="I5" s="492">
        <f>'Revenue Assumptions'!P5</f>
        <v>5</v>
      </c>
      <c r="J5" s="492">
        <f>'Revenue Assumptions'!Q5</f>
        <v>6</v>
      </c>
      <c r="K5" s="492">
        <f>'Revenue Assumptions'!R5</f>
        <v>7</v>
      </c>
      <c r="L5" s="492">
        <f>'Revenue Assumptions'!S5</f>
        <v>8</v>
      </c>
      <c r="M5" s="492">
        <f>'Revenue Assumptions'!T5</f>
        <v>9</v>
      </c>
      <c r="N5" s="470">
        <f>'Revenue Assumptions'!U5</f>
        <v>10</v>
      </c>
      <c r="O5" s="470">
        <f>'Revenue Assumptions'!V5</f>
        <v>11</v>
      </c>
      <c r="P5" s="470">
        <f>'Revenue Assumptions'!W5</f>
        <v>12</v>
      </c>
      <c r="Q5" s="470">
        <f>'Revenue Assumptions'!X5</f>
        <v>13</v>
      </c>
      <c r="R5" s="470">
        <f>'Revenue Assumptions'!Y5</f>
        <v>14</v>
      </c>
      <c r="S5" s="470">
        <f>'Revenue Assumptions'!Z5</f>
        <v>15</v>
      </c>
      <c r="T5" s="470">
        <f>'Revenue Assumptions'!AA5</f>
        <v>16</v>
      </c>
      <c r="U5" s="470">
        <f>'Revenue Assumptions'!AB5</f>
        <v>17</v>
      </c>
      <c r="V5" s="470">
        <f>'Revenue Assumptions'!AC5</f>
        <v>18</v>
      </c>
      <c r="W5" s="470">
        <f>'Revenue Assumptions'!AD5</f>
        <v>19</v>
      </c>
      <c r="X5" s="470">
        <f>'Revenue Assumptions'!AE5</f>
        <v>20</v>
      </c>
      <c r="Y5" s="470">
        <f>'Revenue Assumptions'!AF5</f>
        <v>21</v>
      </c>
      <c r="Z5" s="470">
        <f>'Revenue Assumptions'!AG5</f>
        <v>22</v>
      </c>
      <c r="AA5" s="470">
        <f>'Revenue Assumptions'!AH5</f>
        <v>23</v>
      </c>
      <c r="AB5" s="470">
        <f>'Revenue Assumptions'!AI5</f>
        <v>24</v>
      </c>
      <c r="AC5" s="470">
        <f>'Revenue Assumptions'!AJ5</f>
        <v>25</v>
      </c>
      <c r="AD5" s="471">
        <f>'Revenue Assumptions'!AK5</f>
        <v>26</v>
      </c>
      <c r="AE5" s="471">
        <f>'Revenue Assumptions'!AL5</f>
        <v>27</v>
      </c>
      <c r="AF5" s="471">
        <f>'Revenue Assumptions'!AM5</f>
        <v>28</v>
      </c>
      <c r="AG5" s="471">
        <f>'Revenue Assumptions'!AN5</f>
        <v>29</v>
      </c>
      <c r="AH5" s="471">
        <f>'Revenue Assumptions'!AO5</f>
        <v>30</v>
      </c>
      <c r="AI5" s="471">
        <f>'Revenue Assumptions'!AP5</f>
        <v>31</v>
      </c>
      <c r="AJ5" s="471">
        <f>'Revenue Assumptions'!AQ5</f>
        <v>32</v>
      </c>
      <c r="AK5" s="471">
        <f>'Revenue Assumptions'!AR5</f>
        <v>33</v>
      </c>
      <c r="AL5" s="471">
        <f>'Revenue Assumptions'!AS5</f>
        <v>34</v>
      </c>
      <c r="AM5" s="471"/>
      <c r="AN5" s="471"/>
      <c r="AO5" s="471"/>
      <c r="AP5" s="471" t="s">
        <v>959</v>
      </c>
      <c r="AQ5" s="471" t="s">
        <v>958</v>
      </c>
      <c r="AR5" s="1134" t="s">
        <v>52</v>
      </c>
      <c r="AS5" s="471" t="s">
        <v>1009</v>
      </c>
      <c r="AT5" s="471" t="s">
        <v>1010</v>
      </c>
      <c r="AU5" s="1134" t="s">
        <v>53</v>
      </c>
      <c r="AV5" s="471" t="s">
        <v>1011</v>
      </c>
      <c r="AW5" s="471" t="s">
        <v>1012</v>
      </c>
      <c r="AX5" s="1134" t="s">
        <v>54</v>
      </c>
      <c r="AY5" s="471" t="s">
        <v>1208</v>
      </c>
      <c r="AZ5" s="471" t="s">
        <v>1207</v>
      </c>
      <c r="BA5" s="1134" t="s">
        <v>286</v>
      </c>
      <c r="BB5" s="1134" t="s">
        <v>1429</v>
      </c>
      <c r="BC5" s="1134" t="s">
        <v>1430</v>
      </c>
      <c r="BD5" s="1134" t="s">
        <v>287</v>
      </c>
      <c r="BE5" s="1134" t="s">
        <v>1473</v>
      </c>
      <c r="BF5" s="1134" t="s">
        <v>1474</v>
      </c>
      <c r="BG5" s="471">
        <f t="shared" ref="BG5:BN5" si="3">AA5</f>
        <v>23</v>
      </c>
      <c r="BH5" s="471">
        <f t="shared" si="3"/>
        <v>24</v>
      </c>
      <c r="BI5" s="471">
        <f t="shared" si="3"/>
        <v>25</v>
      </c>
      <c r="BJ5" s="471">
        <f t="shared" si="3"/>
        <v>26</v>
      </c>
      <c r="BK5" s="471">
        <f t="shared" si="3"/>
        <v>27</v>
      </c>
      <c r="BL5" s="471">
        <f t="shared" si="3"/>
        <v>28</v>
      </c>
      <c r="BM5" s="471">
        <f t="shared" si="3"/>
        <v>29</v>
      </c>
      <c r="BN5" s="471">
        <f t="shared" si="3"/>
        <v>30</v>
      </c>
      <c r="BO5" s="471"/>
      <c r="BP5" s="471"/>
      <c r="BQ5" s="471"/>
      <c r="BR5" s="471"/>
      <c r="BS5" s="471"/>
      <c r="BT5" s="471"/>
      <c r="BU5" s="471"/>
      <c r="BV5" s="471"/>
    </row>
    <row r="6" spans="1:74">
      <c r="A6" s="472"/>
      <c r="B6" s="472"/>
      <c r="C6" s="472"/>
      <c r="D6" s="472"/>
      <c r="E6" s="472"/>
      <c r="F6" s="472"/>
      <c r="G6" s="472"/>
      <c r="H6" s="472"/>
      <c r="I6" s="472"/>
      <c r="J6" s="472"/>
      <c r="K6" s="472"/>
      <c r="L6" s="472"/>
      <c r="M6" s="472"/>
      <c r="N6" s="472"/>
      <c r="O6" s="472"/>
      <c r="P6" s="472"/>
      <c r="Q6" s="472"/>
      <c r="R6" s="472"/>
      <c r="S6" s="472"/>
      <c r="T6" s="472"/>
      <c r="U6" s="472"/>
      <c r="V6" s="472"/>
      <c r="W6" s="472"/>
      <c r="X6" s="472"/>
      <c r="Y6" s="472"/>
      <c r="Z6" s="472"/>
      <c r="AA6" s="472"/>
      <c r="AB6" s="472"/>
      <c r="AC6" s="472"/>
      <c r="AD6" s="472"/>
      <c r="AE6" s="472"/>
      <c r="AF6" s="472"/>
      <c r="AG6" s="472"/>
      <c r="AH6" s="472"/>
      <c r="AI6" s="472"/>
      <c r="AJ6" s="472"/>
      <c r="AK6" s="472"/>
      <c r="AL6" s="472"/>
      <c r="AM6" s="472"/>
      <c r="AN6" s="472"/>
      <c r="AO6" s="472"/>
      <c r="AP6" s="472"/>
      <c r="AQ6" s="472"/>
      <c r="AR6" s="472"/>
      <c r="AS6" s="472"/>
      <c r="AT6" s="472"/>
      <c r="AU6" s="472"/>
      <c r="AV6" s="472"/>
      <c r="AW6" s="472"/>
      <c r="AX6" s="472"/>
      <c r="AY6" s="472"/>
      <c r="AZ6" s="472"/>
      <c r="BA6" s="472"/>
      <c r="BB6" s="472"/>
      <c r="BC6" s="472"/>
      <c r="BD6" s="472"/>
      <c r="BE6" s="472"/>
      <c r="BF6" s="472"/>
      <c r="BG6" s="472"/>
      <c r="BH6" s="472"/>
      <c r="BI6" s="472"/>
      <c r="BJ6" s="472"/>
      <c r="BK6" s="472"/>
      <c r="BL6" s="472"/>
      <c r="BM6" s="472"/>
      <c r="BN6" s="472"/>
      <c r="BO6" s="472"/>
      <c r="BP6" s="472"/>
      <c r="BQ6" s="472"/>
      <c r="BR6" s="472"/>
      <c r="BS6" s="472"/>
      <c r="BT6" s="472"/>
      <c r="BU6" s="472"/>
      <c r="BV6" s="472"/>
    </row>
    <row r="7" spans="1:74">
      <c r="A7" s="2"/>
      <c r="B7" s="6"/>
      <c r="C7" s="21"/>
      <c r="D7" s="34"/>
      <c r="E7" s="34"/>
      <c r="F7" s="34"/>
      <c r="G7" s="34"/>
      <c r="H7" s="34"/>
      <c r="I7" s="34"/>
      <c r="J7" s="34"/>
      <c r="K7" s="34"/>
      <c r="L7" s="43"/>
      <c r="M7" s="34"/>
      <c r="N7" s="34"/>
      <c r="O7" s="34"/>
      <c r="P7" s="34"/>
      <c r="Q7" s="34"/>
      <c r="R7" s="34"/>
      <c r="S7" s="34"/>
      <c r="T7" s="34"/>
      <c r="U7" s="34"/>
      <c r="V7" s="34"/>
      <c r="W7" s="34"/>
      <c r="X7" s="34"/>
      <c r="Y7" s="34"/>
      <c r="Z7" s="34"/>
      <c r="AA7" s="1195"/>
      <c r="AB7" s="34"/>
      <c r="AC7" s="2"/>
      <c r="AD7" s="2"/>
      <c r="AE7" s="2"/>
      <c r="AF7" s="2"/>
      <c r="AG7" s="2"/>
      <c r="AH7" s="2"/>
      <c r="AI7" s="2"/>
      <c r="AJ7" s="2"/>
      <c r="AK7" s="2"/>
      <c r="AL7" s="2"/>
      <c r="AP7" s="2"/>
      <c r="AQ7" s="2"/>
      <c r="AR7" s="2"/>
      <c r="AS7" s="2"/>
      <c r="AT7" s="2"/>
      <c r="AU7" s="2"/>
      <c r="AV7" s="2"/>
      <c r="AW7" s="2"/>
      <c r="AX7" s="2"/>
      <c r="AY7" s="2"/>
      <c r="AZ7" s="2"/>
      <c r="BA7" s="2"/>
      <c r="BB7" s="2"/>
      <c r="BC7" s="2"/>
      <c r="BD7" s="2"/>
      <c r="BE7" s="2"/>
      <c r="BF7" s="2"/>
      <c r="BG7" s="2"/>
      <c r="BH7" s="2"/>
      <c r="BI7" s="2"/>
      <c r="BJ7" s="2"/>
      <c r="BK7" s="2"/>
      <c r="BL7" s="2"/>
      <c r="BM7" s="2"/>
      <c r="BN7" s="2"/>
    </row>
    <row r="8" spans="1:74">
      <c r="A8" s="2"/>
      <c r="B8" s="6" t="s">
        <v>731</v>
      </c>
      <c r="C8" s="21"/>
      <c r="D8" s="30"/>
      <c r="E8" s="30"/>
      <c r="F8" s="30"/>
      <c r="G8" s="30"/>
      <c r="H8" s="30"/>
      <c r="I8" s="30"/>
      <c r="J8" s="30"/>
      <c r="K8" s="30"/>
      <c r="L8" s="43"/>
      <c r="M8" s="34"/>
      <c r="N8" s="34"/>
      <c r="O8" s="34"/>
      <c r="P8" s="60"/>
      <c r="Q8" s="34"/>
      <c r="R8" s="34"/>
      <c r="S8" s="34"/>
      <c r="T8" s="34"/>
      <c r="U8" s="34"/>
      <c r="V8" s="34"/>
      <c r="W8" s="34"/>
      <c r="X8" s="30"/>
      <c r="Y8" s="30"/>
      <c r="Z8" s="30"/>
      <c r="AA8" s="30"/>
      <c r="AB8" s="30"/>
      <c r="AC8" s="2"/>
      <c r="AD8" s="2"/>
      <c r="AE8" s="2"/>
      <c r="AF8" s="2"/>
      <c r="AG8" s="2"/>
      <c r="AH8" s="2"/>
      <c r="AI8" s="2"/>
      <c r="AJ8" s="2"/>
      <c r="AK8" s="2"/>
      <c r="AL8" s="2"/>
      <c r="AP8" s="2"/>
      <c r="AQ8" s="2"/>
      <c r="AR8" s="2"/>
      <c r="AS8" s="2"/>
      <c r="AT8" s="2"/>
      <c r="AU8" s="2"/>
      <c r="AV8" s="2"/>
      <c r="AW8" s="2"/>
      <c r="AX8" s="2"/>
      <c r="AY8" s="2"/>
      <c r="AZ8" s="2"/>
      <c r="BA8" s="2"/>
      <c r="BB8" s="2"/>
      <c r="BC8" s="2"/>
      <c r="BD8" s="2"/>
      <c r="BE8" s="2"/>
      <c r="BF8" s="2"/>
      <c r="BG8" s="2"/>
      <c r="BH8" s="2"/>
      <c r="BI8" s="2"/>
      <c r="BJ8" s="2"/>
      <c r="BK8" s="2"/>
      <c r="BL8" s="2"/>
      <c r="BM8" s="2"/>
      <c r="BN8" s="2"/>
    </row>
    <row r="9" spans="1:74">
      <c r="A9" s="2"/>
      <c r="B9" s="164" t="s">
        <v>266</v>
      </c>
      <c r="C9" s="926" t="s">
        <v>732</v>
      </c>
      <c r="D9" s="149"/>
      <c r="E9" s="149"/>
      <c r="F9" s="149"/>
      <c r="G9" s="149"/>
      <c r="H9" s="149"/>
      <c r="I9" s="149"/>
      <c r="J9" s="149"/>
      <c r="K9" s="149"/>
      <c r="L9" s="149"/>
      <c r="M9" s="149"/>
      <c r="N9" s="149"/>
      <c r="O9" s="256"/>
      <c r="P9" s="256"/>
      <c r="Q9" s="256"/>
      <c r="R9" s="256"/>
      <c r="S9" s="256"/>
      <c r="T9" s="256"/>
      <c r="U9" s="256"/>
      <c r="V9" s="256">
        <f>+'Revenue Assumptions'!AC23</f>
        <v>10508</v>
      </c>
      <c r="W9" s="248">
        <f>+'Revenue Assumptions'!AD23</f>
        <v>10649</v>
      </c>
      <c r="X9" s="248">
        <f>+'Revenue Assumptions'!AE23</f>
        <v>10130</v>
      </c>
      <c r="Y9" s="248">
        <f>+'Revenue Assumptions'!AF23</f>
        <v>9310</v>
      </c>
      <c r="Z9" s="248">
        <f>+'Revenue Assumptions'!AG23</f>
        <v>9470</v>
      </c>
      <c r="AA9" s="248">
        <f>+'Revenue Assumptions'!AH23</f>
        <v>10258</v>
      </c>
      <c r="AB9" s="248">
        <f>+'Revenue Assumptions'!AI23</f>
        <v>10722</v>
      </c>
      <c r="AC9" s="248">
        <f>+'Revenue Assumptions'!AJ23</f>
        <v>11015</v>
      </c>
      <c r="AD9" s="248">
        <f>+'Revenue Assumptions'!AK23</f>
        <v>11520.457886304279</v>
      </c>
      <c r="AE9" s="248">
        <f>+'Revenue Assumptions'!AL23</f>
        <v>12044.693704684087</v>
      </c>
      <c r="AF9" s="248">
        <f>+'Revenue Assumptions'!AM23</f>
        <v>12605.381763112948</v>
      </c>
      <c r="AG9" s="248">
        <f>+'Revenue Assumptions'!AN23</f>
        <v>13205.718063253855</v>
      </c>
      <c r="AH9" s="248">
        <f>+'Revenue Assumptions'!AO23</f>
        <v>13849.030868798302</v>
      </c>
      <c r="AI9" s="248">
        <f>+'Revenue Assumptions'!AP23</f>
        <v>14539.011279591889</v>
      </c>
      <c r="AJ9" s="248">
        <f>+'Revenue Assumptions'!AQ23</f>
        <v>15279.756679914697</v>
      </c>
      <c r="AK9" s="248">
        <f>+'Revenue Assumptions'!AR23</f>
        <v>16075.819804879795</v>
      </c>
      <c r="AL9" s="248">
        <f>+'Revenue Assumptions'!AS23</f>
        <v>16932.264177371908</v>
      </c>
      <c r="AP9" s="530">
        <v>5236</v>
      </c>
      <c r="AQ9" s="8">
        <f>AR9-AP9</f>
        <v>5272</v>
      </c>
      <c r="AR9" s="8">
        <f>V9</f>
        <v>10508</v>
      </c>
      <c r="AS9" s="530">
        <v>5348</v>
      </c>
      <c r="AT9" s="8">
        <f>AU9-AS9</f>
        <v>5301</v>
      </c>
      <c r="AU9" s="8">
        <f>W9</f>
        <v>10649</v>
      </c>
      <c r="AV9" s="530">
        <v>5355</v>
      </c>
      <c r="AW9" s="8">
        <f>AX9-AV9</f>
        <v>4775</v>
      </c>
      <c r="AX9" s="8">
        <f>X9</f>
        <v>10130</v>
      </c>
      <c r="AY9" s="530">
        <v>4710</v>
      </c>
      <c r="AZ9" s="8">
        <f>BA9-AY9</f>
        <v>4600</v>
      </c>
      <c r="BA9" s="8">
        <f>Y9</f>
        <v>9310</v>
      </c>
      <c r="BB9" s="530">
        <v>4683</v>
      </c>
      <c r="BC9" s="8">
        <f>BD9-BB9</f>
        <v>4787</v>
      </c>
      <c r="BD9" s="8">
        <f t="shared" ref="BD9:BD16" si="4">Z9</f>
        <v>9470</v>
      </c>
      <c r="BE9" s="530">
        <v>5130</v>
      </c>
      <c r="BF9" s="8">
        <f>BG9-BE9</f>
        <v>5128</v>
      </c>
      <c r="BG9" s="2">
        <f t="shared" ref="BG9:BG16" si="5">AA9</f>
        <v>10258</v>
      </c>
      <c r="BH9" s="2"/>
      <c r="BI9" s="2"/>
      <c r="BJ9" s="2"/>
      <c r="BK9" s="2"/>
      <c r="BL9" s="2"/>
      <c r="BM9" s="2"/>
      <c r="BN9" s="2"/>
    </row>
    <row r="10" spans="1:74" collapsed="1">
      <c r="A10" s="2"/>
      <c r="B10" s="510" t="s">
        <v>1250</v>
      </c>
      <c r="C10" s="926" t="s">
        <v>732</v>
      </c>
      <c r="D10" s="149"/>
      <c r="E10" s="149"/>
      <c r="F10" s="149"/>
      <c r="G10" s="149"/>
      <c r="H10" s="149"/>
      <c r="I10" s="149"/>
      <c r="J10" s="149"/>
      <c r="K10" s="149"/>
      <c r="L10" s="149"/>
      <c r="M10" s="149"/>
      <c r="N10" s="149"/>
      <c r="O10" s="256"/>
      <c r="P10" s="256"/>
      <c r="Q10" s="256"/>
      <c r="R10" s="256"/>
      <c r="S10" s="256"/>
      <c r="T10" s="256"/>
      <c r="U10" s="256"/>
      <c r="V10" s="256">
        <f>+'Revenue Assumptions'!AC33</f>
        <v>5811</v>
      </c>
      <c r="W10" s="248">
        <f>+'Revenue Assumptions'!AD33</f>
        <v>5485</v>
      </c>
      <c r="X10" s="248">
        <f>+'Revenue Assumptions'!AE33</f>
        <v>5083</v>
      </c>
      <c r="Y10" s="248">
        <f>+'Revenue Assumptions'!AF33</f>
        <v>4736</v>
      </c>
      <c r="Z10" s="248">
        <f>+'Revenue Assumptions'!AG33</f>
        <v>4486</v>
      </c>
      <c r="AA10" s="248">
        <f>+'Revenue Assumptions'!AH33</f>
        <v>4457</v>
      </c>
      <c r="AB10" s="248">
        <f>+'Revenue Assumptions'!AI33</f>
        <v>4355</v>
      </c>
      <c r="AC10" s="248">
        <f>+'Revenue Assumptions'!AJ33</f>
        <v>4299</v>
      </c>
      <c r="AD10" s="248">
        <f>+'Revenue Assumptions'!AK33</f>
        <v>4325.3584436216579</v>
      </c>
      <c r="AE10" s="248">
        <f>+'Revenue Assumptions'!AL33</f>
        <v>4387.0258691284025</v>
      </c>
      <c r="AF10" s="248">
        <f>+'Revenue Assumptions'!AM33</f>
        <v>4484.790945331737</v>
      </c>
      <c r="AG10" s="248">
        <f>+'Revenue Assumptions'!AN33</f>
        <v>4621.0371563987828</v>
      </c>
      <c r="AH10" s="248">
        <f>+'Revenue Assumptions'!AO33</f>
        <v>4799.8826558018109</v>
      </c>
      <c r="AI10" s="248">
        <f>+'Revenue Assumptions'!AP33</f>
        <v>5027.40210760643</v>
      </c>
      <c r="AJ10" s="248">
        <f>+'Revenue Assumptions'!AQ33</f>
        <v>5311.9422068170288</v>
      </c>
      <c r="AK10" s="248">
        <f>+'Revenue Assumptions'!AR33</f>
        <v>5664.5470927074884</v>
      </c>
      <c r="AL10" s="248">
        <f>+'Revenue Assumptions'!AS33</f>
        <v>5940.5152161880178</v>
      </c>
      <c r="AP10" s="530">
        <v>2976</v>
      </c>
      <c r="AQ10" s="8">
        <f t="shared" ref="AQ10:AQ19" si="6">AR10-AP10</f>
        <v>2835</v>
      </c>
      <c r="AR10" s="8">
        <f t="shared" ref="AR10:AR21" si="7">V10</f>
        <v>5811</v>
      </c>
      <c r="AS10" s="530">
        <v>2794</v>
      </c>
      <c r="AT10" s="8">
        <f t="shared" ref="AT10:AT19" si="8">AU10-AS10</f>
        <v>2691</v>
      </c>
      <c r="AU10" s="8">
        <f t="shared" ref="AU10:AU21" si="9">W10</f>
        <v>5485</v>
      </c>
      <c r="AV10" s="530">
        <v>2623</v>
      </c>
      <c r="AW10" s="8">
        <f t="shared" ref="AW10:AW19" si="10">AX10-AV10</f>
        <v>2460</v>
      </c>
      <c r="AX10" s="8">
        <f t="shared" ref="AX10:AX19" si="11">X10</f>
        <v>5083</v>
      </c>
      <c r="AY10" s="530">
        <v>2426</v>
      </c>
      <c r="AZ10" s="8">
        <f t="shared" ref="AZ10:AZ19" si="12">BA10-AY10</f>
        <v>2310</v>
      </c>
      <c r="BA10" s="8">
        <f>Y10</f>
        <v>4736</v>
      </c>
      <c r="BB10" s="530">
        <v>2260</v>
      </c>
      <c r="BC10" s="8">
        <f t="shared" ref="BC10:BC19" si="13">BD10-BB10</f>
        <v>2226</v>
      </c>
      <c r="BD10" s="8">
        <f t="shared" si="4"/>
        <v>4486</v>
      </c>
      <c r="BE10" s="530">
        <v>2264</v>
      </c>
      <c r="BF10" s="8">
        <f t="shared" ref="BF10:BF16" si="14">BG10-BE10</f>
        <v>2193</v>
      </c>
      <c r="BG10" s="2">
        <f t="shared" si="5"/>
        <v>4457</v>
      </c>
      <c r="BH10" s="2"/>
      <c r="BI10" s="2"/>
      <c r="BJ10" s="2"/>
      <c r="BK10" s="2"/>
      <c r="BL10" s="2"/>
      <c r="BM10" s="2"/>
      <c r="BN10" s="2"/>
      <c r="BQ10" s="927"/>
    </row>
    <row r="11" spans="1:74" hidden="1" outlineLevel="1">
      <c r="A11" s="2"/>
      <c r="B11" s="872" t="s">
        <v>1322</v>
      </c>
      <c r="C11" s="926" t="s">
        <v>732</v>
      </c>
      <c r="D11" s="149"/>
      <c r="E11" s="149"/>
      <c r="F11" s="149"/>
      <c r="G11" s="149"/>
      <c r="H11" s="149"/>
      <c r="I11" s="149"/>
      <c r="J11" s="149"/>
      <c r="K11" s="149"/>
      <c r="L11" s="149"/>
      <c r="M11" s="149"/>
      <c r="N11" s="149"/>
      <c r="O11" s="256"/>
      <c r="P11" s="256"/>
      <c r="Q11" s="256"/>
      <c r="R11" s="256"/>
      <c r="S11" s="256"/>
      <c r="T11" s="256"/>
      <c r="U11" s="256"/>
      <c r="V11" s="256">
        <f>+'Revenue Assumptions'!AC37</f>
        <v>1366</v>
      </c>
      <c r="W11" s="248">
        <f>+'Revenue Assumptions'!AD37</f>
        <v>1281</v>
      </c>
      <c r="X11" s="248">
        <f>+'Revenue Assumptions'!AE37</f>
        <v>1193</v>
      </c>
      <c r="Y11" s="248">
        <f>+'Revenue Assumptions'!AF37</f>
        <v>1103</v>
      </c>
      <c r="Z11" s="248">
        <f>+'Revenue Assumptions'!AG37</f>
        <v>956</v>
      </c>
      <c r="AA11" s="248">
        <f>+'Revenue Assumptions'!AH37</f>
        <v>801.00954000000002</v>
      </c>
      <c r="AB11" s="248">
        <f>+'Revenue Assumptions'!AI37</f>
        <v>748</v>
      </c>
      <c r="AC11" s="248">
        <f>+'Revenue Assumptions'!AJ37</f>
        <v>679</v>
      </c>
      <c r="AD11" s="248">
        <f>+'Revenue Assumptions'!AK37</f>
        <v>897.31263085714272</v>
      </c>
      <c r="AE11" s="248">
        <f>+'Revenue Assumptions'!AL37</f>
        <v>811.07739100853416</v>
      </c>
      <c r="AF11" s="248">
        <f>+'Revenue Assumptions'!AM37</f>
        <v>733.12969369083089</v>
      </c>
      <c r="AG11" s="248">
        <f>+'Revenue Assumptions'!AN37</f>
        <v>662.673073777686</v>
      </c>
      <c r="AH11" s="248">
        <f>+'Revenue Assumptions'!AO37</f>
        <v>598.98760954450586</v>
      </c>
      <c r="AI11" s="248">
        <f>+'Revenue Assumptions'!AP37</f>
        <v>541.42256654931964</v>
      </c>
      <c r="AJ11" s="248">
        <f>+'Revenue Assumptions'!AQ37</f>
        <v>489.38974846535882</v>
      </c>
      <c r="AK11" s="248">
        <f>+'Revenue Assumptions'!AR37</f>
        <v>442.35748692453217</v>
      </c>
      <c r="AL11" s="248">
        <f>+'Revenue Assumptions'!AS37</f>
        <v>399.84520896035639</v>
      </c>
      <c r="AP11" s="530">
        <v>692</v>
      </c>
      <c r="AQ11" s="8">
        <f t="shared" si="6"/>
        <v>674</v>
      </c>
      <c r="AR11" s="8">
        <f t="shared" si="7"/>
        <v>1366</v>
      </c>
      <c r="AS11" s="530">
        <v>656</v>
      </c>
      <c r="AT11" s="8">
        <f t="shared" si="8"/>
        <v>625</v>
      </c>
      <c r="AU11" s="8">
        <f t="shared" si="9"/>
        <v>1281</v>
      </c>
      <c r="AV11" s="530">
        <v>607</v>
      </c>
      <c r="AW11" s="8">
        <f t="shared" si="10"/>
        <v>586</v>
      </c>
      <c r="AX11" s="8">
        <f t="shared" si="11"/>
        <v>1193</v>
      </c>
      <c r="AY11" s="530">
        <v>563</v>
      </c>
      <c r="AZ11" s="8">
        <f t="shared" si="12"/>
        <v>540</v>
      </c>
      <c r="BA11" s="8">
        <f t="shared" ref="BA11:BA19" si="15">Y11</f>
        <v>1103</v>
      </c>
      <c r="BB11" s="530">
        <v>494</v>
      </c>
      <c r="BC11" s="8">
        <f t="shared" si="13"/>
        <v>462</v>
      </c>
      <c r="BD11" s="8">
        <f t="shared" si="4"/>
        <v>956</v>
      </c>
      <c r="BE11" s="530">
        <v>423</v>
      </c>
      <c r="BF11" s="8">
        <f t="shared" si="14"/>
        <v>378.00954000000002</v>
      </c>
      <c r="BG11" s="2">
        <f t="shared" si="5"/>
        <v>801.00954000000002</v>
      </c>
      <c r="BH11" s="2"/>
      <c r="BI11" s="2"/>
      <c r="BJ11" s="2"/>
      <c r="BK11" s="2"/>
      <c r="BL11" s="2"/>
      <c r="BM11" s="2"/>
      <c r="BN11" s="2"/>
    </row>
    <row r="12" spans="1:74" hidden="1" outlineLevel="1">
      <c r="A12" s="2"/>
      <c r="B12" s="872" t="s">
        <v>1323</v>
      </c>
      <c r="C12" s="926" t="s">
        <v>732</v>
      </c>
      <c r="D12" s="149"/>
      <c r="E12" s="149"/>
      <c r="F12" s="149"/>
      <c r="G12" s="149"/>
      <c r="H12" s="149"/>
      <c r="I12" s="149"/>
      <c r="J12" s="149"/>
      <c r="K12" s="149"/>
      <c r="L12" s="149"/>
      <c r="M12" s="149"/>
      <c r="N12" s="149"/>
      <c r="O12" s="256"/>
      <c r="P12" s="256"/>
      <c r="Q12" s="256"/>
      <c r="R12" s="256"/>
      <c r="S12" s="256"/>
      <c r="T12" s="256"/>
      <c r="U12" s="256"/>
      <c r="V12" s="256">
        <f>+'Revenue Assumptions'!AC44</f>
        <v>3228</v>
      </c>
      <c r="W12" s="248">
        <f>+'Revenue Assumptions'!AD44</f>
        <v>3124</v>
      </c>
      <c r="X12" s="248">
        <f>+'Revenue Assumptions'!AE44</f>
        <v>2913</v>
      </c>
      <c r="Y12" s="248">
        <f>+'Revenue Assumptions'!AF44</f>
        <v>2621</v>
      </c>
      <c r="Z12" s="248">
        <f>+'Revenue Assumptions'!AG44</f>
        <v>2773</v>
      </c>
      <c r="AA12" s="248">
        <f>+'Revenue Assumptions'!AH44</f>
        <v>2835</v>
      </c>
      <c r="AB12" s="248">
        <f>+'Revenue Assumptions'!AI44</f>
        <v>2789</v>
      </c>
      <c r="AC12" s="248">
        <f>+'Revenue Assumptions'!AJ44</f>
        <v>2766</v>
      </c>
      <c r="AD12" s="248">
        <f>+'Revenue Assumptions'!AK44</f>
        <v>2814.5073668137229</v>
      </c>
      <c r="AE12" s="248">
        <f>+'Revenue Assumptions'!AL44</f>
        <v>2870.9978400065002</v>
      </c>
      <c r="AF12" s="248">
        <f>+'Revenue Assumptions'!AM44</f>
        <v>2949.7276744566711</v>
      </c>
      <c r="AG12" s="248">
        <f>+'Revenue Assumptions'!AN44</f>
        <v>3047.8040873071795</v>
      </c>
      <c r="AH12" s="248">
        <f>+'Revenue Assumptions'!AO44</f>
        <v>3163.2287770390867</v>
      </c>
      <c r="AI12" s="248">
        <f>+'Revenue Assumptions'!AP44</f>
        <v>3294.6827319744143</v>
      </c>
      <c r="AJ12" s="248">
        <f>+'Revenue Assumptions'!AQ44</f>
        <v>3441.366712710796</v>
      </c>
      <c r="AK12" s="248">
        <f>+'Revenue Assumptions'!AR44</f>
        <v>3602.8832924188291</v>
      </c>
      <c r="AL12" s="248">
        <f>+'Revenue Assumptions'!AS44</f>
        <v>3779.149940722536</v>
      </c>
      <c r="AP12" s="530">
        <v>1462</v>
      </c>
      <c r="AQ12" s="8">
        <f t="shared" si="6"/>
        <v>1766</v>
      </c>
      <c r="AR12" s="8">
        <f t="shared" si="7"/>
        <v>3228</v>
      </c>
      <c r="AS12" s="530">
        <v>1452</v>
      </c>
      <c r="AT12" s="8">
        <f t="shared" si="8"/>
        <v>1672</v>
      </c>
      <c r="AU12" s="8">
        <f t="shared" si="9"/>
        <v>3124</v>
      </c>
      <c r="AV12" s="530">
        <v>1371</v>
      </c>
      <c r="AW12" s="8">
        <f t="shared" si="10"/>
        <v>1542</v>
      </c>
      <c r="AX12" s="8">
        <f t="shared" si="11"/>
        <v>2913</v>
      </c>
      <c r="AY12" s="530">
        <v>1289</v>
      </c>
      <c r="AZ12" s="8">
        <f t="shared" si="12"/>
        <v>1332</v>
      </c>
      <c r="BA12" s="8">
        <f t="shared" si="15"/>
        <v>2621</v>
      </c>
      <c r="BB12" s="530">
        <v>1320</v>
      </c>
      <c r="BC12" s="8">
        <f t="shared" si="13"/>
        <v>1453</v>
      </c>
      <c r="BD12" s="8">
        <f t="shared" si="4"/>
        <v>2773</v>
      </c>
      <c r="BE12" s="530">
        <v>1346</v>
      </c>
      <c r="BF12" s="8">
        <f t="shared" si="14"/>
        <v>1489</v>
      </c>
      <c r="BG12" s="2">
        <f t="shared" si="5"/>
        <v>2835</v>
      </c>
      <c r="BH12" s="2"/>
      <c r="BI12" s="2"/>
      <c r="BJ12" s="2"/>
      <c r="BK12" s="2"/>
      <c r="BL12" s="2"/>
      <c r="BM12" s="2"/>
      <c r="BN12" s="2"/>
    </row>
    <row r="13" spans="1:74">
      <c r="A13" s="2"/>
      <c r="B13" s="510" t="s">
        <v>1320</v>
      </c>
      <c r="C13" s="926" t="s">
        <v>732</v>
      </c>
      <c r="D13" s="149"/>
      <c r="E13" s="149"/>
      <c r="F13" s="149"/>
      <c r="G13" s="149"/>
      <c r="H13" s="149"/>
      <c r="I13" s="149"/>
      <c r="J13" s="149"/>
      <c r="K13" s="149"/>
      <c r="L13" s="149"/>
      <c r="M13" s="149"/>
      <c r="N13" s="149"/>
      <c r="O13" s="256"/>
      <c r="P13" s="256"/>
      <c r="Q13" s="256"/>
      <c r="R13" s="256"/>
      <c r="S13" s="256"/>
      <c r="T13" s="256"/>
      <c r="U13" s="256"/>
      <c r="V13" s="256">
        <f>+V11+V12</f>
        <v>4594</v>
      </c>
      <c r="W13" s="248">
        <f t="shared" ref="W13:AH13" si="16">+W11+W12</f>
        <v>4405</v>
      </c>
      <c r="X13" s="248">
        <f t="shared" si="16"/>
        <v>4106</v>
      </c>
      <c r="Y13" s="248">
        <f t="shared" si="16"/>
        <v>3724</v>
      </c>
      <c r="Z13" s="248">
        <f>+Z11+Z12</f>
        <v>3729</v>
      </c>
      <c r="AA13" s="248">
        <f>+AA11+AA12</f>
        <v>3636.00954</v>
      </c>
      <c r="AB13" s="248">
        <f>+AB11+AB12</f>
        <v>3537</v>
      </c>
      <c r="AC13" s="248">
        <f>+AC11+AC12</f>
        <v>3445</v>
      </c>
      <c r="AD13" s="248">
        <f>+AD11+AD12</f>
        <v>3711.8199976708656</v>
      </c>
      <c r="AE13" s="248">
        <f t="shared" si="16"/>
        <v>3682.0752310150342</v>
      </c>
      <c r="AF13" s="248">
        <f t="shared" si="16"/>
        <v>3682.8573681475018</v>
      </c>
      <c r="AG13" s="248">
        <f t="shared" si="16"/>
        <v>3710.4771610848657</v>
      </c>
      <c r="AH13" s="248">
        <f t="shared" si="16"/>
        <v>3762.2163865835928</v>
      </c>
      <c r="AI13" s="248">
        <f>+AI11+AI12</f>
        <v>3836.1052985237338</v>
      </c>
      <c r="AJ13" s="248">
        <f t="shared" ref="AJ13:AK13" si="17">+AJ11+AJ12</f>
        <v>3930.756461176155</v>
      </c>
      <c r="AK13" s="248">
        <f t="shared" si="17"/>
        <v>4045.2407793433613</v>
      </c>
      <c r="AL13" s="248">
        <f t="shared" ref="AL13" si="18">+AL11+AL12</f>
        <v>4178.9951496828926</v>
      </c>
      <c r="AP13" s="8">
        <f>AP11+AP12</f>
        <v>2154</v>
      </c>
      <c r="AQ13" s="8">
        <f t="shared" si="6"/>
        <v>2440</v>
      </c>
      <c r="AR13" s="8">
        <f t="shared" si="7"/>
        <v>4594</v>
      </c>
      <c r="AS13" s="8">
        <f>AS11+AS12</f>
        <v>2108</v>
      </c>
      <c r="AT13" s="8">
        <f t="shared" si="8"/>
        <v>2297</v>
      </c>
      <c r="AU13" s="8">
        <f t="shared" si="9"/>
        <v>4405</v>
      </c>
      <c r="AV13" s="8">
        <f>AV11+AV12</f>
        <v>1978</v>
      </c>
      <c r="AW13" s="8">
        <f t="shared" si="10"/>
        <v>2128</v>
      </c>
      <c r="AX13" s="8">
        <f t="shared" si="11"/>
        <v>4106</v>
      </c>
      <c r="AY13" s="8">
        <f>AY11+AY12</f>
        <v>1852</v>
      </c>
      <c r="AZ13" s="8">
        <f t="shared" si="12"/>
        <v>1872</v>
      </c>
      <c r="BA13" s="8">
        <f t="shared" si="15"/>
        <v>3724</v>
      </c>
      <c r="BB13" s="8">
        <f>BB11+BB12</f>
        <v>1814</v>
      </c>
      <c r="BC13" s="8">
        <f t="shared" si="13"/>
        <v>1915</v>
      </c>
      <c r="BD13" s="8">
        <f t="shared" si="4"/>
        <v>3729</v>
      </c>
      <c r="BE13" s="8">
        <f>BE11+BE12</f>
        <v>1769</v>
      </c>
      <c r="BF13" s="8">
        <f t="shared" si="14"/>
        <v>1867.00954</v>
      </c>
      <c r="BG13" s="2">
        <f t="shared" si="5"/>
        <v>3636.00954</v>
      </c>
      <c r="BH13" s="2"/>
      <c r="BI13" s="2"/>
      <c r="BJ13" s="2"/>
      <c r="BK13" s="2"/>
      <c r="BL13" s="2"/>
      <c r="BM13" s="2"/>
      <c r="BN13" s="2"/>
    </row>
    <row r="14" spans="1:74">
      <c r="A14" s="2"/>
      <c r="B14" s="510" t="s">
        <v>1454</v>
      </c>
      <c r="C14" s="926" t="s">
        <v>732</v>
      </c>
      <c r="D14" s="149"/>
      <c r="E14" s="149"/>
      <c r="F14" s="149"/>
      <c r="G14" s="149"/>
      <c r="H14" s="149"/>
      <c r="I14" s="149"/>
      <c r="J14" s="149"/>
      <c r="K14" s="149"/>
      <c r="L14" s="149"/>
      <c r="M14" s="149"/>
      <c r="N14" s="149"/>
      <c r="O14" s="256"/>
      <c r="P14" s="256"/>
      <c r="Q14" s="256"/>
      <c r="R14" s="256"/>
      <c r="S14" s="256"/>
      <c r="T14" s="256"/>
      <c r="U14" s="256"/>
      <c r="V14" s="256">
        <f>+'Revenue Assumptions'!AC52</f>
        <v>2682</v>
      </c>
      <c r="W14" s="248">
        <f>+'Revenue Assumptions'!AD52</f>
        <v>2319</v>
      </c>
      <c r="X14" s="248">
        <f>+'Revenue Assumptions'!AE52</f>
        <v>1872</v>
      </c>
      <c r="Y14" s="248">
        <f>+'Revenue Assumptions'!AF52</f>
        <v>1356</v>
      </c>
      <c r="Z14" s="248">
        <f>+'Revenue Assumptions'!AG52</f>
        <v>477</v>
      </c>
      <c r="AA14" s="248">
        <f>+'Revenue Assumptions'!AH52</f>
        <v>403</v>
      </c>
      <c r="AB14" s="248">
        <f>+'Revenue Assumptions'!AI52</f>
        <v>366</v>
      </c>
      <c r="AC14" s="248">
        <f>+'Revenue Assumptions'!AJ52</f>
        <v>349</v>
      </c>
      <c r="AD14" s="248">
        <f>+'Revenue Assumptions'!AK52</f>
        <v>341.46781159589341</v>
      </c>
      <c r="AE14" s="248">
        <f>+'Revenue Assumptions'!AL52</f>
        <v>339.1295548336692</v>
      </c>
      <c r="AF14" s="248">
        <f>+'Revenue Assumptions'!AM52</f>
        <v>342.29413666545179</v>
      </c>
      <c r="AG14" s="248">
        <f>+'Revenue Assumptions'!AN52</f>
        <v>351.38298958137932</v>
      </c>
      <c r="AH14" s="248">
        <f>+'Revenue Assumptions'!AO52</f>
        <v>366.94464237323893</v>
      </c>
      <c r="AI14" s="248">
        <f>+'Revenue Assumptions'!AP52</f>
        <v>389.67238796913477</v>
      </c>
      <c r="AJ14" s="248">
        <f>+'Revenue Assumptions'!AQ52</f>
        <v>420.42555064904906</v>
      </c>
      <c r="AK14" s="248">
        <f>+'Revenue Assumptions'!AR52</f>
        <v>460.2549486669152</v>
      </c>
      <c r="AL14" s="248">
        <f>+'Revenue Assumptions'!AS52</f>
        <v>510.43325824498714</v>
      </c>
      <c r="AP14" s="530">
        <v>1398</v>
      </c>
      <c r="AQ14" s="8">
        <f t="shared" si="6"/>
        <v>1284</v>
      </c>
      <c r="AR14" s="8">
        <f t="shared" si="7"/>
        <v>2682</v>
      </c>
      <c r="AS14" s="530">
        <v>1202</v>
      </c>
      <c r="AT14" s="8">
        <f t="shared" si="8"/>
        <v>1117</v>
      </c>
      <c r="AU14" s="8">
        <f t="shared" si="9"/>
        <v>2319</v>
      </c>
      <c r="AV14" s="530">
        <v>952</v>
      </c>
      <c r="AW14" s="8">
        <f t="shared" si="10"/>
        <v>920</v>
      </c>
      <c r="AX14" s="8">
        <f t="shared" si="11"/>
        <v>1872</v>
      </c>
      <c r="AY14" s="530">
        <v>319</v>
      </c>
      <c r="AZ14" s="8">
        <f t="shared" si="12"/>
        <v>1037</v>
      </c>
      <c r="BA14" s="8">
        <f t="shared" si="15"/>
        <v>1356</v>
      </c>
      <c r="BB14" s="530">
        <v>252</v>
      </c>
      <c r="BC14" s="8">
        <f t="shared" si="13"/>
        <v>225</v>
      </c>
      <c r="BD14" s="8">
        <f t="shared" si="4"/>
        <v>477</v>
      </c>
      <c r="BE14" s="530">
        <v>209</v>
      </c>
      <c r="BF14" s="8">
        <f t="shared" si="14"/>
        <v>194</v>
      </c>
      <c r="BG14" s="2">
        <f t="shared" si="5"/>
        <v>403</v>
      </c>
      <c r="BH14" s="2"/>
      <c r="BI14" s="2"/>
      <c r="BJ14" s="2"/>
      <c r="BK14" s="2"/>
      <c r="BL14" s="2"/>
      <c r="BM14" s="2"/>
      <c r="BN14" s="2"/>
      <c r="BQ14" s="927"/>
    </row>
    <row r="15" spans="1:74">
      <c r="A15" s="2"/>
      <c r="B15" s="510" t="s">
        <v>237</v>
      </c>
      <c r="C15" s="926" t="s">
        <v>732</v>
      </c>
      <c r="D15" s="149"/>
      <c r="E15" s="149"/>
      <c r="F15" s="149"/>
      <c r="G15" s="149"/>
      <c r="H15" s="149"/>
      <c r="I15" s="149"/>
      <c r="J15" s="149"/>
      <c r="K15" s="149"/>
      <c r="L15" s="149"/>
      <c r="M15" s="149"/>
      <c r="N15" s="149"/>
      <c r="O15" s="256"/>
      <c r="P15" s="256"/>
      <c r="Q15" s="256"/>
      <c r="R15" s="256"/>
      <c r="S15" s="256"/>
      <c r="T15" s="256"/>
      <c r="U15" s="256"/>
      <c r="V15" s="256">
        <f>+'Revenue Assumptions'!AC56</f>
        <v>1584</v>
      </c>
      <c r="W15" s="248">
        <f>+'Revenue Assumptions'!AD56</f>
        <v>1705</v>
      </c>
      <c r="X15" s="248">
        <f>+'Revenue Assumptions'!AE56</f>
        <v>1501</v>
      </c>
      <c r="Y15" s="248">
        <f>+'Revenue Assumptions'!AF56</f>
        <v>1496</v>
      </c>
      <c r="Z15" s="248">
        <f>+'Revenue Assumptions'!AG56</f>
        <v>1501</v>
      </c>
      <c r="AA15" s="248">
        <f>+'Revenue Assumptions'!AH56</f>
        <v>2429</v>
      </c>
      <c r="AB15" s="248">
        <f>+'Revenue Assumptions'!AI56</f>
        <v>2578</v>
      </c>
      <c r="AC15" s="248">
        <f>+'Revenue Assumptions'!AJ56</f>
        <v>2587</v>
      </c>
      <c r="AD15" s="248">
        <f>+'Revenue Assumptions'!AK56</f>
        <v>2640.3043352562854</v>
      </c>
      <c r="AE15" s="248">
        <f>+'Revenue Assumptions'!AL56</f>
        <v>2695.2950275083417</v>
      </c>
      <c r="AF15" s="248">
        <f>+'Revenue Assumptions'!AM56</f>
        <v>2743.6445603781808</v>
      </c>
      <c r="AG15" s="248">
        <f>+'Revenue Assumptions'!AN56</f>
        <v>2793.2126655353018</v>
      </c>
      <c r="AH15" s="248">
        <f>+'Revenue Assumptions'!AO56</f>
        <v>2844.0312618743483</v>
      </c>
      <c r="AI15" s="248">
        <f>+'Revenue Assumptions'!AP56</f>
        <v>2896.1331330913213</v>
      </c>
      <c r="AJ15" s="248">
        <f>+'Revenue Assumptions'!AQ56</f>
        <v>2949.5519517723142</v>
      </c>
      <c r="AK15" s="248">
        <f>+'Revenue Assumptions'!AR56</f>
        <v>3004.3223041677975</v>
      </c>
      <c r="AL15" s="248">
        <f>+'Revenue Assumptions'!AS56</f>
        <v>3060.1096895061055</v>
      </c>
      <c r="AP15" s="530">
        <v>768</v>
      </c>
      <c r="AQ15" s="8">
        <f t="shared" si="6"/>
        <v>816</v>
      </c>
      <c r="AR15" s="8">
        <f t="shared" si="7"/>
        <v>1584</v>
      </c>
      <c r="AS15" s="530">
        <v>803</v>
      </c>
      <c r="AT15" s="8">
        <f t="shared" si="8"/>
        <v>902</v>
      </c>
      <c r="AU15" s="8">
        <f t="shared" si="9"/>
        <v>1705</v>
      </c>
      <c r="AV15" s="530">
        <v>846</v>
      </c>
      <c r="AW15" s="8">
        <f t="shared" si="10"/>
        <v>655</v>
      </c>
      <c r="AX15" s="8">
        <f t="shared" si="11"/>
        <v>1501</v>
      </c>
      <c r="AY15" s="530">
        <v>755</v>
      </c>
      <c r="AZ15" s="8">
        <f t="shared" si="12"/>
        <v>741</v>
      </c>
      <c r="BA15" s="8">
        <f t="shared" si="15"/>
        <v>1496</v>
      </c>
      <c r="BB15" s="530">
        <v>758</v>
      </c>
      <c r="BC15" s="8">
        <f t="shared" si="13"/>
        <v>743</v>
      </c>
      <c r="BD15" s="8">
        <f t="shared" si="4"/>
        <v>1501</v>
      </c>
      <c r="BE15" s="530">
        <v>1148</v>
      </c>
      <c r="BF15" s="8">
        <f t="shared" si="14"/>
        <v>1281</v>
      </c>
      <c r="BG15" s="2">
        <f t="shared" si="5"/>
        <v>2429</v>
      </c>
      <c r="BH15" s="2"/>
      <c r="BI15" s="2"/>
      <c r="BJ15" s="2"/>
      <c r="BK15" s="2"/>
      <c r="BL15" s="2"/>
      <c r="BM15" s="2"/>
      <c r="BN15" s="2"/>
      <c r="BQ15" s="294"/>
    </row>
    <row r="16" spans="1:74">
      <c r="A16" s="2"/>
      <c r="B16" s="510" t="s">
        <v>1425</v>
      </c>
      <c r="C16" s="926" t="s">
        <v>732</v>
      </c>
      <c r="D16" s="149"/>
      <c r="E16" s="149"/>
      <c r="F16" s="149"/>
      <c r="G16" s="149"/>
      <c r="H16" s="149"/>
      <c r="I16" s="149"/>
      <c r="J16" s="149"/>
      <c r="K16" s="149"/>
      <c r="L16" s="149"/>
      <c r="M16" s="149"/>
      <c r="N16" s="149"/>
      <c r="O16" s="256"/>
      <c r="P16" s="256"/>
      <c r="Q16" s="256"/>
      <c r="R16" s="256"/>
      <c r="S16" s="256"/>
      <c r="T16" s="256"/>
      <c r="U16" s="256"/>
      <c r="V16" s="256">
        <f>+'Revenue Assumptions'!AC59</f>
        <v>642</v>
      </c>
      <c r="W16" s="248">
        <f>+'Revenue Assumptions'!AD59</f>
        <v>784</v>
      </c>
      <c r="X16" s="248">
        <f>+'Revenue Assumptions'!AE59</f>
        <v>874</v>
      </c>
      <c r="Y16" s="248">
        <f>+'Revenue Assumptions'!AF59</f>
        <v>908</v>
      </c>
      <c r="Z16" s="248">
        <f>SUM('Revenue Assumptions'!AG59:AG61)</f>
        <v>2456</v>
      </c>
      <c r="AA16" s="248">
        <f>SUM('Revenue Assumptions'!AH59:AH61)</f>
        <v>2556</v>
      </c>
      <c r="AB16" s="248">
        <f>SUM('Revenue Assumptions'!AI59:AI61)</f>
        <v>2746</v>
      </c>
      <c r="AC16" s="248">
        <f>SUM('Revenue Assumptions'!AJ59:AJ61)</f>
        <v>2710</v>
      </c>
      <c r="AD16" s="248">
        <f>SUM('Revenue Assumptions'!AK59:AK61)</f>
        <v>2743.09</v>
      </c>
      <c r="AE16" s="248">
        <f>SUM('Revenue Assumptions'!AL59:AL61)</f>
        <v>2777.1418000000003</v>
      </c>
      <c r="AF16" s="248">
        <f>SUM('Revenue Assumptions'!AM59:AM61)</f>
        <v>2812.2151540000004</v>
      </c>
      <c r="AG16" s="248">
        <f>SUM('Revenue Assumptions'!AN59:AN61)</f>
        <v>2848.3407086200004</v>
      </c>
      <c r="AH16" s="248">
        <f>SUM('Revenue Assumptions'!AO59:AO61)</f>
        <v>2885.5500298786001</v>
      </c>
      <c r="AI16" s="248">
        <f>SUM('Revenue Assumptions'!AP59:AP61)</f>
        <v>2923.8756307749582</v>
      </c>
      <c r="AJ16" s="248">
        <f>SUM('Revenue Assumptions'!AQ59:AQ61)</f>
        <v>2963.3509996982075</v>
      </c>
      <c r="AK16" s="248">
        <f>SUM('Revenue Assumptions'!AR59:AR61)</f>
        <v>3004.0106296891536</v>
      </c>
      <c r="AL16" s="248">
        <f>SUM('Revenue Assumptions'!AS59:AS61)</f>
        <v>3045.8900485798285</v>
      </c>
      <c r="AP16" s="530">
        <v>304</v>
      </c>
      <c r="AQ16" s="8">
        <f t="shared" si="6"/>
        <v>338</v>
      </c>
      <c r="AR16" s="8">
        <f t="shared" si="7"/>
        <v>642</v>
      </c>
      <c r="AS16" s="530">
        <v>374</v>
      </c>
      <c r="AT16" s="8">
        <f t="shared" si="8"/>
        <v>410</v>
      </c>
      <c r="AU16" s="8">
        <f t="shared" si="9"/>
        <v>784</v>
      </c>
      <c r="AV16" s="530">
        <v>432</v>
      </c>
      <c r="AW16" s="8">
        <f t="shared" si="10"/>
        <v>442</v>
      </c>
      <c r="AX16" s="8">
        <f t="shared" si="11"/>
        <v>874</v>
      </c>
      <c r="AY16" s="530">
        <v>1352</v>
      </c>
      <c r="AZ16" s="8">
        <f t="shared" si="12"/>
        <v>-444</v>
      </c>
      <c r="BA16" s="8">
        <f t="shared" si="15"/>
        <v>908</v>
      </c>
      <c r="BB16" s="530">
        <v>1159</v>
      </c>
      <c r="BC16" s="8">
        <f t="shared" si="13"/>
        <v>1297</v>
      </c>
      <c r="BD16" s="8">
        <f t="shared" si="4"/>
        <v>2456</v>
      </c>
      <c r="BE16" s="530">
        <v>1226</v>
      </c>
      <c r="BF16" s="8">
        <f t="shared" si="14"/>
        <v>1330</v>
      </c>
      <c r="BG16" s="2">
        <f t="shared" si="5"/>
        <v>2556</v>
      </c>
      <c r="BH16" s="2"/>
      <c r="BI16" s="2"/>
      <c r="BJ16" s="2"/>
      <c r="BK16" s="2"/>
      <c r="BL16" s="2"/>
      <c r="BM16" s="2"/>
      <c r="BN16" s="2"/>
    </row>
    <row r="17" spans="1:66">
      <c r="A17" s="2"/>
      <c r="B17" s="510" t="s">
        <v>1459</v>
      </c>
      <c r="C17" s="926" t="s">
        <v>732</v>
      </c>
      <c r="D17" s="149"/>
      <c r="E17" s="149"/>
      <c r="F17" s="149"/>
      <c r="G17" s="149"/>
      <c r="H17" s="149"/>
      <c r="I17" s="149"/>
      <c r="J17" s="149"/>
      <c r="K17" s="149"/>
      <c r="L17" s="149"/>
      <c r="M17" s="149"/>
      <c r="N17" s="149"/>
      <c r="O17" s="256"/>
      <c r="P17" s="256"/>
      <c r="Q17" s="256"/>
      <c r="R17" s="256"/>
      <c r="S17" s="256"/>
      <c r="T17" s="256"/>
      <c r="U17" s="256"/>
      <c r="V17" s="256"/>
      <c r="W17" s="248"/>
      <c r="X17" s="248"/>
      <c r="Y17" s="248"/>
      <c r="Z17" s="248">
        <f>'Revenue Assumptions'!AG65</f>
        <v>368</v>
      </c>
      <c r="AA17" s="248">
        <f>'Revenue Assumptions'!AH65</f>
        <v>401</v>
      </c>
      <c r="AB17" s="248">
        <f>'Revenue Assumptions'!AI65</f>
        <v>453</v>
      </c>
      <c r="AC17" s="248">
        <f>'Revenue Assumptions'!AJ65</f>
        <v>470</v>
      </c>
      <c r="AD17" s="248">
        <f>'Revenue Assumptions'!AK65</f>
        <v>470</v>
      </c>
      <c r="AE17" s="248">
        <f>'Revenue Assumptions'!AL65</f>
        <v>470</v>
      </c>
      <c r="AF17" s="248">
        <f>'Revenue Assumptions'!AM65</f>
        <v>470</v>
      </c>
      <c r="AG17" s="248">
        <f>'Revenue Assumptions'!AN65</f>
        <v>470</v>
      </c>
      <c r="AH17" s="248">
        <f>'Revenue Assumptions'!AO65</f>
        <v>470</v>
      </c>
      <c r="AI17" s="248">
        <f>'Revenue Assumptions'!AP65</f>
        <v>470</v>
      </c>
      <c r="AJ17" s="248">
        <f>'Revenue Assumptions'!AQ65</f>
        <v>470</v>
      </c>
      <c r="AK17" s="248">
        <f>'Revenue Assumptions'!AR65</f>
        <v>470</v>
      </c>
      <c r="AL17" s="248">
        <f>'Revenue Assumptions'!AS65</f>
        <v>470</v>
      </c>
      <c r="AP17" s="530"/>
      <c r="AQ17" s="8"/>
      <c r="AR17" s="8"/>
      <c r="AS17" s="530"/>
      <c r="AT17" s="8"/>
      <c r="AU17" s="8"/>
      <c r="AV17" s="530"/>
      <c r="AW17" s="8"/>
      <c r="AX17" s="8"/>
      <c r="AY17" s="530">
        <v>171</v>
      </c>
      <c r="AZ17" s="8"/>
      <c r="BA17" s="8"/>
      <c r="BB17" s="530">
        <v>179</v>
      </c>
      <c r="BC17" s="8"/>
      <c r="BD17" s="8"/>
      <c r="BE17" s="530">
        <v>197</v>
      </c>
      <c r="BF17" s="8"/>
      <c r="BG17" s="2"/>
      <c r="BH17" s="2"/>
      <c r="BI17" s="2"/>
      <c r="BJ17" s="2"/>
      <c r="BK17" s="2"/>
      <c r="BL17" s="2"/>
      <c r="BM17" s="2"/>
      <c r="BN17" s="2"/>
    </row>
    <row r="18" spans="1:66">
      <c r="A18" s="2"/>
      <c r="B18" s="510" t="s">
        <v>1269</v>
      </c>
      <c r="C18" s="926" t="s">
        <v>732</v>
      </c>
      <c r="D18" s="149"/>
      <c r="E18" s="149"/>
      <c r="F18" s="149"/>
      <c r="G18" s="149"/>
      <c r="H18" s="149"/>
      <c r="I18" s="149"/>
      <c r="J18" s="149"/>
      <c r="K18" s="149"/>
      <c r="L18" s="149"/>
      <c r="M18" s="149"/>
      <c r="N18" s="149"/>
      <c r="O18" s="256"/>
      <c r="P18" s="256"/>
      <c r="Q18" s="256"/>
      <c r="R18" s="256"/>
      <c r="S18" s="256"/>
      <c r="T18" s="256"/>
      <c r="U18" s="256"/>
      <c r="V18" s="256">
        <f>+'Revenue Assumptions'!AC69</f>
        <v>738</v>
      </c>
      <c r="W18" s="248">
        <f>+'Revenue Assumptions'!AD69</f>
        <v>344</v>
      </c>
      <c r="X18" s="248">
        <f>+'Revenue Assumptions'!AE69</f>
        <v>367</v>
      </c>
      <c r="Y18" s="248">
        <f>+'Revenue Assumptions'!AF69</f>
        <v>552</v>
      </c>
      <c r="Z18" s="248">
        <f>+'Revenue Assumptions'!AG69</f>
        <v>755</v>
      </c>
      <c r="AA18" s="248">
        <f>+'Revenue Assumptions'!AH69</f>
        <v>1076</v>
      </c>
      <c r="AB18" s="248">
        <f>+'Revenue Assumptions'!AI69</f>
        <v>1262</v>
      </c>
      <c r="AC18" s="248">
        <f>+'Revenue Assumptions'!AJ69</f>
        <v>1159</v>
      </c>
      <c r="AD18" s="248">
        <f>+'Revenue Assumptions'!AK69</f>
        <v>1182.18</v>
      </c>
      <c r="AE18" s="248">
        <f>+'Revenue Assumptions'!AL69</f>
        <v>1205.8236000000002</v>
      </c>
      <c r="AF18" s="248">
        <f>+'Revenue Assumptions'!AM69</f>
        <v>1229.9400720000001</v>
      </c>
      <c r="AG18" s="248">
        <f>+'Revenue Assumptions'!AN69</f>
        <v>1254.5388734400001</v>
      </c>
      <c r="AH18" s="248">
        <f>+'Revenue Assumptions'!AO69</f>
        <v>1279.6296509088002</v>
      </c>
      <c r="AI18" s="248">
        <f>+'Revenue Assumptions'!AP69</f>
        <v>1305.2222439269763</v>
      </c>
      <c r="AJ18" s="248">
        <f>+'Revenue Assumptions'!AQ69</f>
        <v>1331.3266888055159</v>
      </c>
      <c r="AK18" s="248">
        <f>+'Revenue Assumptions'!AR69</f>
        <v>1357.9532225816263</v>
      </c>
      <c r="AL18" s="248">
        <f>+'Revenue Assumptions'!AS69</f>
        <v>1385.1122870332588</v>
      </c>
      <c r="AP18" s="530">
        <v>247</v>
      </c>
      <c r="AQ18" s="8">
        <f t="shared" si="6"/>
        <v>491</v>
      </c>
      <c r="AR18" s="8">
        <f t="shared" si="7"/>
        <v>738</v>
      </c>
      <c r="AS18" s="530">
        <v>177</v>
      </c>
      <c r="AT18" s="8">
        <f t="shared" si="8"/>
        <v>167</v>
      </c>
      <c r="AU18" s="8">
        <f t="shared" si="9"/>
        <v>344</v>
      </c>
      <c r="AV18" s="530">
        <v>188</v>
      </c>
      <c r="AW18" s="8">
        <f t="shared" si="10"/>
        <v>179</v>
      </c>
      <c r="AX18" s="8">
        <f t="shared" si="11"/>
        <v>367</v>
      </c>
      <c r="AY18" s="530">
        <v>534</v>
      </c>
      <c r="AZ18" s="8">
        <f t="shared" si="12"/>
        <v>18</v>
      </c>
      <c r="BA18" s="8">
        <f t="shared" si="15"/>
        <v>552</v>
      </c>
      <c r="BB18" s="530">
        <v>351</v>
      </c>
      <c r="BC18" s="8">
        <f t="shared" si="13"/>
        <v>404</v>
      </c>
      <c r="BD18" s="8">
        <f>Z18</f>
        <v>755</v>
      </c>
      <c r="BE18" s="530">
        <v>436</v>
      </c>
      <c r="BF18" s="8">
        <f t="shared" ref="BF18:BF19" si="19">BG18-BE18</f>
        <v>640</v>
      </c>
      <c r="BG18" s="2">
        <f>AA18</f>
        <v>1076</v>
      </c>
      <c r="BH18" s="2"/>
      <c r="BI18" s="2"/>
      <c r="BJ18" s="2"/>
      <c r="BK18" s="2"/>
      <c r="BL18" s="2"/>
      <c r="BM18" s="2"/>
      <c r="BN18" s="2"/>
    </row>
    <row r="19" spans="1:66">
      <c r="A19" s="2"/>
      <c r="B19" s="510" t="s">
        <v>1270</v>
      </c>
      <c r="C19" s="926" t="s">
        <v>732</v>
      </c>
      <c r="D19" s="149"/>
      <c r="E19" s="149"/>
      <c r="F19" s="149"/>
      <c r="G19" s="149"/>
      <c r="H19" s="149"/>
      <c r="I19" s="149"/>
      <c r="J19" s="149"/>
      <c r="K19" s="149"/>
      <c r="L19" s="149"/>
      <c r="M19" s="149"/>
      <c r="N19" s="149"/>
      <c r="O19" s="256"/>
      <c r="P19" s="256"/>
      <c r="Q19" s="256"/>
      <c r="R19" s="256"/>
      <c r="S19" s="256"/>
      <c r="T19" s="256"/>
      <c r="U19" s="256"/>
      <c r="V19" s="256">
        <f>+'Revenue Assumptions'!AC1988</f>
        <v>2282</v>
      </c>
      <c r="W19" s="248">
        <f>+'Revenue Assumptions'!AD1988</f>
        <v>2116</v>
      </c>
      <c r="X19" s="248">
        <f>+'Revenue Assumptions'!AE1988</f>
        <v>2004</v>
      </c>
      <c r="Y19" s="248">
        <f>+'Revenue Assumptions'!AF1988</f>
        <v>1050</v>
      </c>
      <c r="Z19" s="248">
        <f>+'Revenue Assumptions'!AG1988</f>
        <v>378</v>
      </c>
      <c r="AA19" s="248">
        <f>+'Revenue Assumptions'!AH1988</f>
        <v>72</v>
      </c>
      <c r="AB19" s="248">
        <f>+'Revenue Assumptions'!AI1988</f>
        <v>0</v>
      </c>
      <c r="AC19" s="248">
        <f>+'Revenue Assumptions'!AJ1988</f>
        <v>0</v>
      </c>
      <c r="AD19" s="248">
        <f>+'Revenue Assumptions'!AK1988</f>
        <v>9.9475983006414026E-14</v>
      </c>
      <c r="AE19" s="248">
        <f>+'Revenue Assumptions'!AL1988</f>
        <v>9.9475983006414026E-14</v>
      </c>
      <c r="AF19" s="248">
        <f>+'Revenue Assumptions'!AM1988</f>
        <v>9.9475983006414026E-14</v>
      </c>
      <c r="AG19" s="248">
        <f>+'Revenue Assumptions'!AN1988</f>
        <v>9.9475983006414026E-14</v>
      </c>
      <c r="AH19" s="248">
        <f>+'Revenue Assumptions'!AO1988</f>
        <v>9.9475983006414026E-14</v>
      </c>
      <c r="AI19" s="248">
        <f>+'Revenue Assumptions'!AP1988</f>
        <v>9.9475983006414026E-14</v>
      </c>
      <c r="AJ19" s="248">
        <f>+'Revenue Assumptions'!AQ1988</f>
        <v>9.9475983006414026E-14</v>
      </c>
      <c r="AK19" s="248">
        <f>+'Revenue Assumptions'!AR1988</f>
        <v>9.9475983006414026E-14</v>
      </c>
      <c r="AL19" s="248">
        <f>+'Revenue Assumptions'!AS1988</f>
        <v>9.9475983006414026E-14</v>
      </c>
      <c r="AP19" s="530">
        <v>1308</v>
      </c>
      <c r="AQ19" s="8">
        <f t="shared" si="6"/>
        <v>974</v>
      </c>
      <c r="AR19" s="8">
        <f t="shared" si="7"/>
        <v>2282</v>
      </c>
      <c r="AS19" s="530">
        <v>992</v>
      </c>
      <c r="AT19" s="8">
        <f t="shared" si="8"/>
        <v>1124</v>
      </c>
      <c r="AU19" s="8">
        <f t="shared" si="9"/>
        <v>2116</v>
      </c>
      <c r="AV19" s="530">
        <v>1039</v>
      </c>
      <c r="AW19" s="8">
        <f t="shared" si="10"/>
        <v>965</v>
      </c>
      <c r="AX19" s="8">
        <f t="shared" si="11"/>
        <v>2004</v>
      </c>
      <c r="AY19" s="530">
        <v>658</v>
      </c>
      <c r="AZ19" s="8">
        <f t="shared" si="12"/>
        <v>392</v>
      </c>
      <c r="BA19" s="8">
        <f t="shared" si="15"/>
        <v>1050</v>
      </c>
      <c r="BB19" s="530">
        <v>203</v>
      </c>
      <c r="BC19" s="8">
        <f t="shared" si="13"/>
        <v>175</v>
      </c>
      <c r="BD19" s="8">
        <f>Z19</f>
        <v>378</v>
      </c>
      <c r="BE19" s="530">
        <v>46</v>
      </c>
      <c r="BF19" s="8">
        <f t="shared" si="19"/>
        <v>26</v>
      </c>
      <c r="BG19" s="2">
        <f>AA19</f>
        <v>72</v>
      </c>
      <c r="BH19" s="2"/>
      <c r="BI19" s="2"/>
      <c r="BJ19" s="2"/>
      <c r="BK19" s="2"/>
      <c r="BL19" s="2"/>
      <c r="BM19" s="2"/>
      <c r="BN19" s="2"/>
    </row>
    <row r="20" spans="1:66">
      <c r="A20" s="2"/>
      <c r="B20" s="510" t="s">
        <v>1455</v>
      </c>
      <c r="C20" s="926" t="s">
        <v>732</v>
      </c>
      <c r="D20" s="149"/>
      <c r="E20" s="149"/>
      <c r="F20" s="149"/>
      <c r="G20" s="149"/>
      <c r="H20" s="149"/>
      <c r="I20" s="149"/>
      <c r="J20" s="149"/>
      <c r="K20" s="149"/>
      <c r="L20" s="149"/>
      <c r="M20" s="149"/>
      <c r="N20" s="149"/>
      <c r="O20" s="256"/>
      <c r="P20" s="256"/>
      <c r="Q20" s="256"/>
      <c r="R20" s="256"/>
      <c r="S20" s="256"/>
      <c r="T20" s="256"/>
      <c r="U20" s="256"/>
      <c r="V20" s="256"/>
      <c r="W20" s="248"/>
      <c r="X20" s="248"/>
      <c r="Y20" s="248"/>
      <c r="Z20" s="248">
        <f>'Revenue Assumptions'!AG73</f>
        <v>-1575</v>
      </c>
      <c r="AA20" s="248">
        <f>'Revenue Assumptions'!AH73</f>
        <v>-2043</v>
      </c>
      <c r="AB20" s="248">
        <f>'Revenue Assumptions'!AI73</f>
        <v>-2537</v>
      </c>
      <c r="AC20" s="248">
        <f>'Revenue Assumptions'!AJ73</f>
        <v>-2424</v>
      </c>
      <c r="AD20" s="248">
        <f>'Revenue Assumptions'!AK73</f>
        <v>-2424</v>
      </c>
      <c r="AE20" s="248">
        <f>'Revenue Assumptions'!AL73</f>
        <v>-2424</v>
      </c>
      <c r="AF20" s="248">
        <f>'Revenue Assumptions'!AM73</f>
        <v>-2424</v>
      </c>
      <c r="AG20" s="248">
        <f>'Revenue Assumptions'!AN73</f>
        <v>-2424</v>
      </c>
      <c r="AH20" s="248">
        <f>'Revenue Assumptions'!AO73</f>
        <v>-2424</v>
      </c>
      <c r="AI20" s="248">
        <f>'Revenue Assumptions'!AP73</f>
        <v>-2424</v>
      </c>
      <c r="AJ20" s="248">
        <f>'Revenue Assumptions'!AQ73</f>
        <v>-2424</v>
      </c>
      <c r="AK20" s="248">
        <f>'Revenue Assumptions'!AR73</f>
        <v>-2424</v>
      </c>
      <c r="AL20" s="248">
        <f>'Revenue Assumptions'!AS73</f>
        <v>-2424</v>
      </c>
      <c r="AP20" s="530"/>
      <c r="AQ20" s="8"/>
      <c r="AR20" s="8"/>
      <c r="AS20" s="530"/>
      <c r="AT20" s="8"/>
      <c r="AU20" s="8"/>
      <c r="AV20" s="530"/>
      <c r="AW20" s="8"/>
      <c r="AX20" s="8"/>
      <c r="AY20" s="530">
        <v>-762</v>
      </c>
      <c r="AZ20" s="8"/>
      <c r="BA20" s="8"/>
      <c r="BB20" s="530">
        <v>-772</v>
      </c>
      <c r="BC20" s="8"/>
      <c r="BD20" s="8"/>
      <c r="BE20" s="530">
        <v>-842</v>
      </c>
      <c r="BF20" s="8"/>
      <c r="BG20" s="2"/>
      <c r="BH20" s="2"/>
      <c r="BI20" s="2"/>
      <c r="BJ20" s="2"/>
      <c r="BK20" s="2"/>
      <c r="BL20" s="2"/>
      <c r="BM20" s="2"/>
      <c r="BN20" s="2"/>
    </row>
    <row r="21" spans="1:66">
      <c r="A21" s="648"/>
      <c r="B21" s="649" t="s">
        <v>815</v>
      </c>
      <c r="C21" s="650" t="s">
        <v>732</v>
      </c>
      <c r="D21" s="651"/>
      <c r="E21" s="651"/>
      <c r="F21" s="651"/>
      <c r="G21" s="651"/>
      <c r="H21" s="651"/>
      <c r="I21" s="651"/>
      <c r="J21" s="651"/>
      <c r="K21" s="651"/>
      <c r="L21" s="651"/>
      <c r="M21" s="651"/>
      <c r="N21" s="651"/>
      <c r="O21" s="652"/>
      <c r="P21" s="652"/>
      <c r="Q21" s="652"/>
      <c r="R21" s="652"/>
      <c r="S21" s="652"/>
      <c r="T21" s="652"/>
      <c r="U21" s="652"/>
      <c r="V21" s="653">
        <f>+SUM(V9:V10, V13:V19)</f>
        <v>28841</v>
      </c>
      <c r="W21" s="653">
        <f>+SUM(W9:W10, W13:W19)</f>
        <v>27807</v>
      </c>
      <c r="X21" s="653">
        <f>+SUM(X9:X10, X13:X19)</f>
        <v>25937</v>
      </c>
      <c r="Y21" s="653">
        <f>+SUM(Y9:Y10, Y13:Y19)</f>
        <v>23132</v>
      </c>
      <c r="Z21" s="653">
        <f>+SUM(Z9:Z10, Z13:Z20)</f>
        <v>22045</v>
      </c>
      <c r="AA21" s="653">
        <f t="shared" ref="AA21:AI21" si="20">+SUM(AA9:AA10, AA13:AA20)</f>
        <v>23245.009539999999</v>
      </c>
      <c r="AB21" s="653">
        <f t="shared" si="20"/>
        <v>23482</v>
      </c>
      <c r="AC21" s="653">
        <f t="shared" si="20"/>
        <v>23610</v>
      </c>
      <c r="AD21" s="653">
        <f t="shared" si="20"/>
        <v>24510.678474448981</v>
      </c>
      <c r="AE21" s="653">
        <f t="shared" si="20"/>
        <v>25177.184787169535</v>
      </c>
      <c r="AF21" s="653">
        <f t="shared" si="20"/>
        <v>25947.12399963582</v>
      </c>
      <c r="AG21" s="653">
        <f t="shared" si="20"/>
        <v>26830.707617914184</v>
      </c>
      <c r="AH21" s="653">
        <f t="shared" si="20"/>
        <v>27833.285496218694</v>
      </c>
      <c r="AI21" s="653">
        <f t="shared" si="20"/>
        <v>28963.422081484438</v>
      </c>
      <c r="AJ21" s="653">
        <f t="shared" ref="AJ21:AK21" si="21">+SUM(AJ9:AJ10, AJ13:AJ20)</f>
        <v>30233.110538832967</v>
      </c>
      <c r="AK21" s="653">
        <f t="shared" si="21"/>
        <v>31658.148782036144</v>
      </c>
      <c r="AL21" s="653">
        <f t="shared" ref="AL21" si="22">+SUM(AL9:AL10, AL13:AL20)</f>
        <v>33099.319826607003</v>
      </c>
      <c r="AP21" s="654">
        <f>+SUM(AP9:AP10, AP13:AP19)</f>
        <v>14391</v>
      </c>
      <c r="AQ21" s="654">
        <f>+SUM(AQ9:AQ10, AQ13:AQ19)</f>
        <v>14450</v>
      </c>
      <c r="AR21" s="648">
        <f t="shared" si="7"/>
        <v>28841</v>
      </c>
      <c r="AS21" s="654">
        <f>+SUM(AS9:AS10, AS13:AS19)</f>
        <v>13798</v>
      </c>
      <c r="AT21" s="654">
        <f>+SUM(AT9:AT10, AT13:AT19)</f>
        <v>14009</v>
      </c>
      <c r="AU21" s="654">
        <f t="shared" si="9"/>
        <v>27807</v>
      </c>
      <c r="AV21" s="654">
        <f>+SUM(AV9:AV10, AV13:AV19)</f>
        <v>13413</v>
      </c>
      <c r="AW21" s="654">
        <f>+SUM(AW9:AW10, AW13:AW19)</f>
        <v>12524</v>
      </c>
      <c r="AX21" s="654">
        <f>X21</f>
        <v>25937</v>
      </c>
      <c r="AY21" s="654">
        <f>+SUM(AY9:AY10, AY13:AY20)</f>
        <v>12015</v>
      </c>
      <c r="AZ21" s="654">
        <f>+SUM(AZ9:AZ10, AZ13:AZ19)</f>
        <v>10526</v>
      </c>
      <c r="BA21" s="654">
        <f>Y21</f>
        <v>23132</v>
      </c>
      <c r="BB21" s="654">
        <f>+SUM(BB9:BB10, BB13:BB20)</f>
        <v>10887</v>
      </c>
      <c r="BC21" s="654">
        <f>+SUM(BC9:BC10, BC13:BC19)</f>
        <v>11772</v>
      </c>
      <c r="BD21" s="654">
        <f>Z21</f>
        <v>22045</v>
      </c>
      <c r="BE21" s="654">
        <f>+SUM(BE9:BE10, BE13:BE20)</f>
        <v>11583</v>
      </c>
      <c r="BF21" s="654">
        <f>+SUM(BF9:BF10, BF13:BF19)</f>
        <v>12659.009539999999</v>
      </c>
      <c r="BG21" s="648">
        <f>AA21</f>
        <v>23245.009539999999</v>
      </c>
      <c r="BH21" s="648"/>
      <c r="BI21" s="648"/>
      <c r="BJ21" s="648"/>
      <c r="BK21" s="648"/>
      <c r="BL21" s="648"/>
      <c r="BM21" s="648"/>
      <c r="BN21" s="648"/>
    </row>
    <row r="22" spans="1:66" collapsed="1">
      <c r="A22" s="312"/>
      <c r="B22" s="325" t="s">
        <v>880</v>
      </c>
      <c r="C22" s="811" t="s">
        <v>733</v>
      </c>
      <c r="D22" s="311"/>
      <c r="E22" s="311">
        <f t="shared" ref="E22:U22" si="23">E168/D168-1</f>
        <v>4.5515610725992861E-2</v>
      </c>
      <c r="F22" s="311">
        <f t="shared" si="23"/>
        <v>3.80859375E-2</v>
      </c>
      <c r="G22" s="311">
        <f t="shared" si="23"/>
        <v>9.0607515967717767E-3</v>
      </c>
      <c r="H22" s="311">
        <f t="shared" si="23"/>
        <v>-3.4347399411183144E-4</v>
      </c>
      <c r="I22" s="311">
        <f t="shared" si="23"/>
        <v>8.7763216021204515E-2</v>
      </c>
      <c r="J22" s="311">
        <f t="shared" si="23"/>
        <v>2.4863498939578621E-2</v>
      </c>
      <c r="K22" s="311">
        <f t="shared" si="23"/>
        <v>4.2312433955618234E-2</v>
      </c>
      <c r="L22" s="311">
        <f t="shared" si="23"/>
        <v>4.1262162952696135E-2</v>
      </c>
      <c r="M22" s="311">
        <f t="shared" si="23"/>
        <v>2.9308691416957577E-2</v>
      </c>
      <c r="N22" s="311">
        <f t="shared" si="23"/>
        <v>-2.2087110734774762E-2</v>
      </c>
      <c r="O22" s="311">
        <f t="shared" si="23"/>
        <v>6.8965447073690012E-3</v>
      </c>
      <c r="P22" s="311">
        <f t="shared" si="23"/>
        <v>9.9607235460010823E-3</v>
      </c>
      <c r="Q22" s="311">
        <f t="shared" si="23"/>
        <v>1.0220468413455919E-2</v>
      </c>
      <c r="R22" s="311">
        <f t="shared" si="23"/>
        <v>-1.9066014150008748E-2</v>
      </c>
      <c r="S22" s="311">
        <f t="shared" si="23"/>
        <v>1.3989109654529264E-2</v>
      </c>
      <c r="T22" s="311">
        <f t="shared" si="23"/>
        <v>1.8442580911307349E-2</v>
      </c>
      <c r="U22" s="311">
        <f t="shared" si="23"/>
        <v>2.9015814468127399E-3</v>
      </c>
      <c r="V22" s="311">
        <f>V21/U168-1</f>
        <v>0.11372426698517701</v>
      </c>
      <c r="W22" s="311">
        <f t="shared" ref="W22:AI22" si="24">W21/V21-1</f>
        <v>-3.5851738844006831E-2</v>
      </c>
      <c r="X22" s="311">
        <f t="shared" si="24"/>
        <v>-6.7249253785018115E-2</v>
      </c>
      <c r="Y22" s="311">
        <f t="shared" si="24"/>
        <v>-0.10814666306820375</v>
      </c>
      <c r="Z22" s="311">
        <f>Z21/Y21-1</f>
        <v>-4.6991181047899011E-2</v>
      </c>
      <c r="AA22" s="311">
        <f>AA21/Z21-1</f>
        <v>5.4434544794738082E-2</v>
      </c>
      <c r="AB22" s="311">
        <f>AB21/AA21-1</f>
        <v>1.0195326424460527E-2</v>
      </c>
      <c r="AC22" s="312">
        <f>AC21/AB21-1</f>
        <v>5.4509837322205268E-3</v>
      </c>
      <c r="AD22" s="312">
        <f t="shared" si="24"/>
        <v>3.8148177655611182E-2</v>
      </c>
      <c r="AE22" s="312">
        <f t="shared" si="24"/>
        <v>2.7192487283260958E-2</v>
      </c>
      <c r="AF22" s="312">
        <f t="shared" si="24"/>
        <v>3.0580830183152496E-2</v>
      </c>
      <c r="AG22" s="312">
        <f t="shared" si="24"/>
        <v>3.4053239129344881E-2</v>
      </c>
      <c r="AH22" s="312">
        <f t="shared" si="24"/>
        <v>3.736680718905494E-2</v>
      </c>
      <c r="AI22" s="312">
        <f t="shared" si="24"/>
        <v>4.0603779435930409E-2</v>
      </c>
      <c r="AJ22" s="312">
        <f t="shared" ref="AJ22" si="25">AJ21/AI21-1</f>
        <v>4.3837653360726536E-2</v>
      </c>
      <c r="AK22" s="312">
        <f t="shared" ref="AK22:AL22" si="26">AK21/AJ21-1</f>
        <v>4.7135019116633092E-2</v>
      </c>
      <c r="AL22" s="312">
        <f t="shared" si="26"/>
        <v>4.5522909583033622E-2</v>
      </c>
      <c r="AP22" s="343"/>
      <c r="AQ22" s="343"/>
      <c r="AR22" s="343">
        <f>V22</f>
        <v>0.11372426698517701</v>
      </c>
      <c r="AS22" s="343">
        <f>AS21/AP21-1</f>
        <v>-4.1206309498992399E-2</v>
      </c>
      <c r="AT22" s="343">
        <f>AT21/AQ21-1</f>
        <v>-3.0519031141868491E-2</v>
      </c>
      <c r="AU22" s="343">
        <f>U22</f>
        <v>2.9015814468127399E-3</v>
      </c>
      <c r="AV22" s="343">
        <f>AV21/AS21-1</f>
        <v>-2.7902594578924522E-2</v>
      </c>
      <c r="AW22" s="343">
        <f>AW21/AT21-1</f>
        <v>-0.10600328360339784</v>
      </c>
      <c r="AX22" s="343">
        <f>X22</f>
        <v>-6.7249253785018115E-2</v>
      </c>
      <c r="AY22" s="343">
        <f>AY21/AV21-1</f>
        <v>-0.10422724222768953</v>
      </c>
      <c r="AZ22" s="343">
        <f>AZ21/AW21-1</f>
        <v>-0.15953369530501438</v>
      </c>
      <c r="BA22" s="343">
        <f>Y22</f>
        <v>-0.10814666306820375</v>
      </c>
      <c r="BB22" s="343">
        <f>BB21/AY21-1</f>
        <v>-9.3882646691635485E-2</v>
      </c>
      <c r="BC22" s="343">
        <f>BC21/AZ21-1</f>
        <v>0.11837355120653625</v>
      </c>
      <c r="BD22" s="343">
        <f>AB22</f>
        <v>1.0195326424460527E-2</v>
      </c>
      <c r="BE22" s="343">
        <f>BE21/BB21-1</f>
        <v>6.3929457150730284E-2</v>
      </c>
      <c r="BF22" s="343">
        <f>BF21/BC21-1</f>
        <v>7.5349094461433896E-2</v>
      </c>
      <c r="BG22" s="312">
        <f>AA22</f>
        <v>5.4434544794738082E-2</v>
      </c>
      <c r="BH22" s="312">
        <f t="shared" ref="BH22:BN22" si="27">AB22</f>
        <v>1.0195326424460527E-2</v>
      </c>
      <c r="BI22" s="312">
        <f t="shared" si="27"/>
        <v>5.4509837322205268E-3</v>
      </c>
      <c r="BJ22" s="312">
        <f t="shared" si="27"/>
        <v>3.8148177655611182E-2</v>
      </c>
      <c r="BK22" s="312">
        <f t="shared" si="27"/>
        <v>2.7192487283260958E-2</v>
      </c>
      <c r="BL22" s="312">
        <f t="shared" si="27"/>
        <v>3.0580830183152496E-2</v>
      </c>
      <c r="BM22" s="312">
        <f t="shared" si="27"/>
        <v>3.4053239129344881E-2</v>
      </c>
      <c r="BN22" s="312">
        <f t="shared" si="27"/>
        <v>3.736680718905494E-2</v>
      </c>
    </row>
    <row r="23" spans="1:66">
      <c r="A23" s="2"/>
      <c r="B23" s="510"/>
      <c r="C23" s="926"/>
      <c r="D23" s="149"/>
      <c r="E23" s="149"/>
      <c r="F23" s="149"/>
      <c r="G23" s="149"/>
      <c r="H23" s="149"/>
      <c r="I23" s="149"/>
      <c r="J23" s="149"/>
      <c r="K23" s="149"/>
      <c r="L23" s="149"/>
      <c r="M23" s="149"/>
      <c r="N23" s="149"/>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P23" s="2"/>
      <c r="AQ23" s="2"/>
      <c r="AR23" s="2"/>
      <c r="AS23" s="2"/>
      <c r="AT23" s="2"/>
      <c r="AU23" s="2"/>
      <c r="AV23" s="2"/>
      <c r="AW23" s="2"/>
      <c r="AX23" s="2"/>
      <c r="AY23" s="2"/>
      <c r="AZ23" s="2"/>
      <c r="BA23" s="2"/>
      <c r="BB23" s="2"/>
      <c r="BC23" s="2"/>
      <c r="BD23" s="2"/>
      <c r="BE23" s="2"/>
      <c r="BF23" s="2"/>
      <c r="BG23" s="2"/>
      <c r="BH23" s="2"/>
      <c r="BI23" s="2"/>
      <c r="BJ23" s="2"/>
      <c r="BK23" s="2"/>
      <c r="BL23" s="2"/>
      <c r="BM23" s="2"/>
      <c r="BN23" s="2"/>
    </row>
    <row r="24" spans="1:66">
      <c r="A24" s="2"/>
      <c r="B24" s="6" t="s">
        <v>329</v>
      </c>
      <c r="C24" s="18"/>
      <c r="D24" s="43"/>
      <c r="E24" s="43"/>
      <c r="F24" s="43"/>
      <c r="G24" s="43"/>
      <c r="H24" s="43"/>
      <c r="I24" s="43"/>
      <c r="J24" s="43"/>
      <c r="K24" s="43"/>
      <c r="L24" s="43"/>
      <c r="M24" s="43"/>
      <c r="N24" s="34"/>
      <c r="O24" s="34"/>
      <c r="P24" s="34"/>
      <c r="Q24" s="34"/>
      <c r="R24" s="60"/>
      <c r="S24" s="60"/>
      <c r="T24" s="60"/>
      <c r="U24" s="60"/>
      <c r="V24" s="60"/>
      <c r="W24" s="60"/>
      <c r="X24" s="60"/>
      <c r="Y24" s="43"/>
      <c r="Z24" s="43"/>
      <c r="AA24" s="43"/>
      <c r="AB24" s="43"/>
      <c r="AC24" s="2"/>
      <c r="AD24" s="2"/>
      <c r="AE24" s="2"/>
      <c r="AF24" s="2"/>
      <c r="AG24" s="2"/>
      <c r="AH24" s="2"/>
      <c r="AI24" s="2"/>
      <c r="AJ24" s="2"/>
      <c r="AK24" s="2"/>
      <c r="AL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row>
    <row r="25" spans="1:66">
      <c r="A25" s="2"/>
      <c r="B25" s="336" t="s">
        <v>1017</v>
      </c>
      <c r="C25" s="18" t="str">
        <f>C171</f>
        <v>A$m</v>
      </c>
      <c r="D25" s="452">
        <f>'Cost + BS Assumptions'!D14</f>
        <v>3800</v>
      </c>
      <c r="E25" s="452">
        <f>'Cost + BS Assumptions'!E14</f>
        <v>3122</v>
      </c>
      <c r="F25" s="452">
        <f>'Cost + BS Assumptions'!F14</f>
        <v>3240</v>
      </c>
      <c r="G25" s="452">
        <f>'Cost + BS Assumptions'!G14</f>
        <v>3204</v>
      </c>
      <c r="H25" s="452">
        <f>'Cost + BS Assumptions'!H14</f>
        <v>3218</v>
      </c>
      <c r="I25" s="452">
        <f>'Cost + BS Assumptions'!I14</f>
        <v>3858</v>
      </c>
      <c r="J25" s="452">
        <f>'Cost + BS Assumptions'!J14</f>
        <v>4364</v>
      </c>
      <c r="K25" s="452">
        <f>'Cost + BS Assumptions'!K14</f>
        <v>4017</v>
      </c>
      <c r="L25" s="452">
        <f>'Cost + BS Assumptions'!L14</f>
        <v>5213</v>
      </c>
      <c r="M25" s="452">
        <f>'Cost + BS Assumptions'!M14</f>
        <v>5160</v>
      </c>
      <c r="N25" s="452">
        <f>'Cost + BS Assumptions'!N14</f>
        <v>4640</v>
      </c>
      <c r="O25" s="451">
        <f>'Cost + BS Assumptions'!O14</f>
        <v>4954</v>
      </c>
      <c r="P25" s="451">
        <f>'Cost + BS Assumptions'!P14</f>
        <v>4968</v>
      </c>
      <c r="Q25" s="451">
        <f>'Cost + BS Assumptions'!Q14</f>
        <v>4803</v>
      </c>
      <c r="R25" s="451">
        <f>'Cost + BS Assumptions'!R14</f>
        <v>4732</v>
      </c>
      <c r="S25" s="440">
        <f>'Cost + BS Assumptions'!S14</f>
        <v>4782</v>
      </c>
      <c r="T25" s="440">
        <f>'Cost + BS Assumptions'!T14</f>
        <v>5041</v>
      </c>
      <c r="U25" s="440">
        <f>'Cost + BS Assumptions'!U14</f>
        <v>5381</v>
      </c>
      <c r="V25" s="440">
        <f>'Cost + BS Assumptions'!V14</f>
        <v>5207</v>
      </c>
      <c r="W25" s="440">
        <f>'Cost + BS Assumptions'!W14</f>
        <v>5279</v>
      </c>
      <c r="X25" s="440">
        <f>'Cost + BS Assumptions'!X14</f>
        <v>4058</v>
      </c>
      <c r="Y25" s="440">
        <f>'Cost + BS Assumptions'!Y14</f>
        <v>4012</v>
      </c>
      <c r="Z25" s="440">
        <f>'Cost + BS Assumptions'!Z14</f>
        <v>3620</v>
      </c>
      <c r="AA25" s="440">
        <f>'Cost + BS Assumptions'!AA14</f>
        <v>3967</v>
      </c>
      <c r="AB25" s="440">
        <f>'Cost + BS Assumptions'!AB14</f>
        <v>4291</v>
      </c>
      <c r="AC25" s="8">
        <f>'Cost + BS Assumptions'!AC14</f>
        <v>3990</v>
      </c>
      <c r="AD25" s="8">
        <f>'Cost + BS Assumptions'!AD14</f>
        <v>4029.9</v>
      </c>
      <c r="AE25" s="8">
        <f>'Cost + BS Assumptions'!AE14</f>
        <v>4070.1990000000001</v>
      </c>
      <c r="AF25" s="8">
        <f>'Cost + BS Assumptions'!AF14</f>
        <v>4128.2076829344687</v>
      </c>
      <c r="AG25" s="8">
        <f>'Cost + BS Assumptions'!AG14</f>
        <v>4187.0719939422215</v>
      </c>
      <c r="AH25" s="8">
        <f>'Cost + BS Assumptions'!AH14</f>
        <v>4246.8045535373367</v>
      </c>
      <c r="AI25" s="8">
        <f>'Cost + BS Assumptions'!AI14</f>
        <v>4307.4181683864808</v>
      </c>
      <c r="AJ25" s="8">
        <f>'Cost + BS Assumptions'!AJ14</f>
        <v>4368.9258340546494</v>
      </c>
      <c r="AK25" s="8">
        <f>'Cost + BS Assumptions'!AK14</f>
        <v>4431.3407377914236</v>
      </c>
      <c r="AL25" s="8">
        <f>'Cost + BS Assumptions'!AL14</f>
        <v>4494.6473069755957</v>
      </c>
      <c r="AP25" s="530">
        <v>2699</v>
      </c>
      <c r="AQ25" s="8">
        <f>+AR25-AP25</f>
        <v>2508</v>
      </c>
      <c r="AR25" s="8">
        <f>V25</f>
        <v>5207</v>
      </c>
      <c r="AS25" s="530">
        <v>2722</v>
      </c>
      <c r="AT25" s="8">
        <f>+AU25-AS25</f>
        <v>2557</v>
      </c>
      <c r="AU25" s="8">
        <f>W25</f>
        <v>5279</v>
      </c>
      <c r="AV25" s="530">
        <v>2170</v>
      </c>
      <c r="AW25" s="8">
        <f>+AX25-AV25</f>
        <v>1888</v>
      </c>
      <c r="AX25" s="8">
        <f>X25</f>
        <v>4058</v>
      </c>
      <c r="AY25" s="530">
        <v>2033</v>
      </c>
      <c r="AZ25" s="8">
        <f>+BA25-AY25</f>
        <v>1979</v>
      </c>
      <c r="BA25" s="8">
        <f t="shared" ref="BA25:BA30" si="28">Y25</f>
        <v>4012</v>
      </c>
      <c r="BB25" s="530">
        <v>1834</v>
      </c>
      <c r="BC25" s="8">
        <f>+BD25-BB25</f>
        <v>1786</v>
      </c>
      <c r="BD25" s="8">
        <f>Z25</f>
        <v>3620</v>
      </c>
      <c r="BE25" s="530">
        <v>2046</v>
      </c>
      <c r="BF25" s="8">
        <f>+BG25-BE25</f>
        <v>1921</v>
      </c>
      <c r="BG25" s="2">
        <f t="shared" ref="BG25:BN26" si="29">AA25</f>
        <v>3967</v>
      </c>
      <c r="BH25" s="2">
        <f t="shared" si="29"/>
        <v>4291</v>
      </c>
      <c r="BI25" s="2">
        <f t="shared" si="29"/>
        <v>3990</v>
      </c>
      <c r="BJ25" s="2">
        <f t="shared" si="29"/>
        <v>4029.9</v>
      </c>
      <c r="BK25" s="2">
        <f t="shared" si="29"/>
        <v>4070.1990000000001</v>
      </c>
      <c r="BL25" s="2">
        <f t="shared" si="29"/>
        <v>4128.2076829344687</v>
      </c>
      <c r="BM25" s="2">
        <f t="shared" si="29"/>
        <v>4187.0719939422215</v>
      </c>
      <c r="BN25" s="2">
        <f t="shared" si="29"/>
        <v>4246.8045535373367</v>
      </c>
    </row>
    <row r="26" spans="1:66">
      <c r="A26" s="2"/>
      <c r="B26" s="336" t="s">
        <v>1124</v>
      </c>
      <c r="C26" s="18" t="str">
        <f>C25</f>
        <v>A$m</v>
      </c>
      <c r="D26" s="452">
        <f>'Cost + BS Assumptions'!D16</f>
        <v>3329</v>
      </c>
      <c r="E26" s="452">
        <f>'Cost + BS Assumptions'!E16</f>
        <v>3706</v>
      </c>
      <c r="F26" s="452">
        <f>'Cost + BS Assumptions'!F16</f>
        <v>3933</v>
      </c>
      <c r="G26" s="452">
        <f>'Cost + BS Assumptions'!G16</f>
        <v>3615</v>
      </c>
      <c r="H26" s="452">
        <f>'Cost + BS Assumptions'!H16</f>
        <v>3554</v>
      </c>
      <c r="I26" s="452">
        <f>'Cost + BS Assumptions'!I16</f>
        <v>4211</v>
      </c>
      <c r="J26" s="452">
        <f>'Cost + BS Assumptions'!J16</f>
        <v>4701</v>
      </c>
      <c r="K26" s="452">
        <f>'Cost + BS Assumptions'!K16</f>
        <v>5151</v>
      </c>
      <c r="L26" s="452">
        <f>'Cost + BS Assumptions'!L16</f>
        <v>5181</v>
      </c>
      <c r="M26" s="452">
        <f>'Cost + BS Assumptions'!M16</f>
        <v>5313</v>
      </c>
      <c r="N26" s="452">
        <f>'Cost + BS Assumptions'!N16</f>
        <v>5360</v>
      </c>
      <c r="O26" s="451">
        <f>'Cost + BS Assumptions'!O16</f>
        <v>6183</v>
      </c>
      <c r="P26" s="451">
        <f>'Cost + BS Assumptions'!P16</f>
        <v>6179</v>
      </c>
      <c r="Q26" s="451">
        <f>'Cost + BS Assumptions'!Q16</f>
        <v>6389</v>
      </c>
      <c r="R26" s="451">
        <f>'Cost + BS Assumptions'!R16</f>
        <v>6465</v>
      </c>
      <c r="S26" s="440">
        <f>'Cost + BS Assumptions'!S16</f>
        <v>6845</v>
      </c>
      <c r="T26" s="440">
        <f>'Cost + BS Assumptions'!T16</f>
        <v>7245</v>
      </c>
      <c r="U26" s="440">
        <f>'Cost + BS Assumptions'!U16</f>
        <v>7671</v>
      </c>
      <c r="V26" s="440">
        <f>'Cost + BS Assumptions'!V16</f>
        <v>8338</v>
      </c>
      <c r="W26" s="440">
        <f>'Cost + BS Assumptions'!W16</f>
        <v>9138</v>
      </c>
      <c r="X26" s="440">
        <f>'Cost + BS Assumptions'!X16</f>
        <v>9107</v>
      </c>
      <c r="Y26" s="440">
        <f>'Cost + BS Assumptions'!Y16</f>
        <v>8318</v>
      </c>
      <c r="Z26" s="440">
        <f>'Cost + BS Assumptions'!Z16</f>
        <v>8228</v>
      </c>
      <c r="AA26" s="440">
        <f>'Cost + BS Assumptions'!AA16</f>
        <v>8511</v>
      </c>
      <c r="AB26" s="440">
        <f>'Cost + BS Assumptions'!AB16</f>
        <v>8441</v>
      </c>
      <c r="AC26" s="8">
        <f>'Cost + BS Assumptions'!AC16</f>
        <v>8212</v>
      </c>
      <c r="AD26" s="8">
        <f>'Cost + BS Assumptions'!AD16</f>
        <v>8774.8504180778327</v>
      </c>
      <c r="AE26" s="8">
        <f>'Cost + BS Assumptions'!AE16</f>
        <v>9007.3630106383407</v>
      </c>
      <c r="AF26" s="8">
        <f>'Cost + BS Assumptions'!AF16</f>
        <v>9280.5934640639534</v>
      </c>
      <c r="AG26" s="8">
        <f>'Cost + BS Assumptions'!AG16</f>
        <v>9597.1515677170792</v>
      </c>
      <c r="AH26" s="8">
        <f>'Cost + BS Assumptions'!AH16</f>
        <v>9959.2202141178986</v>
      </c>
      <c r="AI26" s="8">
        <f>'Cost + BS Assumptions'!AI16</f>
        <v>10370.215456846712</v>
      </c>
      <c r="AJ26" s="8">
        <f>'Cost + BS Assumptions'!AJ16</f>
        <v>10834.874931181042</v>
      </c>
      <c r="AK26" s="8">
        <f>'Cost + BS Assumptions'!AK16</f>
        <v>11359.40930252094</v>
      </c>
      <c r="AL26" s="8">
        <f>'Cost + BS Assumptions'!AL16</f>
        <v>11876.522665116272</v>
      </c>
      <c r="AP26" s="530">
        <v>3989</v>
      </c>
      <c r="AQ26" s="8">
        <f>+AR26-AP26</f>
        <v>4349</v>
      </c>
      <c r="AR26" s="8">
        <f>V26</f>
        <v>8338</v>
      </c>
      <c r="AS26" s="530">
        <v>4382</v>
      </c>
      <c r="AT26" s="8">
        <f>+AU26-AS26</f>
        <v>4756</v>
      </c>
      <c r="AU26" s="8">
        <f>W26</f>
        <v>9138</v>
      </c>
      <c r="AV26" s="530">
        <v>4622</v>
      </c>
      <c r="AW26" s="8">
        <f>+AX26-AV26</f>
        <v>4485</v>
      </c>
      <c r="AX26" s="8">
        <f>X26</f>
        <v>9107</v>
      </c>
      <c r="AY26" s="530">
        <v>4208</v>
      </c>
      <c r="AZ26" s="8">
        <f>+BA26-AY26</f>
        <v>4110</v>
      </c>
      <c r="BA26" s="8">
        <f t="shared" si="28"/>
        <v>8318</v>
      </c>
      <c r="BB26" s="530">
        <v>4148</v>
      </c>
      <c r="BC26" s="8">
        <f>+BD26-BB26</f>
        <v>4080</v>
      </c>
      <c r="BD26" s="8">
        <f>Z26</f>
        <v>8228</v>
      </c>
      <c r="BE26" s="530">
        <v>4221</v>
      </c>
      <c r="BF26" s="8">
        <f>+BG26-BE26</f>
        <v>4290</v>
      </c>
      <c r="BG26" s="2">
        <f t="shared" si="29"/>
        <v>8511</v>
      </c>
      <c r="BH26" s="2">
        <f t="shared" si="29"/>
        <v>8441</v>
      </c>
      <c r="BI26" s="2">
        <f t="shared" si="29"/>
        <v>8212</v>
      </c>
      <c r="BJ26" s="2">
        <f t="shared" si="29"/>
        <v>8774.8504180778327</v>
      </c>
      <c r="BK26" s="2">
        <f t="shared" si="29"/>
        <v>9007.3630106383407</v>
      </c>
      <c r="BL26" s="2">
        <f t="shared" si="29"/>
        <v>9280.5934640639534</v>
      </c>
      <c r="BM26" s="2">
        <f t="shared" si="29"/>
        <v>9597.1515677170792</v>
      </c>
      <c r="BN26" s="2">
        <f t="shared" si="29"/>
        <v>9959.2202141178986</v>
      </c>
    </row>
    <row r="27" spans="1:66">
      <c r="A27" s="2"/>
      <c r="B27" s="339" t="s">
        <v>1329</v>
      </c>
      <c r="C27" s="18" t="str">
        <f>C26</f>
        <v>A$m</v>
      </c>
      <c r="D27" s="452"/>
      <c r="E27" s="452"/>
      <c r="F27" s="452"/>
      <c r="G27" s="452"/>
      <c r="H27" s="452"/>
      <c r="I27" s="452"/>
      <c r="J27" s="452"/>
      <c r="K27" s="452"/>
      <c r="L27" s="452"/>
      <c r="M27" s="452"/>
      <c r="N27" s="452"/>
      <c r="O27" s="451"/>
      <c r="P27" s="451"/>
      <c r="Q27" s="451"/>
      <c r="R27" s="451"/>
      <c r="S27" s="440"/>
      <c r="T27" s="440"/>
      <c r="U27" s="440"/>
      <c r="V27" s="440">
        <f>'Cost + BS Assumptions'!V19</f>
        <v>190</v>
      </c>
      <c r="W27" s="440">
        <f>'Cost + BS Assumptions'!W19</f>
        <v>184</v>
      </c>
      <c r="X27" s="440">
        <f>'Cost + BS Assumptions'!X19</f>
        <v>202</v>
      </c>
      <c r="Y27" s="440">
        <f>'Cost + BS Assumptions'!Y19</f>
        <v>160</v>
      </c>
      <c r="Z27" s="440">
        <f>'Cost + BS Assumptions'!Z19</f>
        <v>98</v>
      </c>
      <c r="AA27" s="440">
        <f>'Cost + BS Assumptions'!AA19</f>
        <v>90</v>
      </c>
      <c r="AB27" s="440">
        <f>'Cost + BS Assumptions'!AB19</f>
        <v>92</v>
      </c>
      <c r="AC27" s="440">
        <f>'Cost + BS Assumptions'!AC19</f>
        <v>118</v>
      </c>
      <c r="AD27" s="440">
        <f>'Cost + BS Assumptions'!AD19</f>
        <v>118</v>
      </c>
      <c r="AE27" s="440">
        <f>'Cost + BS Assumptions'!AE19</f>
        <v>118</v>
      </c>
      <c r="AF27" s="440">
        <f>'Cost + BS Assumptions'!AF19</f>
        <v>118</v>
      </c>
      <c r="AG27" s="440">
        <f>'Cost + BS Assumptions'!AG19</f>
        <v>118</v>
      </c>
      <c r="AH27" s="440">
        <f>'Cost + BS Assumptions'!AH19</f>
        <v>118</v>
      </c>
      <c r="AI27" s="440">
        <f>'Cost + BS Assumptions'!AI19</f>
        <v>118</v>
      </c>
      <c r="AJ27" s="440">
        <f>'Cost + BS Assumptions'!AJ19</f>
        <v>118</v>
      </c>
      <c r="AK27" s="440">
        <f>'Cost + BS Assumptions'!AK19</f>
        <v>118</v>
      </c>
      <c r="AL27" s="440">
        <f>'Cost + BS Assumptions'!AL19</f>
        <v>118</v>
      </c>
      <c r="AP27" s="530"/>
      <c r="AQ27" s="8"/>
      <c r="AR27" s="8"/>
      <c r="AS27" s="530"/>
      <c r="AT27" s="8"/>
      <c r="AU27" s="8"/>
      <c r="AV27" s="530"/>
      <c r="AW27" s="8"/>
      <c r="AX27" s="8"/>
      <c r="AY27" s="530"/>
      <c r="AZ27" s="8"/>
      <c r="BA27" s="8"/>
      <c r="BB27" s="530"/>
      <c r="BC27" s="8"/>
      <c r="BD27" s="8"/>
      <c r="BE27" s="530"/>
      <c r="BF27" s="8"/>
      <c r="BG27" s="2"/>
      <c r="BH27" s="2"/>
      <c r="BI27" s="2"/>
      <c r="BJ27" s="2"/>
      <c r="BK27" s="2"/>
      <c r="BL27" s="2"/>
      <c r="BM27" s="2"/>
      <c r="BN27" s="2"/>
    </row>
    <row r="28" spans="1:66">
      <c r="A28" s="2"/>
      <c r="B28" s="336" t="s">
        <v>1353</v>
      </c>
      <c r="C28" s="18" t="str">
        <f>C25</f>
        <v>A$m</v>
      </c>
      <c r="D28" s="452">
        <f>'Cost + BS Assumptions'!D21</f>
        <v>4035</v>
      </c>
      <c r="E28" s="452">
        <f>'Cost + BS Assumptions'!E21</f>
        <v>6711</v>
      </c>
      <c r="F28" s="452">
        <f>'Cost + BS Assumptions'!F21</f>
        <v>4065</v>
      </c>
      <c r="G28" s="452">
        <f>'Cost + BS Assumptions'!G21</f>
        <v>4602</v>
      </c>
      <c r="H28" s="452">
        <f>'Cost + BS Assumptions'!H21</f>
        <v>4255</v>
      </c>
      <c r="I28" s="452">
        <f>'Cost + BS Assumptions'!I21</f>
        <v>3815</v>
      </c>
      <c r="J28" s="452">
        <f>'Cost + BS Assumptions'!J21</f>
        <v>4427</v>
      </c>
      <c r="K28" s="452">
        <f>'Cost + BS Assumptions'!K21</f>
        <v>4924</v>
      </c>
      <c r="L28" s="452">
        <f>'Cost + BS Assumptions'!L21</f>
        <v>4192</v>
      </c>
      <c r="M28" s="452">
        <f>'Cost + BS Assumptions'!M21</f>
        <v>4195</v>
      </c>
      <c r="N28" s="452">
        <f>'Cost + BS Assumptions'!N21</f>
        <v>4184</v>
      </c>
      <c r="O28" s="451">
        <f>'Cost + BS Assumptions'!O21</f>
        <v>4017</v>
      </c>
      <c r="P28" s="451">
        <f>'Cost + BS Assumptions'!P21</f>
        <v>4122</v>
      </c>
      <c r="Q28" s="451">
        <f>'Cost + BS Assumptions'!Q21</f>
        <v>4158</v>
      </c>
      <c r="R28" s="451">
        <f>'Cost + BS Assumptions'!R21</f>
        <v>3988</v>
      </c>
      <c r="S28" s="440">
        <f>'Cost + BS Assumptions'!S21</f>
        <v>3971</v>
      </c>
      <c r="T28" s="440">
        <f>'Cost + BS Assumptions'!T21</f>
        <v>4314</v>
      </c>
      <c r="U28" s="440">
        <f>'Cost + BS Assumptions'!U21</f>
        <v>4506</v>
      </c>
      <c r="V28" s="440">
        <f>'Cost + BS Assumptions'!V21</f>
        <v>4887</v>
      </c>
      <c r="W28" s="440">
        <f>'Cost + BS Assumptions'!W21</f>
        <v>4784</v>
      </c>
      <c r="X28" s="440">
        <f>'Cost + BS Assumptions'!X21</f>
        <v>3584</v>
      </c>
      <c r="Y28" s="440">
        <f>'Cost + BS Assumptions'!Y21</f>
        <v>2980</v>
      </c>
      <c r="Z28" s="440">
        <f>'Cost + BS Assumptions'!Z21</f>
        <v>2812</v>
      </c>
      <c r="AA28" s="440">
        <f>'Cost + BS Assumptions'!AA21</f>
        <v>2788</v>
      </c>
      <c r="AB28" s="440">
        <f>'Cost + BS Assumptions'!AB21</f>
        <v>3114</v>
      </c>
      <c r="AC28" s="8">
        <f>'Cost + BS Assumptions'!AC21</f>
        <v>2666</v>
      </c>
      <c r="AD28" s="8">
        <f>'Cost + BS Assumptions'!AD21</f>
        <v>2688.3316888403519</v>
      </c>
      <c r="AE28" s="8">
        <f>'Cost + BS Assumptions'!AE21</f>
        <v>2712.8026524191469</v>
      </c>
      <c r="AF28" s="8">
        <f>'Cost + BS Assumptions'!AF21</f>
        <v>2737.8256529278774</v>
      </c>
      <c r="AG28" s="8">
        <f>'Cost + BS Assumptions'!AG21</f>
        <v>2766.9683851122954</v>
      </c>
      <c r="AH28" s="8">
        <f>'Cost + BS Assumptions'!AH21</f>
        <v>2800.4273002208906</v>
      </c>
      <c r="AI28" s="8">
        <f>'Cost + BS Assumptions'!AI21</f>
        <v>2838.4705096778762</v>
      </c>
      <c r="AJ28" s="8">
        <f>'Cost + BS Assumptions'!AJ21</f>
        <v>2881.4455984321198</v>
      </c>
      <c r="AK28" s="8">
        <f>'Cost + BS Assumptions'!AK21</f>
        <v>2929.7895418816101</v>
      </c>
      <c r="AL28" s="8">
        <f>'Cost + BS Assumptions'!AL21</f>
        <v>2978.9445840620706</v>
      </c>
      <c r="AP28" s="530">
        <f>2473+103</f>
        <v>2576</v>
      </c>
      <c r="AQ28" s="8">
        <f>+AR28-AP28</f>
        <v>2311</v>
      </c>
      <c r="AR28" s="8">
        <f>V28</f>
        <v>4887</v>
      </c>
      <c r="AS28" s="530">
        <f>2349+88</f>
        <v>2437</v>
      </c>
      <c r="AT28" s="8">
        <f>+AU28-AS28</f>
        <v>2347</v>
      </c>
      <c r="AU28" s="8">
        <f>W28</f>
        <v>4784</v>
      </c>
      <c r="AV28" s="530">
        <f>1766+80</f>
        <v>1846</v>
      </c>
      <c r="AW28" s="8">
        <f>+AX28-AV28</f>
        <v>1738</v>
      </c>
      <c r="AX28" s="8">
        <f>X28</f>
        <v>3584</v>
      </c>
      <c r="AY28" s="530">
        <f>1624+78</f>
        <v>1702</v>
      </c>
      <c r="AZ28" s="8">
        <f>+BA28-AY28</f>
        <v>1278</v>
      </c>
      <c r="BA28" s="8">
        <f t="shared" si="28"/>
        <v>2980</v>
      </c>
      <c r="BB28" s="530">
        <f>1389+41</f>
        <v>1430</v>
      </c>
      <c r="BC28" s="8">
        <f>+BD28-BB28</f>
        <v>1382</v>
      </c>
      <c r="BD28" s="8">
        <f>Z28</f>
        <v>2812</v>
      </c>
      <c r="BE28" s="530">
        <f>1418+38</f>
        <v>1456</v>
      </c>
      <c r="BF28" s="8">
        <f>+BG28-BE28</f>
        <v>1332</v>
      </c>
      <c r="BG28" s="2">
        <f t="shared" ref="BG28:BN30" si="30">AA28</f>
        <v>2788</v>
      </c>
      <c r="BH28" s="2">
        <f t="shared" si="30"/>
        <v>3114</v>
      </c>
      <c r="BI28" s="2">
        <f t="shared" si="30"/>
        <v>2666</v>
      </c>
      <c r="BJ28" s="2">
        <f t="shared" si="30"/>
        <v>2688.3316888403519</v>
      </c>
      <c r="BK28" s="2">
        <f t="shared" si="30"/>
        <v>2712.8026524191469</v>
      </c>
      <c r="BL28" s="2">
        <f t="shared" si="30"/>
        <v>2737.8256529278774</v>
      </c>
      <c r="BM28" s="2">
        <f t="shared" si="30"/>
        <v>2766.9683851122954</v>
      </c>
      <c r="BN28" s="2">
        <f t="shared" si="30"/>
        <v>2800.4273002208906</v>
      </c>
    </row>
    <row r="29" spans="1:66">
      <c r="A29" s="6"/>
      <c r="B29" s="6" t="s">
        <v>33</v>
      </c>
      <c r="C29" s="21" t="str">
        <f>C28</f>
        <v>A$m</v>
      </c>
      <c r="D29" s="60">
        <f t="shared" ref="D29:AH29" si="31">SUM(D25:D28)</f>
        <v>11164</v>
      </c>
      <c r="E29" s="60">
        <f t="shared" si="31"/>
        <v>13539</v>
      </c>
      <c r="F29" s="60">
        <f t="shared" si="31"/>
        <v>11238</v>
      </c>
      <c r="G29" s="60">
        <f t="shared" si="31"/>
        <v>11421</v>
      </c>
      <c r="H29" s="60">
        <f t="shared" si="31"/>
        <v>11027</v>
      </c>
      <c r="I29" s="60">
        <f t="shared" si="31"/>
        <v>11884</v>
      </c>
      <c r="J29" s="60">
        <f t="shared" si="31"/>
        <v>13492</v>
      </c>
      <c r="K29" s="60">
        <f t="shared" si="31"/>
        <v>14092</v>
      </c>
      <c r="L29" s="60">
        <f t="shared" si="31"/>
        <v>14586</v>
      </c>
      <c r="M29" s="60">
        <f t="shared" si="31"/>
        <v>14668</v>
      </c>
      <c r="N29" s="60">
        <f t="shared" si="31"/>
        <v>14184</v>
      </c>
      <c r="O29" s="249">
        <f t="shared" si="31"/>
        <v>15154</v>
      </c>
      <c r="P29" s="249">
        <f t="shared" si="31"/>
        <v>15269</v>
      </c>
      <c r="Q29" s="249">
        <f t="shared" si="31"/>
        <v>15350</v>
      </c>
      <c r="R29" s="249">
        <f t="shared" si="31"/>
        <v>15185</v>
      </c>
      <c r="S29" s="249">
        <f t="shared" si="31"/>
        <v>15598</v>
      </c>
      <c r="T29" s="249">
        <f t="shared" si="31"/>
        <v>16600</v>
      </c>
      <c r="U29" s="249">
        <f t="shared" si="31"/>
        <v>17558</v>
      </c>
      <c r="V29" s="249">
        <f t="shared" si="31"/>
        <v>18622</v>
      </c>
      <c r="W29" s="249">
        <f t="shared" si="31"/>
        <v>19385</v>
      </c>
      <c r="X29" s="249">
        <f t="shared" si="31"/>
        <v>16951</v>
      </c>
      <c r="Y29" s="249">
        <f t="shared" si="31"/>
        <v>15470</v>
      </c>
      <c r="Z29" s="249">
        <f>SUM(Z25:Z28)</f>
        <v>14758</v>
      </c>
      <c r="AA29" s="249">
        <f t="shared" si="31"/>
        <v>15356</v>
      </c>
      <c r="AB29" s="249">
        <f>SUM(AB25:AB28)</f>
        <v>15938</v>
      </c>
      <c r="AC29" s="249">
        <f t="shared" si="31"/>
        <v>14986</v>
      </c>
      <c r="AD29" s="249">
        <f t="shared" si="31"/>
        <v>15611.082106918184</v>
      </c>
      <c r="AE29" s="249">
        <f t="shared" si="31"/>
        <v>15908.364663057488</v>
      </c>
      <c r="AF29" s="249">
        <f t="shared" si="31"/>
        <v>16264.6267999263</v>
      </c>
      <c r="AG29" s="249">
        <f t="shared" si="31"/>
        <v>16669.191946771596</v>
      </c>
      <c r="AH29" s="249">
        <f t="shared" si="31"/>
        <v>17124.452067876126</v>
      </c>
      <c r="AI29" s="249">
        <f>SUM(AI25:AI28)</f>
        <v>17634.104134911067</v>
      </c>
      <c r="AJ29" s="249">
        <f t="shared" ref="AJ29:AK29" si="32">SUM(AJ25:AJ28)</f>
        <v>18203.246363667811</v>
      </c>
      <c r="AK29" s="249">
        <f t="shared" si="32"/>
        <v>18838.539582193975</v>
      </c>
      <c r="AL29" s="249">
        <f t="shared" ref="AL29" si="33">SUM(AL25:AL28)</f>
        <v>19468.114556153942</v>
      </c>
      <c r="AP29" s="9">
        <f>SUM(AP25:AP28)</f>
        <v>9264</v>
      </c>
      <c r="AQ29" s="9">
        <f>SUM(AQ25:AQ28)</f>
        <v>9168</v>
      </c>
      <c r="AR29" s="9">
        <f>V29</f>
        <v>18622</v>
      </c>
      <c r="AS29" s="9">
        <f>SUM(AS25:AS28)</f>
        <v>9541</v>
      </c>
      <c r="AT29" s="9">
        <f>SUM(AT25:AT28)</f>
        <v>9660</v>
      </c>
      <c r="AU29" s="9">
        <f>W29</f>
        <v>19385</v>
      </c>
      <c r="AV29" s="9">
        <f>SUM(AV25:AV28)</f>
        <v>8638</v>
      </c>
      <c r="AW29" s="9">
        <f>SUM(AW25:AW28)</f>
        <v>8111</v>
      </c>
      <c r="AX29" s="9">
        <f>X29</f>
        <v>16951</v>
      </c>
      <c r="AY29" s="9">
        <f>SUM(AY25:AY28)</f>
        <v>7943</v>
      </c>
      <c r="AZ29" s="9">
        <f>SUM(AZ25:AZ28)</f>
        <v>7367</v>
      </c>
      <c r="BA29" s="9">
        <f t="shared" si="28"/>
        <v>15470</v>
      </c>
      <c r="BB29" s="9">
        <f>SUM(BB25:BB28)</f>
        <v>7412</v>
      </c>
      <c r="BC29" s="9">
        <f>SUM(BC25:BC28)</f>
        <v>7248</v>
      </c>
      <c r="BD29" s="9">
        <f>Z29</f>
        <v>14758</v>
      </c>
      <c r="BE29" s="9">
        <f>SUM(BE25:BE28)</f>
        <v>7723</v>
      </c>
      <c r="BF29" s="9">
        <f>SUM(BF25:BF28)</f>
        <v>7543</v>
      </c>
      <c r="BG29" s="6">
        <f t="shared" si="30"/>
        <v>15356</v>
      </c>
      <c r="BH29" s="6">
        <f t="shared" si="30"/>
        <v>15938</v>
      </c>
      <c r="BI29" s="6">
        <f t="shared" si="30"/>
        <v>14986</v>
      </c>
      <c r="BJ29" s="6">
        <f t="shared" si="30"/>
        <v>15611.082106918184</v>
      </c>
      <c r="BK29" s="6">
        <f t="shared" si="30"/>
        <v>15908.364663057488</v>
      </c>
      <c r="BL29" s="6">
        <f t="shared" si="30"/>
        <v>16264.6267999263</v>
      </c>
      <c r="BM29" s="6">
        <f t="shared" si="30"/>
        <v>16669.191946771596</v>
      </c>
      <c r="BN29" s="6">
        <f t="shared" si="30"/>
        <v>17124.452067876126</v>
      </c>
    </row>
    <row r="30" spans="1:66" collapsed="1">
      <c r="A30" s="312"/>
      <c r="B30" s="325" t="s">
        <v>880</v>
      </c>
      <c r="C30" s="811" t="s">
        <v>733</v>
      </c>
      <c r="D30" s="311"/>
      <c r="E30" s="311" t="str">
        <f>IFERROR(E176/D176-1,"")</f>
        <v/>
      </c>
      <c r="F30" s="311" t="str">
        <f>IFERROR(F176/E176-1,"")</f>
        <v/>
      </c>
      <c r="G30" s="311" t="str">
        <f>IFERROR(G176/F176-1,"")</f>
        <v/>
      </c>
      <c r="H30" s="311" t="str">
        <f>IFERROR(H176/G176-1,"")</f>
        <v/>
      </c>
      <c r="I30" s="311" t="str">
        <f>IFERROR(I176/H176-1,"")</f>
        <v/>
      </c>
      <c r="J30" s="311">
        <f t="shared" ref="J30:U30" si="34">J176/I176-1</f>
        <v>6.3749705359376074E-2</v>
      </c>
      <c r="K30" s="311">
        <f t="shared" si="34"/>
        <v>0.13965190531079097</v>
      </c>
      <c r="L30" s="311">
        <f t="shared" si="34"/>
        <v>0.12013742740421085</v>
      </c>
      <c r="M30" s="311">
        <f t="shared" si="34"/>
        <v>0.21461369355691762</v>
      </c>
      <c r="N30" s="311">
        <f t="shared" si="34"/>
        <v>9.5353268836118277E-2</v>
      </c>
      <c r="O30" s="311">
        <f t="shared" si="34"/>
        <v>6.2306889969103718E-3</v>
      </c>
      <c r="P30" s="311">
        <f t="shared" si="34"/>
        <v>0.22061584678933532</v>
      </c>
      <c r="Q30" s="311">
        <f t="shared" si="34"/>
        <v>0.11875737066092396</v>
      </c>
      <c r="R30" s="311">
        <f t="shared" si="34"/>
        <v>0.10613968250330852</v>
      </c>
      <c r="S30" s="311">
        <f t="shared" si="34"/>
        <v>0.10161591050341823</v>
      </c>
      <c r="T30" s="311">
        <f t="shared" si="34"/>
        <v>2.9069111424541605E-2</v>
      </c>
      <c r="U30" s="311">
        <f t="shared" si="34"/>
        <v>-1.4857252504762775E-2</v>
      </c>
      <c r="V30" s="311">
        <f>V29/U176-1</f>
        <v>3.3180247738033959</v>
      </c>
      <c r="W30" s="311">
        <f t="shared" ref="W30:AI30" si="35">W29/V29-1</f>
        <v>4.0973042637740376E-2</v>
      </c>
      <c r="X30" s="311">
        <f t="shared" si="35"/>
        <v>-0.12556100077379417</v>
      </c>
      <c r="Y30" s="311">
        <f t="shared" si="35"/>
        <v>-8.7369476727036766E-2</v>
      </c>
      <c r="Z30" s="311">
        <f t="shared" si="35"/>
        <v>-4.6024563671622443E-2</v>
      </c>
      <c r="AA30" s="311">
        <f t="shared" si="35"/>
        <v>4.0520395717576818E-2</v>
      </c>
      <c r="AB30" s="311">
        <f>AB29/AA29-1</f>
        <v>3.7900494920552141E-2</v>
      </c>
      <c r="AC30" s="312">
        <f t="shared" si="35"/>
        <v>-5.9731459405195086E-2</v>
      </c>
      <c r="AD30" s="312">
        <f t="shared" si="35"/>
        <v>4.1711070793953198E-2</v>
      </c>
      <c r="AE30" s="312">
        <f t="shared" si="35"/>
        <v>1.9043046094002758E-2</v>
      </c>
      <c r="AF30" s="312">
        <f t="shared" si="35"/>
        <v>2.2394642341593274E-2</v>
      </c>
      <c r="AG30" s="312">
        <f t="shared" si="35"/>
        <v>2.4873927439093224E-2</v>
      </c>
      <c r="AH30" s="312">
        <f t="shared" si="35"/>
        <v>2.7311469119695397E-2</v>
      </c>
      <c r="AI30" s="312">
        <f t="shared" si="35"/>
        <v>2.9761656899434552E-2</v>
      </c>
      <c r="AJ30" s="312">
        <f t="shared" ref="AJ30" si="36">AJ29/AI29-1</f>
        <v>3.2275086071993142E-2</v>
      </c>
      <c r="AK30" s="312">
        <f t="shared" ref="AK30:AL30" si="37">AK29/AJ29-1</f>
        <v>3.4899995629030123E-2</v>
      </c>
      <c r="AL30" s="312">
        <f t="shared" si="37"/>
        <v>3.3419521253921225E-2</v>
      </c>
      <c r="AP30" s="343"/>
      <c r="AQ30" s="343"/>
      <c r="AR30" s="343">
        <f>V30</f>
        <v>3.3180247738033959</v>
      </c>
      <c r="AS30" s="343">
        <f>AS176/AP176-1</f>
        <v>-4.4871794871794823E-2</v>
      </c>
      <c r="AT30" s="343">
        <f>AT176/AQ176-1</f>
        <v>-4.1204437400950922E-2</v>
      </c>
      <c r="AU30" s="343">
        <f>W30</f>
        <v>4.0973042637740376E-2</v>
      </c>
      <c r="AV30" s="343">
        <f>AV176/AS176-1</f>
        <v>-2.4264326277749104E-2</v>
      </c>
      <c r="AW30" s="343">
        <f>AW176/AT176-1</f>
        <v>-0.11294765840220389</v>
      </c>
      <c r="AX30" s="343">
        <f>X30</f>
        <v>-0.12556100077379417</v>
      </c>
      <c r="AY30" s="343">
        <f>AY176/AV176-1</f>
        <v>0</v>
      </c>
      <c r="AZ30" s="343">
        <f>AZ176/AW176-1</f>
        <v>-0.17597321773466645</v>
      </c>
      <c r="BA30" s="343">
        <f t="shared" si="28"/>
        <v>-8.7369476727036766E-2</v>
      </c>
      <c r="BB30" s="343">
        <f>BB176/AY176-1</f>
        <v>0</v>
      </c>
      <c r="BC30" s="343">
        <f>BC176/AZ176-1</f>
        <v>0.40813653240868186</v>
      </c>
      <c r="BD30" s="343">
        <f>Z30</f>
        <v>-4.6024563671622443E-2</v>
      </c>
      <c r="BE30" s="343">
        <f>BE176/BB176-1</f>
        <v>0</v>
      </c>
      <c r="BF30" s="343">
        <f>BF176/BC176-1</f>
        <v>-0.10078462429920987</v>
      </c>
      <c r="BG30" s="312">
        <f t="shared" si="30"/>
        <v>4.0520395717576818E-2</v>
      </c>
      <c r="BH30" s="312">
        <f t="shared" si="30"/>
        <v>3.7900494920552141E-2</v>
      </c>
      <c r="BI30" s="312">
        <f t="shared" si="30"/>
        <v>-5.9731459405195086E-2</v>
      </c>
      <c r="BJ30" s="312">
        <f t="shared" si="30"/>
        <v>4.1711070793953198E-2</v>
      </c>
      <c r="BK30" s="312">
        <f t="shared" si="30"/>
        <v>1.9043046094002758E-2</v>
      </c>
      <c r="BL30" s="312">
        <f t="shared" si="30"/>
        <v>2.2394642341593274E-2</v>
      </c>
      <c r="BM30" s="312">
        <f t="shared" si="30"/>
        <v>2.4873927439093224E-2</v>
      </c>
      <c r="BN30" s="312">
        <f t="shared" si="30"/>
        <v>2.7311469119695397E-2</v>
      </c>
    </row>
    <row r="31" spans="1:66">
      <c r="A31" s="2"/>
      <c r="B31" s="6"/>
      <c r="C31" s="21"/>
      <c r="D31" s="56"/>
      <c r="E31" s="42"/>
      <c r="F31" s="42"/>
      <c r="G31" s="42"/>
      <c r="H31" s="42"/>
      <c r="I31" s="42"/>
      <c r="J31" s="42"/>
      <c r="K31" s="42"/>
      <c r="L31" s="42"/>
      <c r="M31" s="42"/>
      <c r="N31" s="42"/>
      <c r="O31" s="56"/>
      <c r="P31" s="56"/>
      <c r="Q31" s="56"/>
      <c r="R31" s="56"/>
      <c r="S31" s="56"/>
      <c r="T31" s="56"/>
      <c r="U31" s="56"/>
      <c r="V31" s="56"/>
      <c r="W31" s="56"/>
      <c r="X31" s="56"/>
      <c r="Y31" s="56"/>
      <c r="Z31" s="56"/>
      <c r="AA31" s="56"/>
      <c r="AB31" s="56"/>
      <c r="AC31" s="2"/>
      <c r="AD31" s="2"/>
      <c r="AE31" s="2"/>
      <c r="AF31" s="2"/>
      <c r="AG31" s="2"/>
      <c r="AH31" s="2"/>
      <c r="AI31" s="2"/>
      <c r="AJ31" s="2"/>
      <c r="AK31" s="2"/>
      <c r="AL31" s="2"/>
      <c r="AP31" s="8"/>
      <c r="AQ31" s="8"/>
      <c r="AR31" s="8"/>
      <c r="AS31" s="8"/>
      <c r="AT31" s="8"/>
      <c r="AU31" s="8"/>
      <c r="AV31" s="8"/>
      <c r="AW31" s="8"/>
      <c r="AX31" s="8"/>
      <c r="AY31" s="8"/>
      <c r="AZ31" s="8"/>
      <c r="BA31" s="8"/>
      <c r="BB31" s="8"/>
      <c r="BC31" s="8"/>
      <c r="BD31" s="8"/>
      <c r="BE31" s="8"/>
      <c r="BF31" s="8"/>
      <c r="BG31" s="2"/>
      <c r="BH31" s="2"/>
      <c r="BI31" s="2"/>
      <c r="BJ31" s="2"/>
      <c r="BK31" s="2"/>
      <c r="BL31" s="2"/>
      <c r="BM31" s="2"/>
      <c r="BN31" s="2"/>
    </row>
    <row r="32" spans="1:66">
      <c r="A32" s="6"/>
      <c r="B32" s="6" t="s">
        <v>416</v>
      </c>
      <c r="C32" s="21" t="s">
        <v>732</v>
      </c>
      <c r="D32" s="60">
        <f>D29+734</f>
        <v>11898</v>
      </c>
      <c r="E32" s="60">
        <f>E29-573</f>
        <v>12966</v>
      </c>
      <c r="F32" s="60">
        <f t="shared" ref="F32:T32" si="38">F29</f>
        <v>11238</v>
      </c>
      <c r="G32" s="60">
        <f t="shared" si="38"/>
        <v>11421</v>
      </c>
      <c r="H32" s="60">
        <f t="shared" si="38"/>
        <v>11027</v>
      </c>
      <c r="I32" s="60">
        <f t="shared" si="38"/>
        <v>11884</v>
      </c>
      <c r="J32" s="60">
        <f t="shared" si="38"/>
        <v>13492</v>
      </c>
      <c r="K32" s="60">
        <f t="shared" si="38"/>
        <v>14092</v>
      </c>
      <c r="L32" s="60">
        <f t="shared" si="38"/>
        <v>14586</v>
      </c>
      <c r="M32" s="60">
        <f t="shared" si="38"/>
        <v>14668</v>
      </c>
      <c r="N32" s="60">
        <f t="shared" si="38"/>
        <v>14184</v>
      </c>
      <c r="O32" s="249">
        <f t="shared" si="38"/>
        <v>15154</v>
      </c>
      <c r="P32" s="249">
        <f t="shared" si="38"/>
        <v>15269</v>
      </c>
      <c r="Q32" s="249">
        <f t="shared" si="38"/>
        <v>15350</v>
      </c>
      <c r="R32" s="249">
        <f t="shared" si="38"/>
        <v>15185</v>
      </c>
      <c r="S32" s="249">
        <f t="shared" si="38"/>
        <v>15598</v>
      </c>
      <c r="T32" s="341">
        <f t="shared" si="38"/>
        <v>16600</v>
      </c>
      <c r="U32" s="341">
        <f>U171-U186</f>
        <v>17440.359751576441</v>
      </c>
      <c r="V32" s="341">
        <f>V171-V186</f>
        <v>21266</v>
      </c>
      <c r="W32" s="341">
        <f>+W21-W51</f>
        <v>19373</v>
      </c>
      <c r="X32" s="341">
        <f>+X21-X51</f>
        <v>17526</v>
      </c>
      <c r="Y32" s="341">
        <f t="shared" ref="Y32:AH32" si="39">+Y21-Y51</f>
        <v>15688</v>
      </c>
      <c r="Z32" s="341">
        <f>+Z21-Z51</f>
        <v>14789</v>
      </c>
      <c r="AA32" s="341">
        <f t="shared" si="39"/>
        <v>15383.009539999999</v>
      </c>
      <c r="AB32" s="341">
        <f>+AB21-AB51</f>
        <v>15954</v>
      </c>
      <c r="AC32" s="341">
        <f t="shared" si="39"/>
        <v>15002</v>
      </c>
      <c r="AD32" s="341">
        <f t="shared" si="39"/>
        <v>15548.326003922921</v>
      </c>
      <c r="AE32" s="341">
        <f t="shared" si="39"/>
        <v>15927.576442644773</v>
      </c>
      <c r="AF32" s="341">
        <f t="shared" si="39"/>
        <v>16388.394399210607</v>
      </c>
      <c r="AG32" s="341">
        <f t="shared" si="39"/>
        <v>16937.261670173531</v>
      </c>
      <c r="AH32" s="341">
        <f t="shared" si="39"/>
        <v>17577.567809387496</v>
      </c>
      <c r="AI32" s="341">
        <f>+AI21-AI51</f>
        <v>18315.511806150025</v>
      </c>
      <c r="AJ32" s="341">
        <f t="shared" ref="AJ32:AK32" si="40">+AJ21-AJ51</f>
        <v>19160.271507036548</v>
      </c>
      <c r="AK32" s="341">
        <f t="shared" si="40"/>
        <v>20124.320067798504</v>
      </c>
      <c r="AL32" s="341">
        <f t="shared" ref="AL32" si="41">+AL21-AL51</f>
        <v>21078.300950057066</v>
      </c>
      <c r="AP32" s="404">
        <f>AP21-AP48</f>
        <v>14391</v>
      </c>
      <c r="AQ32" s="404">
        <f>AQ21-AQ48</f>
        <v>14450</v>
      </c>
      <c r="AR32" s="404">
        <f>V32</f>
        <v>21266</v>
      </c>
      <c r="AS32" s="404">
        <f>AS21-AS48</f>
        <v>8897</v>
      </c>
      <c r="AT32" s="404">
        <f>AT21-AT48</f>
        <v>9094</v>
      </c>
      <c r="AU32" s="404">
        <f>W32</f>
        <v>19373</v>
      </c>
      <c r="AV32" s="404">
        <f>AV21-AV48</f>
        <v>8750</v>
      </c>
      <c r="AW32" s="404">
        <f>AW21-AW48</f>
        <v>8242</v>
      </c>
      <c r="AX32" s="404">
        <f>X32</f>
        <v>17526</v>
      </c>
      <c r="AY32" s="404">
        <f>AY21-AY48</f>
        <v>8171</v>
      </c>
      <c r="AZ32" s="404">
        <f>AZ21-AZ48</f>
        <v>6727</v>
      </c>
      <c r="BA32" s="404">
        <f>Y32</f>
        <v>15688</v>
      </c>
      <c r="BB32" s="404">
        <f>BB21-BB48</f>
        <v>7267</v>
      </c>
      <c r="BC32" s="404">
        <f>BC21-BC48</f>
        <v>8050</v>
      </c>
      <c r="BD32" s="404">
        <f>Z32</f>
        <v>14789</v>
      </c>
      <c r="BE32" s="404">
        <f>BE21-BE48</f>
        <v>7662</v>
      </c>
      <c r="BF32" s="404">
        <f>BF21-BF48</f>
        <v>8751.0095399999991</v>
      </c>
      <c r="BG32" s="259">
        <f t="shared" ref="BG32:BN33" si="42">AA32</f>
        <v>15383.009539999999</v>
      </c>
      <c r="BH32" s="259">
        <f t="shared" si="42"/>
        <v>15954</v>
      </c>
      <c r="BI32" s="259">
        <f t="shared" si="42"/>
        <v>15002</v>
      </c>
      <c r="BJ32" s="259">
        <f t="shared" si="42"/>
        <v>15548.326003922921</v>
      </c>
      <c r="BK32" s="259">
        <f t="shared" si="42"/>
        <v>15927.576442644773</v>
      </c>
      <c r="BL32" s="259">
        <f t="shared" si="42"/>
        <v>16388.394399210607</v>
      </c>
      <c r="BM32" s="259">
        <f t="shared" si="42"/>
        <v>16937.261670173531</v>
      </c>
      <c r="BN32" s="259">
        <f t="shared" si="42"/>
        <v>17577.567809387496</v>
      </c>
    </row>
    <row r="33" spans="1:79">
      <c r="A33" s="312"/>
      <c r="B33" s="325" t="s">
        <v>880</v>
      </c>
      <c r="C33" s="811" t="s">
        <v>733</v>
      </c>
      <c r="D33" s="311"/>
      <c r="E33" s="311">
        <f t="shared" ref="E33:V33" si="43">(E32/D32)-1</f>
        <v>8.9762985375693383E-2</v>
      </c>
      <c r="F33" s="311">
        <f t="shared" si="43"/>
        <v>-0.13327163350300786</v>
      </c>
      <c r="G33" s="311">
        <f t="shared" si="43"/>
        <v>1.6284036305392435E-2</v>
      </c>
      <c r="H33" s="311">
        <f t="shared" si="43"/>
        <v>-3.4497854828824059E-2</v>
      </c>
      <c r="I33" s="311">
        <f t="shared" si="43"/>
        <v>7.7718327740999404E-2</v>
      </c>
      <c r="J33" s="311">
        <f t="shared" si="43"/>
        <v>0.13530797711208353</v>
      </c>
      <c r="K33" s="311">
        <f t="shared" si="43"/>
        <v>4.4470797509635229E-2</v>
      </c>
      <c r="L33" s="311">
        <f t="shared" si="43"/>
        <v>3.5055350553505615E-2</v>
      </c>
      <c r="M33" s="311">
        <f t="shared" si="43"/>
        <v>5.6218291512408758E-3</v>
      </c>
      <c r="N33" s="311">
        <f t="shared" si="43"/>
        <v>-3.299700027270247E-2</v>
      </c>
      <c r="O33" s="311">
        <f t="shared" si="43"/>
        <v>6.8386914833615364E-2</v>
      </c>
      <c r="P33" s="311">
        <f t="shared" si="43"/>
        <v>7.588755444107198E-3</v>
      </c>
      <c r="Q33" s="311">
        <f t="shared" si="43"/>
        <v>5.3048660685048876E-3</v>
      </c>
      <c r="R33" s="311">
        <f t="shared" si="43"/>
        <v>-1.0749185667752403E-2</v>
      </c>
      <c r="S33" s="311">
        <f t="shared" si="43"/>
        <v>2.7197892657227607E-2</v>
      </c>
      <c r="T33" s="311">
        <f>(T32/S32)-1</f>
        <v>6.4239005000641169E-2</v>
      </c>
      <c r="U33" s="311">
        <f t="shared" si="43"/>
        <v>5.0624081420267641E-2</v>
      </c>
      <c r="V33" s="311">
        <f t="shared" si="43"/>
        <v>0.21935558113001408</v>
      </c>
      <c r="W33" s="311">
        <f t="shared" ref="W33:AB33" si="44">(W32/V32)-1</f>
        <v>-8.9015329634157814E-2</v>
      </c>
      <c r="X33" s="311">
        <f t="shared" si="44"/>
        <v>-9.5338873690187342E-2</v>
      </c>
      <c r="Y33" s="311">
        <f t="shared" si="44"/>
        <v>-0.10487276047015859</v>
      </c>
      <c r="Z33" s="311">
        <f t="shared" si="44"/>
        <v>-5.7304946455889905E-2</v>
      </c>
      <c r="AA33" s="311">
        <f t="shared" si="44"/>
        <v>4.0165632564743925E-2</v>
      </c>
      <c r="AB33" s="311">
        <f t="shared" si="44"/>
        <v>3.7118254299671971E-2</v>
      </c>
      <c r="AC33" s="312">
        <f t="shared" ref="AC33:AI33" si="45">(AC32/AB32)-1</f>
        <v>-5.9671555722702774E-2</v>
      </c>
      <c r="AD33" s="312">
        <f t="shared" si="45"/>
        <v>3.6416878011126474E-2</v>
      </c>
      <c r="AE33" s="312">
        <f t="shared" si="45"/>
        <v>2.4391721567078362E-2</v>
      </c>
      <c r="AF33" s="312">
        <f t="shared" si="45"/>
        <v>2.8932082556642591E-2</v>
      </c>
      <c r="AG33" s="312">
        <f t="shared" si="45"/>
        <v>3.3491216869259821E-2</v>
      </c>
      <c r="AH33" s="312">
        <f t="shared" si="45"/>
        <v>3.7804584453078549E-2</v>
      </c>
      <c r="AI33" s="312">
        <f t="shared" si="45"/>
        <v>4.1982144786175901E-2</v>
      </c>
      <c r="AJ33" s="312">
        <f t="shared" ref="AJ33" si="46">(AJ32/AI32)-1</f>
        <v>4.6122636911673398E-2</v>
      </c>
      <c r="AK33" s="312">
        <f t="shared" ref="AK33:AL33" si="47">(AK32/AJ32)-1</f>
        <v>5.031497389835593E-2</v>
      </c>
      <c r="AL33" s="312">
        <f t="shared" si="47"/>
        <v>4.7404378336491249E-2</v>
      </c>
      <c r="AP33" s="343"/>
      <c r="AQ33" s="343"/>
      <c r="AR33" s="343">
        <f>V33</f>
        <v>0.21935558113001408</v>
      </c>
      <c r="AS33" s="343">
        <f>AS32/AP32-1</f>
        <v>-0.38176638176638178</v>
      </c>
      <c r="AT33" s="343">
        <f>AT32/AQ32-1</f>
        <v>-0.37065743944636675</v>
      </c>
      <c r="AU33" s="343">
        <f>W33</f>
        <v>-8.9015329634157814E-2</v>
      </c>
      <c r="AV33" s="343">
        <f>AV32/AS32-1</f>
        <v>-1.6522423288748977E-2</v>
      </c>
      <c r="AW33" s="343">
        <f>AW32/AT32-1</f>
        <v>-9.3688146030349695E-2</v>
      </c>
      <c r="AX33" s="343">
        <f>X33</f>
        <v>-9.5338873690187342E-2</v>
      </c>
      <c r="AY33" s="343">
        <f>AY32/AV32-1</f>
        <v>-6.6171428571428548E-2</v>
      </c>
      <c r="AZ33" s="343">
        <f>AZ32/AW32-1</f>
        <v>-0.18381460810482897</v>
      </c>
      <c r="BA33" s="343">
        <f>Y33</f>
        <v>-0.10487276047015859</v>
      </c>
      <c r="BB33" s="343">
        <f>BB32/AY32-1</f>
        <v>-0.1106351731734182</v>
      </c>
      <c r="BC33" s="343">
        <f>BC32/AZ32-1</f>
        <v>0.1966701352757545</v>
      </c>
      <c r="BD33" s="343">
        <f>Z33</f>
        <v>-5.7304946455889905E-2</v>
      </c>
      <c r="BE33" s="343">
        <f>BE32/BB32-1</f>
        <v>5.4355304802532034E-2</v>
      </c>
      <c r="BF33" s="343">
        <f>BF32/BC32-1</f>
        <v>8.7081930434782517E-2</v>
      </c>
      <c r="BG33" s="312">
        <f t="shared" si="42"/>
        <v>4.0165632564743925E-2</v>
      </c>
      <c r="BH33" s="312">
        <f t="shared" si="42"/>
        <v>3.7118254299671971E-2</v>
      </c>
      <c r="BI33" s="312">
        <f t="shared" si="42"/>
        <v>-5.9671555722702774E-2</v>
      </c>
      <c r="BJ33" s="312">
        <f t="shared" si="42"/>
        <v>3.6416878011126474E-2</v>
      </c>
      <c r="BK33" s="312">
        <f t="shared" si="42"/>
        <v>2.4391721567078362E-2</v>
      </c>
      <c r="BL33" s="312">
        <f t="shared" si="42"/>
        <v>2.8932082556642591E-2</v>
      </c>
      <c r="BM33" s="312">
        <f t="shared" si="42"/>
        <v>3.3491216869259821E-2</v>
      </c>
      <c r="BN33" s="312">
        <f t="shared" si="42"/>
        <v>3.7804584453078549E-2</v>
      </c>
    </row>
    <row r="34" spans="1:79">
      <c r="A34" s="2"/>
      <c r="B34" s="36"/>
      <c r="C34" s="18"/>
      <c r="D34" s="7"/>
      <c r="E34" s="7"/>
      <c r="F34" s="7"/>
      <c r="G34" s="149"/>
      <c r="H34" s="7"/>
      <c r="I34" s="7"/>
      <c r="J34" s="928"/>
      <c r="K34" s="29"/>
      <c r="L34" s="42"/>
      <c r="M34" s="29"/>
      <c r="N34" s="29"/>
      <c r="O34" s="29"/>
      <c r="P34" s="29"/>
      <c r="Q34" s="29"/>
      <c r="R34" s="56"/>
      <c r="S34" s="56"/>
      <c r="T34" s="56"/>
      <c r="U34" s="56"/>
      <c r="V34" s="56"/>
      <c r="W34" s="56"/>
      <c r="X34" s="56"/>
      <c r="Y34" s="56"/>
      <c r="Z34" s="56"/>
      <c r="AA34" s="56"/>
      <c r="AB34" s="56"/>
      <c r="AC34" s="2"/>
      <c r="AD34" s="2"/>
      <c r="AE34" s="2"/>
      <c r="AF34" s="2"/>
      <c r="AG34" s="2"/>
      <c r="AH34" s="2"/>
      <c r="AI34" s="2"/>
      <c r="AJ34" s="2"/>
      <c r="AK34" s="2"/>
      <c r="AL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row>
    <row r="35" spans="1:79">
      <c r="A35" s="2"/>
      <c r="B35" s="9" t="s">
        <v>734</v>
      </c>
      <c r="C35" s="926"/>
      <c r="D35" s="149"/>
      <c r="E35" s="149"/>
      <c r="F35" s="149"/>
      <c r="G35" s="149"/>
      <c r="H35" s="149"/>
      <c r="I35" s="149"/>
      <c r="J35" s="149"/>
      <c r="K35" s="149"/>
      <c r="L35" s="149"/>
      <c r="M35" s="149"/>
      <c r="N35" s="149"/>
      <c r="O35" s="256"/>
      <c r="P35" s="256"/>
      <c r="Q35" s="256"/>
      <c r="R35" s="256"/>
      <c r="S35" s="256"/>
      <c r="T35" s="256"/>
      <c r="U35" s="256"/>
      <c r="V35" s="256"/>
      <c r="W35" s="256"/>
      <c r="X35" s="256"/>
      <c r="Y35" s="256"/>
      <c r="Z35" s="256"/>
      <c r="AA35" s="256"/>
      <c r="AB35" s="1196"/>
      <c r="AC35" s="256"/>
      <c r="AD35" s="1210">
        <f>AD36/AC36-1</f>
        <v>4.6717139261251761E-2</v>
      </c>
      <c r="AE35" s="256"/>
      <c r="AF35" s="256"/>
      <c r="AG35" s="256"/>
      <c r="AH35" s="256"/>
      <c r="AI35" s="256"/>
      <c r="AJ35" s="256"/>
      <c r="AK35" s="256"/>
      <c r="AL35" s="256"/>
      <c r="AP35" s="2"/>
      <c r="AQ35" s="2"/>
      <c r="AR35" s="2"/>
      <c r="AS35" s="2"/>
      <c r="AT35" s="2"/>
      <c r="AU35" s="2"/>
      <c r="AV35" s="2"/>
      <c r="AW35" s="2"/>
      <c r="AX35" s="2"/>
      <c r="AY35" s="2"/>
      <c r="AZ35" s="2"/>
      <c r="BA35" s="2"/>
      <c r="BB35" s="2"/>
      <c r="BC35" s="2"/>
      <c r="BD35" s="2"/>
      <c r="BE35" s="2"/>
      <c r="BF35" s="2"/>
      <c r="BG35" s="2"/>
      <c r="BH35" s="2"/>
      <c r="BI35" s="2"/>
      <c r="BJ35" s="2"/>
      <c r="BK35" s="2"/>
      <c r="BL35" s="2"/>
      <c r="BM35" s="2"/>
      <c r="BN35" s="2"/>
    </row>
    <row r="36" spans="1:79">
      <c r="A36" s="2"/>
      <c r="B36" s="164" t="s">
        <v>266</v>
      </c>
      <c r="C36" s="14" t="s">
        <v>732</v>
      </c>
      <c r="D36" s="149"/>
      <c r="E36" s="149"/>
      <c r="F36" s="149"/>
      <c r="G36" s="149"/>
      <c r="H36" s="149"/>
      <c r="I36" s="149"/>
      <c r="J36" s="149"/>
      <c r="K36" s="149"/>
      <c r="L36" s="149"/>
      <c r="M36" s="149"/>
      <c r="N36" s="149"/>
      <c r="O36" s="256"/>
      <c r="P36" s="256"/>
      <c r="Q36" s="256"/>
      <c r="R36" s="256"/>
      <c r="S36" s="256"/>
      <c r="T36" s="256"/>
      <c r="U36" s="256"/>
      <c r="V36" s="256"/>
      <c r="W36" s="248">
        <f>'Cost + BS Assumptions'!W29</f>
        <v>3757</v>
      </c>
      <c r="X36" s="248">
        <f>'Cost + BS Assumptions'!X29</f>
        <v>3477</v>
      </c>
      <c r="Y36" s="248">
        <f>'Cost + BS Assumptions'!Y29</f>
        <v>3647</v>
      </c>
      <c r="Z36" s="248">
        <f>'Cost + BS Assumptions'!Z29</f>
        <v>3981</v>
      </c>
      <c r="AA36" s="248">
        <f>'Cost + BS Assumptions'!AA29</f>
        <v>4602</v>
      </c>
      <c r="AB36" s="248">
        <f>'Cost + BS Assumptions'!AB29</f>
        <v>5026</v>
      </c>
      <c r="AC36" s="248">
        <f>'Cost + BS Assumptions'!AC29</f>
        <v>5261</v>
      </c>
      <c r="AD36" s="248">
        <f>'Cost + BS Assumptions'!AD29</f>
        <v>5506.7788696534453</v>
      </c>
      <c r="AE36" s="248">
        <f>'Cost + BS Assumptions'!AE29</f>
        <v>5757.3635908389933</v>
      </c>
      <c r="AF36" s="248">
        <f>'Cost + BS Assumptions'!AF29</f>
        <v>6025.3724827679889</v>
      </c>
      <c r="AG36" s="248">
        <f>'Cost + BS Assumptions'!AG29</f>
        <v>6312.3332342353424</v>
      </c>
      <c r="AH36" s="248">
        <f>'Cost + BS Assumptions'!AH29</f>
        <v>6619.836755285588</v>
      </c>
      <c r="AI36" s="248">
        <f>'Cost + BS Assumptions'!AI29</f>
        <v>6949.6473916449222</v>
      </c>
      <c r="AJ36" s="248">
        <f>'Cost + BS Assumptions'!AJ29</f>
        <v>7303.723692999225</v>
      </c>
      <c r="AK36" s="248">
        <f>'Cost + BS Assumptions'!AK29</f>
        <v>7684.2418667325419</v>
      </c>
      <c r="AL36" s="248">
        <f>'Cost + BS Assumptions'!AL29</f>
        <v>8093.6222767837717</v>
      </c>
      <c r="AP36" s="2"/>
      <c r="AQ36" s="2"/>
      <c r="AR36" s="2"/>
      <c r="AS36" s="530">
        <v>1934</v>
      </c>
      <c r="AT36" s="8">
        <f>AU36-AS36</f>
        <v>1823</v>
      </c>
      <c r="AU36" s="8">
        <f>W36</f>
        <v>3757</v>
      </c>
      <c r="AV36" s="530">
        <v>1870</v>
      </c>
      <c r="AW36" s="8">
        <f>AX36-AV36</f>
        <v>1607</v>
      </c>
      <c r="AX36" s="8">
        <f>X36</f>
        <v>3477</v>
      </c>
      <c r="AY36" s="530">
        <v>1565</v>
      </c>
      <c r="AZ36" s="8">
        <f>BA36-AY36</f>
        <v>2082</v>
      </c>
      <c r="BA36" s="8">
        <f>Y36</f>
        <v>3647</v>
      </c>
      <c r="BB36" s="530">
        <v>1957</v>
      </c>
      <c r="BC36" s="8">
        <f>BD36-BB36</f>
        <v>2024</v>
      </c>
      <c r="BD36" s="8">
        <f t="shared" ref="BD36:BD43" si="48">Z36</f>
        <v>3981</v>
      </c>
      <c r="BE36" s="530">
        <v>2217</v>
      </c>
      <c r="BF36" s="8">
        <f>BG36-BE36</f>
        <v>2385</v>
      </c>
      <c r="BG36" s="2">
        <f t="shared" ref="BG36:BG43" si="49">AA36</f>
        <v>4602</v>
      </c>
      <c r="BH36" s="2"/>
      <c r="BI36" s="2"/>
      <c r="BJ36" s="2"/>
      <c r="BK36" s="2"/>
      <c r="BL36" s="2"/>
      <c r="BM36" s="2"/>
      <c r="BN36" s="2"/>
    </row>
    <row r="37" spans="1:79">
      <c r="A37" s="2"/>
      <c r="B37" s="510" t="s">
        <v>1250</v>
      </c>
      <c r="C37" s="14" t="s">
        <v>732</v>
      </c>
      <c r="D37" s="149"/>
      <c r="E37" s="149"/>
      <c r="F37" s="149"/>
      <c r="G37" s="149"/>
      <c r="H37" s="149"/>
      <c r="I37" s="149"/>
      <c r="J37" s="149"/>
      <c r="K37" s="149"/>
      <c r="L37" s="149"/>
      <c r="M37" s="149"/>
      <c r="N37" s="149"/>
      <c r="O37" s="256"/>
      <c r="P37" s="256"/>
      <c r="Q37" s="256"/>
      <c r="R37" s="256"/>
      <c r="S37" s="256"/>
      <c r="T37" s="256"/>
      <c r="U37" s="256"/>
      <c r="V37" s="256"/>
      <c r="W37" s="248">
        <f>'Cost + BS Assumptions'!W30</f>
        <v>1038</v>
      </c>
      <c r="X37" s="248">
        <f>'Cost + BS Assumptions'!X30</f>
        <v>567</v>
      </c>
      <c r="Y37" s="248">
        <f>'Cost + BS Assumptions'!Y30</f>
        <v>273</v>
      </c>
      <c r="Z37" s="248">
        <f>'Cost + BS Assumptions'!Z30</f>
        <v>55</v>
      </c>
      <c r="AA37" s="248">
        <f>'Cost + BS Assumptions'!AA30</f>
        <v>135</v>
      </c>
      <c r="AB37" s="248">
        <f>'Cost + BS Assumptions'!AB30</f>
        <v>254</v>
      </c>
      <c r="AC37" s="248">
        <f>'Cost + BS Assumptions'!AC30</f>
        <v>363</v>
      </c>
      <c r="AD37" s="248">
        <f>'Cost + BS Assumptions'!AD30</f>
        <v>371.98082615146257</v>
      </c>
      <c r="AE37" s="248">
        <f>'Cost + BS Assumptions'!AE30</f>
        <v>377.28422474504259</v>
      </c>
      <c r="AF37" s="248">
        <f>'Cost + BS Assumptions'!AF30</f>
        <v>385.69202129852937</v>
      </c>
      <c r="AG37" s="248">
        <f>'Cost + BS Assumptions'!AG30</f>
        <v>397.40919545029527</v>
      </c>
      <c r="AH37" s="248">
        <f>'Cost + BS Assumptions'!AH30</f>
        <v>412.78990839895567</v>
      </c>
      <c r="AI37" s="248">
        <f>'Cost + BS Assumptions'!AI30</f>
        <v>432.35658125415296</v>
      </c>
      <c r="AJ37" s="248">
        <f>'Cost + BS Assumptions'!AJ30</f>
        <v>456.82702978626446</v>
      </c>
      <c r="AK37" s="248">
        <f>'Cost + BS Assumptions'!AK30</f>
        <v>487.15104997284396</v>
      </c>
      <c r="AL37" s="248">
        <f>'Cost + BS Assumptions'!AL30</f>
        <v>510.88430859216948</v>
      </c>
      <c r="AP37" s="2"/>
      <c r="AQ37" s="2"/>
      <c r="AR37" s="2"/>
      <c r="AS37" s="530">
        <v>550</v>
      </c>
      <c r="AT37" s="8">
        <f t="shared" ref="AT37:AT50" si="50">AU37-AS37</f>
        <v>488</v>
      </c>
      <c r="AU37" s="8">
        <f t="shared" ref="AU37:AU51" si="51">W37</f>
        <v>1038</v>
      </c>
      <c r="AV37" s="530">
        <v>385</v>
      </c>
      <c r="AW37" s="8">
        <f t="shared" ref="AW37:AW50" si="52">AX37-AV37</f>
        <v>182</v>
      </c>
      <c r="AX37" s="8">
        <f t="shared" ref="AX37:AX51" si="53">X37</f>
        <v>567</v>
      </c>
      <c r="AY37" s="530">
        <v>96</v>
      </c>
      <c r="AZ37" s="8">
        <f t="shared" ref="AZ37:AZ50" si="54">BA37-AY37</f>
        <v>177</v>
      </c>
      <c r="BA37" s="8">
        <f t="shared" ref="BA37:BA52" si="55">Y37</f>
        <v>273</v>
      </c>
      <c r="BB37" s="530">
        <v>23</v>
      </c>
      <c r="BC37" s="8">
        <f t="shared" ref="BC37:BC45" si="56">BD37-BB37</f>
        <v>32</v>
      </c>
      <c r="BD37" s="8">
        <f t="shared" si="48"/>
        <v>55</v>
      </c>
      <c r="BE37" s="530">
        <v>50</v>
      </c>
      <c r="BF37" s="8">
        <f t="shared" ref="BF37:BF43" si="57">BG37-BE37</f>
        <v>85</v>
      </c>
      <c r="BG37" s="2">
        <f t="shared" si="49"/>
        <v>135</v>
      </c>
      <c r="BH37" s="2"/>
      <c r="BI37" s="2"/>
      <c r="BJ37" s="2"/>
      <c r="BK37" s="2"/>
      <c r="BL37" s="2"/>
      <c r="BM37" s="2"/>
      <c r="BN37" s="2"/>
    </row>
    <row r="38" spans="1:79" outlineLevel="1">
      <c r="A38" s="2"/>
      <c r="B38" s="872" t="s">
        <v>1322</v>
      </c>
      <c r="C38" s="14" t="s">
        <v>732</v>
      </c>
      <c r="D38" s="149"/>
      <c r="E38" s="149"/>
      <c r="F38" s="149"/>
      <c r="G38" s="149"/>
      <c r="H38" s="149"/>
      <c r="I38" s="149"/>
      <c r="J38" s="149"/>
      <c r="K38" s="149"/>
      <c r="L38" s="149"/>
      <c r="M38" s="149"/>
      <c r="N38" s="149"/>
      <c r="O38" s="256"/>
      <c r="P38" s="256"/>
      <c r="Q38" s="256"/>
      <c r="R38" s="256"/>
      <c r="S38" s="256"/>
      <c r="T38" s="256"/>
      <c r="U38" s="256"/>
      <c r="V38" s="256"/>
      <c r="W38" s="248">
        <f>'Cost + BS Assumptions'!W31</f>
        <v>859</v>
      </c>
      <c r="X38" s="248">
        <f>'Cost + BS Assumptions'!X31</f>
        <v>797</v>
      </c>
      <c r="Y38" s="248">
        <f>'Cost + BS Assumptions'!Y31</f>
        <v>663</v>
      </c>
      <c r="Z38" s="248">
        <f>'Cost + BS Assumptions'!Z31</f>
        <v>350</v>
      </c>
      <c r="AA38" s="248">
        <f>'Cost + BS Assumptions'!AA31</f>
        <v>101</v>
      </c>
      <c r="AB38" s="248">
        <f>'Cost + BS Assumptions'!AB31</f>
        <v>95</v>
      </c>
      <c r="AC38" s="248">
        <f>'Cost + BS Assumptions'!AC31</f>
        <v>86</v>
      </c>
      <c r="AD38" s="248">
        <f>'Cost + BS Assumptions'!AD31</f>
        <v>40.379068388571419</v>
      </c>
      <c r="AE38" s="248">
        <f>'Cost + BS Assumptions'!AE31</f>
        <v>36.498482595384033</v>
      </c>
      <c r="AF38" s="248">
        <f>'Cost + BS Assumptions'!AF31</f>
        <v>32.990836216087388</v>
      </c>
      <c r="AG38" s="248">
        <f>'Cost + BS Assumptions'!AG31</f>
        <v>29.820288319995868</v>
      </c>
      <c r="AH38" s="248">
        <f>'Cost + BS Assumptions'!AH31</f>
        <v>26.954442429502762</v>
      </c>
      <c r="AI38" s="248">
        <f>'Cost + BS Assumptions'!AI31</f>
        <v>24.364015494719382</v>
      </c>
      <c r="AJ38" s="248">
        <f>'Cost + BS Assumptions'!AJ31</f>
        <v>22.022538680941146</v>
      </c>
      <c r="AK38" s="248">
        <f>'Cost + BS Assumptions'!AK31</f>
        <v>19.906086911603946</v>
      </c>
      <c r="AL38" s="248">
        <f>'Cost + BS Assumptions'!AL31</f>
        <v>17.993034403216036</v>
      </c>
      <c r="AP38" s="2"/>
      <c r="AQ38" s="2"/>
      <c r="AR38" s="2"/>
      <c r="AS38" s="530">
        <v>449</v>
      </c>
      <c r="AT38" s="8">
        <f t="shared" si="50"/>
        <v>410</v>
      </c>
      <c r="AU38" s="8">
        <f t="shared" si="51"/>
        <v>859</v>
      </c>
      <c r="AV38" s="530">
        <v>390</v>
      </c>
      <c r="AW38" s="8">
        <f t="shared" si="52"/>
        <v>407</v>
      </c>
      <c r="AX38" s="8">
        <f t="shared" si="53"/>
        <v>797</v>
      </c>
      <c r="AY38" s="530">
        <v>248</v>
      </c>
      <c r="AZ38" s="8">
        <f t="shared" si="54"/>
        <v>415</v>
      </c>
      <c r="BA38" s="8">
        <f t="shared" si="55"/>
        <v>663</v>
      </c>
      <c r="BB38" s="530">
        <v>195</v>
      </c>
      <c r="BC38" s="8">
        <f t="shared" si="56"/>
        <v>155</v>
      </c>
      <c r="BD38" s="8">
        <f t="shared" si="48"/>
        <v>350</v>
      </c>
      <c r="BE38" s="530">
        <v>103</v>
      </c>
      <c r="BF38" s="8">
        <f t="shared" si="57"/>
        <v>-2</v>
      </c>
      <c r="BG38" s="2">
        <f t="shared" si="49"/>
        <v>101</v>
      </c>
      <c r="BH38" s="2"/>
      <c r="BI38" s="2"/>
      <c r="BJ38" s="2"/>
      <c r="BK38" s="2"/>
      <c r="BL38" s="2"/>
      <c r="BM38" s="2"/>
      <c r="BN38" s="2"/>
    </row>
    <row r="39" spans="1:79" outlineLevel="1">
      <c r="A39" s="2"/>
      <c r="B39" s="872" t="s">
        <v>1323</v>
      </c>
      <c r="C39" s="14" t="s">
        <v>732</v>
      </c>
      <c r="D39" s="149"/>
      <c r="E39" s="149"/>
      <c r="F39" s="149"/>
      <c r="G39" s="149"/>
      <c r="H39" s="149"/>
      <c r="I39" s="149"/>
      <c r="J39" s="149"/>
      <c r="K39" s="149"/>
      <c r="L39" s="149"/>
      <c r="M39" s="149"/>
      <c r="N39" s="149"/>
      <c r="O39" s="256"/>
      <c r="P39" s="256"/>
      <c r="Q39" s="256"/>
      <c r="R39" s="256"/>
      <c r="S39" s="256"/>
      <c r="T39" s="256"/>
      <c r="U39" s="256"/>
      <c r="V39" s="256"/>
      <c r="W39" s="248">
        <f>'Cost + BS Assumptions'!W32</f>
        <v>365</v>
      </c>
      <c r="X39" s="248">
        <f>'Cost + BS Assumptions'!X32</f>
        <v>352</v>
      </c>
      <c r="Y39" s="248">
        <f>'Cost + BS Assumptions'!Y32</f>
        <v>224</v>
      </c>
      <c r="Z39" s="248">
        <f>'Cost + BS Assumptions'!Z32</f>
        <v>310</v>
      </c>
      <c r="AA39" s="248">
        <f>'Cost + BS Assumptions'!AA32</f>
        <v>310</v>
      </c>
      <c r="AB39" s="248">
        <f>'Cost + BS Assumptions'!AB32</f>
        <v>41</v>
      </c>
      <c r="AC39" s="248">
        <f>'Cost + BS Assumptions'!AC32</f>
        <v>153</v>
      </c>
      <c r="AD39" s="248">
        <f>'Cost + BS Assumptions'!AD32</f>
        <v>126.65283150661753</v>
      </c>
      <c r="AE39" s="248">
        <f>'Cost + BS Assumptions'!AE32</f>
        <v>129.19490280029251</v>
      </c>
      <c r="AF39" s="248">
        <f>'Cost + BS Assumptions'!AF32</f>
        <v>132.7377453505502</v>
      </c>
      <c r="AG39" s="248">
        <f>'Cost + BS Assumptions'!AG32</f>
        <v>137.15118392882309</v>
      </c>
      <c r="AH39" s="248">
        <f>'Cost + BS Assumptions'!AH32</f>
        <v>142.3452949667589</v>
      </c>
      <c r="AI39" s="248">
        <f>'Cost + BS Assumptions'!AI32</f>
        <v>148.26072293884863</v>
      </c>
      <c r="AJ39" s="248">
        <f>'Cost + BS Assumptions'!AJ32</f>
        <v>154.86150207198583</v>
      </c>
      <c r="AK39" s="248">
        <f>'Cost + BS Assumptions'!AK32</f>
        <v>162.12974815884729</v>
      </c>
      <c r="AL39" s="248">
        <f>'Cost + BS Assumptions'!AL32</f>
        <v>170.0617473325141</v>
      </c>
      <c r="AP39" s="2"/>
      <c r="AQ39" s="2"/>
      <c r="AR39" s="2"/>
      <c r="AS39" s="530">
        <v>108</v>
      </c>
      <c r="AT39" s="8">
        <f t="shared" si="50"/>
        <v>257</v>
      </c>
      <c r="AU39" s="8">
        <f t="shared" si="51"/>
        <v>365</v>
      </c>
      <c r="AV39" s="530">
        <v>160</v>
      </c>
      <c r="AW39" s="8">
        <f t="shared" si="52"/>
        <v>192</v>
      </c>
      <c r="AX39" s="8">
        <f t="shared" si="53"/>
        <v>352</v>
      </c>
      <c r="AY39" s="530">
        <v>63</v>
      </c>
      <c r="AZ39" s="8">
        <f t="shared" si="54"/>
        <v>161</v>
      </c>
      <c r="BA39" s="8">
        <f t="shared" si="55"/>
        <v>224</v>
      </c>
      <c r="BB39" s="530">
        <v>105</v>
      </c>
      <c r="BC39" s="8">
        <f t="shared" si="56"/>
        <v>205</v>
      </c>
      <c r="BD39" s="8">
        <f t="shared" si="48"/>
        <v>310</v>
      </c>
      <c r="BE39" s="530">
        <v>110</v>
      </c>
      <c r="BF39" s="8">
        <f t="shared" si="57"/>
        <v>200</v>
      </c>
      <c r="BG39" s="2">
        <f t="shared" si="49"/>
        <v>310</v>
      </c>
      <c r="BH39" s="2"/>
      <c r="BI39" s="2"/>
      <c r="BJ39" s="2"/>
      <c r="BK39" s="2"/>
      <c r="BL39" s="2"/>
      <c r="BM39" s="2"/>
      <c r="BN39" s="2"/>
      <c r="BX39" s="470">
        <v>24</v>
      </c>
      <c r="BY39" s="1202" t="s">
        <v>1426</v>
      </c>
      <c r="BZ39" s="1202" t="s">
        <v>1427</v>
      </c>
      <c r="CA39" s="1202" t="s">
        <v>1475</v>
      </c>
    </row>
    <row r="40" spans="1:79">
      <c r="A40" s="2"/>
      <c r="B40" s="8" t="s">
        <v>1324</v>
      </c>
      <c r="C40" s="14" t="s">
        <v>732</v>
      </c>
      <c r="D40" s="149"/>
      <c r="E40" s="149"/>
      <c r="F40" s="149"/>
      <c r="G40" s="149"/>
      <c r="H40" s="149"/>
      <c r="I40" s="149"/>
      <c r="J40" s="149"/>
      <c r="K40" s="149"/>
      <c r="L40" s="149"/>
      <c r="M40" s="149"/>
      <c r="N40" s="149"/>
      <c r="O40" s="256"/>
      <c r="P40" s="256"/>
      <c r="Q40" s="256"/>
      <c r="R40" s="256"/>
      <c r="S40" s="256"/>
      <c r="T40" s="256"/>
      <c r="U40" s="256"/>
      <c r="V40" s="256"/>
      <c r="W40" s="248">
        <f>SUM(W38:W39)</f>
        <v>1224</v>
      </c>
      <c r="X40" s="248">
        <f t="shared" ref="X40:AH40" si="58">SUM(X38:X39)</f>
        <v>1149</v>
      </c>
      <c r="Y40" s="248">
        <f t="shared" si="58"/>
        <v>887</v>
      </c>
      <c r="Z40" s="248">
        <f>'Cost + BS Assumptions'!Z33</f>
        <v>660</v>
      </c>
      <c r="AA40" s="248">
        <f t="shared" si="58"/>
        <v>411</v>
      </c>
      <c r="AB40" s="248">
        <f t="shared" si="58"/>
        <v>136</v>
      </c>
      <c r="AC40" s="248">
        <f>SUM(AC38:AC39)</f>
        <v>239</v>
      </c>
      <c r="AD40" s="248">
        <f t="shared" si="58"/>
        <v>167.03189989518896</v>
      </c>
      <c r="AE40" s="248">
        <f t="shared" si="58"/>
        <v>165.69338539567656</v>
      </c>
      <c r="AF40" s="248">
        <f t="shared" si="58"/>
        <v>165.72858156663759</v>
      </c>
      <c r="AG40" s="248">
        <f t="shared" si="58"/>
        <v>166.97147224881894</v>
      </c>
      <c r="AH40" s="248">
        <f t="shared" si="58"/>
        <v>169.29973739626166</v>
      </c>
      <c r="AI40" s="248">
        <f>SUM(AI38:AI39)</f>
        <v>172.62473843356801</v>
      </c>
      <c r="AJ40" s="248">
        <f t="shared" ref="AJ40:AK40" si="59">SUM(AJ38:AJ39)</f>
        <v>176.88404075292698</v>
      </c>
      <c r="AK40" s="248">
        <f t="shared" si="59"/>
        <v>182.03583507045124</v>
      </c>
      <c r="AL40" s="248">
        <f t="shared" ref="AL40" si="60">SUM(AL38:AL39)</f>
        <v>188.05478173573013</v>
      </c>
      <c r="AP40" s="2"/>
      <c r="AQ40" s="2"/>
      <c r="AR40" s="2"/>
      <c r="AS40" s="530">
        <v>557</v>
      </c>
      <c r="AT40" s="8">
        <f t="shared" si="50"/>
        <v>667</v>
      </c>
      <c r="AU40" s="8">
        <f t="shared" si="51"/>
        <v>1224</v>
      </c>
      <c r="AV40" s="530">
        <f>AV38+AV39</f>
        <v>550</v>
      </c>
      <c r="AW40" s="8">
        <f t="shared" si="52"/>
        <v>599</v>
      </c>
      <c r="AX40" s="8">
        <f t="shared" si="53"/>
        <v>1149</v>
      </c>
      <c r="AY40" s="530">
        <f>AY38+AY39</f>
        <v>311</v>
      </c>
      <c r="AZ40" s="8">
        <f t="shared" si="54"/>
        <v>576</v>
      </c>
      <c r="BA40" s="8">
        <f t="shared" si="55"/>
        <v>887</v>
      </c>
      <c r="BB40" s="530">
        <f>SUM(BB38:BB39)</f>
        <v>300</v>
      </c>
      <c r="BC40" s="8">
        <f t="shared" si="56"/>
        <v>360</v>
      </c>
      <c r="BD40" s="8">
        <f t="shared" si="48"/>
        <v>660</v>
      </c>
      <c r="BE40" s="530">
        <f>SUM(BE38:BE39)</f>
        <v>213</v>
      </c>
      <c r="BF40" s="8">
        <f t="shared" si="57"/>
        <v>198</v>
      </c>
      <c r="BG40" s="2">
        <f t="shared" si="49"/>
        <v>411</v>
      </c>
      <c r="BH40" s="2"/>
      <c r="BI40" s="2"/>
      <c r="BJ40" s="2"/>
      <c r="BK40" s="2"/>
      <c r="BL40" s="2"/>
      <c r="BM40" s="2"/>
      <c r="BN40" s="2"/>
      <c r="BW40" t="str">
        <f>B36</f>
        <v>Mobile</v>
      </c>
      <c r="BX40">
        <f t="shared" ref="BX40:CA41" si="61">AB36</f>
        <v>5026</v>
      </c>
      <c r="BY40">
        <f t="shared" si="61"/>
        <v>5261</v>
      </c>
      <c r="BZ40">
        <f t="shared" si="61"/>
        <v>5506.7788696534453</v>
      </c>
      <c r="CA40">
        <f t="shared" si="61"/>
        <v>5757.3635908389933</v>
      </c>
    </row>
    <row r="41" spans="1:79">
      <c r="A41" s="2"/>
      <c r="B41" s="510" t="s">
        <v>1321</v>
      </c>
      <c r="C41" s="14" t="s">
        <v>732</v>
      </c>
      <c r="D41" s="149"/>
      <c r="E41" s="149"/>
      <c r="F41" s="149"/>
      <c r="G41" s="149"/>
      <c r="H41" s="149"/>
      <c r="I41" s="149"/>
      <c r="J41" s="149"/>
      <c r="K41" s="149"/>
      <c r="L41" s="149"/>
      <c r="M41" s="149"/>
      <c r="N41" s="149"/>
      <c r="O41" s="256"/>
      <c r="P41" s="256"/>
      <c r="Q41" s="256"/>
      <c r="R41" s="256"/>
      <c r="S41" s="256"/>
      <c r="T41" s="256"/>
      <c r="U41" s="256"/>
      <c r="V41" s="256"/>
      <c r="W41" s="248">
        <f>'Cost + BS Assumptions'!W34</f>
        <v>1187</v>
      </c>
      <c r="X41" s="248">
        <f>'Cost + BS Assumptions'!X34</f>
        <v>897</v>
      </c>
      <c r="Y41" s="248">
        <f>'Cost + BS Assumptions'!Y34</f>
        <v>621</v>
      </c>
      <c r="Z41" s="248">
        <f>'Cost + BS Assumptions'!Z34</f>
        <v>159</v>
      </c>
      <c r="AA41" s="248">
        <f>'Cost + BS Assumptions'!AA34</f>
        <v>117</v>
      </c>
      <c r="AB41" s="248">
        <f>'Cost + BS Assumptions'!AB34</f>
        <v>94</v>
      </c>
      <c r="AC41" s="248">
        <f>'Cost + BS Assumptions'!AC34</f>
        <v>82</v>
      </c>
      <c r="AD41" s="248">
        <f>'Cost + BS Assumptions'!AD34</f>
        <v>68.29356231917869</v>
      </c>
      <c r="AE41" s="248">
        <f>'Cost + BS Assumptions'!AE34</f>
        <v>67.825910966733844</v>
      </c>
      <c r="AF41" s="248">
        <f>'Cost + BS Assumptions'!AF34</f>
        <v>68.458827333090355</v>
      </c>
      <c r="AG41" s="248">
        <f>'Cost + BS Assumptions'!AG34</f>
        <v>70.276597916275861</v>
      </c>
      <c r="AH41" s="248">
        <f>'Cost + BS Assumptions'!AH34</f>
        <v>73.388928474647784</v>
      </c>
      <c r="AI41" s="248">
        <f>'Cost + BS Assumptions'!AI34</f>
        <v>77.934477593826955</v>
      </c>
      <c r="AJ41" s="248">
        <f>'Cost + BS Assumptions'!AJ34</f>
        <v>84.08511012980982</v>
      </c>
      <c r="AK41" s="248">
        <f>'Cost + BS Assumptions'!AK34</f>
        <v>92.050989733383048</v>
      </c>
      <c r="AL41" s="248">
        <f>'Cost + BS Assumptions'!AL34</f>
        <v>102.08665164899743</v>
      </c>
      <c r="AP41" s="2"/>
      <c r="AQ41" s="2"/>
      <c r="AR41" s="2"/>
      <c r="AS41" s="530">
        <v>598</v>
      </c>
      <c r="AT41" s="8">
        <f t="shared" si="50"/>
        <v>589</v>
      </c>
      <c r="AU41" s="8">
        <f t="shared" si="51"/>
        <v>1187</v>
      </c>
      <c r="AV41" s="530">
        <v>431</v>
      </c>
      <c r="AW41" s="8">
        <f t="shared" si="52"/>
        <v>466</v>
      </c>
      <c r="AX41" s="8">
        <f t="shared" si="53"/>
        <v>897</v>
      </c>
      <c r="AY41" s="530">
        <v>133</v>
      </c>
      <c r="AZ41" s="8">
        <f t="shared" si="54"/>
        <v>488</v>
      </c>
      <c r="BA41" s="8">
        <f t="shared" si="55"/>
        <v>621</v>
      </c>
      <c r="BB41" s="530">
        <v>90</v>
      </c>
      <c r="BC41" s="8">
        <f t="shared" si="56"/>
        <v>69</v>
      </c>
      <c r="BD41" s="8">
        <f t="shared" si="48"/>
        <v>159</v>
      </c>
      <c r="BE41" s="530">
        <v>71</v>
      </c>
      <c r="BF41" s="8">
        <f t="shared" si="57"/>
        <v>46</v>
      </c>
      <c r="BG41" s="2">
        <f t="shared" si="49"/>
        <v>117</v>
      </c>
      <c r="BH41" s="2"/>
      <c r="BI41" s="2"/>
      <c r="BJ41" s="2"/>
      <c r="BK41" s="2"/>
      <c r="BL41" s="2"/>
      <c r="BM41" s="2"/>
      <c r="BN41" s="2"/>
      <c r="BW41" t="str">
        <f>B37</f>
        <v>Fixed (C&amp;SB)</v>
      </c>
      <c r="BX41">
        <f t="shared" si="61"/>
        <v>254</v>
      </c>
      <c r="BY41">
        <f t="shared" si="61"/>
        <v>363</v>
      </c>
      <c r="BZ41">
        <f t="shared" si="61"/>
        <v>371.98082615146257</v>
      </c>
      <c r="CA41">
        <f t="shared" si="61"/>
        <v>377.28422474504259</v>
      </c>
    </row>
    <row r="42" spans="1:79">
      <c r="A42" s="2"/>
      <c r="B42" s="510" t="s">
        <v>237</v>
      </c>
      <c r="C42" s="14" t="s">
        <v>732</v>
      </c>
      <c r="D42" s="149"/>
      <c r="E42" s="149"/>
      <c r="F42" s="149"/>
      <c r="G42" s="149"/>
      <c r="H42" s="149"/>
      <c r="I42" s="149"/>
      <c r="J42" s="149"/>
      <c r="K42" s="149"/>
      <c r="L42" s="149"/>
      <c r="M42" s="149"/>
      <c r="N42" s="149"/>
      <c r="O42" s="256"/>
      <c r="P42" s="256"/>
      <c r="Q42" s="256"/>
      <c r="R42" s="256"/>
      <c r="S42" s="256"/>
      <c r="T42" s="256"/>
      <c r="U42" s="256"/>
      <c r="V42" s="256"/>
      <c r="W42" s="248">
        <f>'Cost + BS Assumptions'!W35</f>
        <v>271</v>
      </c>
      <c r="X42" s="248">
        <f>'Cost + BS Assumptions'!X35</f>
        <v>377</v>
      </c>
      <c r="Y42" s="248">
        <f>'Cost + BS Assumptions'!Y35</f>
        <v>336</v>
      </c>
      <c r="Z42" s="248">
        <f>'Cost + BS Assumptions'!Z35</f>
        <v>387</v>
      </c>
      <c r="AA42" s="248">
        <f>'Cost + BS Assumptions'!AA35</f>
        <v>713</v>
      </c>
      <c r="AB42" s="248">
        <f>'Cost + BS Assumptions'!AB35</f>
        <v>774</v>
      </c>
      <c r="AC42" s="248">
        <f>'Cost + BS Assumptions'!AC35</f>
        <v>678</v>
      </c>
      <c r="AD42" s="248">
        <f>'Cost + BS Assumptions'!AD35</f>
        <v>691.96998040346409</v>
      </c>
      <c r="AE42" s="248">
        <f>'Cost + BS Assumptions'!AE35</f>
        <v>706.38192062259589</v>
      </c>
      <c r="AF42" s="248">
        <f>'Cost + BS Assumptions'!AF35</f>
        <v>719.05334825527893</v>
      </c>
      <c r="AG42" s="248">
        <f>'Cost + BS Assumptions'!AG35</f>
        <v>732.04413886081738</v>
      </c>
      <c r="AH42" s="248">
        <f>'Cost + BS Assumptions'!AH35</f>
        <v>745.36265773127491</v>
      </c>
      <c r="AI42" s="248">
        <f>'Cost + BS Assumptions'!AI35</f>
        <v>759.01749680553371</v>
      </c>
      <c r="AJ42" s="248">
        <f>'Cost + BS Assumptions'!AJ35</f>
        <v>773.01748098246196</v>
      </c>
      <c r="AK42" s="248">
        <f>'Cost + BS Assumptions'!AK35</f>
        <v>787.37167461374827</v>
      </c>
      <c r="AL42" s="248">
        <f>'Cost + BS Assumptions'!AL35</f>
        <v>801.99241186128313</v>
      </c>
      <c r="AP42" s="2"/>
      <c r="AQ42" s="2"/>
      <c r="AR42" s="2"/>
      <c r="AS42" s="530">
        <v>126</v>
      </c>
      <c r="AT42" s="8">
        <f t="shared" si="50"/>
        <v>145</v>
      </c>
      <c r="AU42" s="8">
        <f t="shared" si="51"/>
        <v>271</v>
      </c>
      <c r="AV42" s="530">
        <v>181</v>
      </c>
      <c r="AW42" s="8">
        <f t="shared" si="52"/>
        <v>196</v>
      </c>
      <c r="AX42" s="8">
        <f t="shared" si="53"/>
        <v>377</v>
      </c>
      <c r="AY42" s="530">
        <v>164</v>
      </c>
      <c r="AZ42" s="8">
        <f t="shared" si="54"/>
        <v>172</v>
      </c>
      <c r="BA42" s="8">
        <f t="shared" si="55"/>
        <v>336</v>
      </c>
      <c r="BB42" s="530">
        <v>194</v>
      </c>
      <c r="BC42" s="8">
        <f t="shared" si="56"/>
        <v>193</v>
      </c>
      <c r="BD42" s="8">
        <f t="shared" si="48"/>
        <v>387</v>
      </c>
      <c r="BE42" s="530">
        <v>375</v>
      </c>
      <c r="BF42" s="8">
        <f t="shared" si="57"/>
        <v>338</v>
      </c>
      <c r="BG42" s="2">
        <f t="shared" si="49"/>
        <v>713</v>
      </c>
      <c r="BH42" s="2"/>
      <c r="BI42" s="2"/>
      <c r="BJ42" s="2"/>
      <c r="BK42" s="2"/>
      <c r="BL42" s="2"/>
      <c r="BM42" s="2"/>
      <c r="BN42" s="2"/>
      <c r="BW42" t="str">
        <f>B40</f>
        <v xml:space="preserve">Fixed (Enterprise) </v>
      </c>
      <c r="BX42">
        <f t="shared" ref="BX42:CA44" si="62">AB40</f>
        <v>136</v>
      </c>
      <c r="BY42">
        <f t="shared" si="62"/>
        <v>239</v>
      </c>
      <c r="BZ42">
        <f t="shared" si="62"/>
        <v>167.03189989518896</v>
      </c>
      <c r="CA42">
        <f t="shared" si="62"/>
        <v>165.69338539567656</v>
      </c>
    </row>
    <row r="43" spans="1:79">
      <c r="A43" s="2"/>
      <c r="B43" s="510" t="s">
        <v>1463</v>
      </c>
      <c r="C43" s="14" t="s">
        <v>732</v>
      </c>
      <c r="D43" s="149"/>
      <c r="E43" s="149"/>
      <c r="F43" s="149"/>
      <c r="G43" s="149"/>
      <c r="H43" s="149"/>
      <c r="I43" s="149"/>
      <c r="J43" s="149"/>
      <c r="K43" s="149"/>
      <c r="L43" s="149"/>
      <c r="M43" s="149"/>
      <c r="N43" s="149"/>
      <c r="O43" s="256"/>
      <c r="P43" s="256"/>
      <c r="Q43" s="256"/>
      <c r="R43" s="256"/>
      <c r="S43" s="256"/>
      <c r="T43" s="256"/>
      <c r="U43" s="256"/>
      <c r="V43" s="256"/>
      <c r="W43" s="248">
        <f>'Cost + BS Assumptions'!W36</f>
        <v>731</v>
      </c>
      <c r="X43" s="248">
        <f>'Cost + BS Assumptions'!X36</f>
        <v>820</v>
      </c>
      <c r="Y43" s="248">
        <f>'Cost + BS Assumptions'!Y36</f>
        <v>860</v>
      </c>
      <c r="Z43" s="248">
        <f>'Cost + BS Assumptions'!Z36</f>
        <v>1655</v>
      </c>
      <c r="AA43" s="248">
        <f>'Cost + BS Assumptions'!AA36</f>
        <v>1663</v>
      </c>
      <c r="AB43" s="248">
        <f>'Cost + BS Assumptions'!AB36</f>
        <v>1759</v>
      </c>
      <c r="AC43" s="248">
        <f>'Cost + BS Assumptions'!AC36</f>
        <v>1813</v>
      </c>
      <c r="AD43" s="248">
        <f>'Cost + BS Assumptions'!AD36+'Cost + BS Assumptions'!AD39</f>
        <v>1975.2373321033213</v>
      </c>
      <c r="AE43" s="248">
        <f>'Cost + BS Assumptions'!AE36+'Cost + BS Assumptions'!AE39</f>
        <v>1998.0181119557199</v>
      </c>
      <c r="AF43" s="248">
        <f>'Cost + BS Assumptions'!AF36+'Cost + BS Assumptions'!AF39</f>
        <v>2021.4823152036904</v>
      </c>
      <c r="AG43" s="248">
        <f>'Cost + BS Assumptions'!AG36+'Cost + BS Assumptions'!AG39</f>
        <v>2045.6504445491</v>
      </c>
      <c r="AH43" s="248">
        <f>'Cost + BS Assumptions'!AH36+'Cost + BS Assumptions'!AH39</f>
        <v>2070.5436177748716</v>
      </c>
      <c r="AI43" s="248">
        <f>'Cost + BS Assumptions'!AI36+'Cost + BS Assumptions'!AI39</f>
        <v>2096.1835861974168</v>
      </c>
      <c r="AJ43" s="248">
        <f>'Cost + BS Assumptions'!AJ36+'Cost + BS Assumptions'!AJ39</f>
        <v>2122.5927536726385</v>
      </c>
      <c r="AK43" s="248">
        <f>'Cost + BS Assumptions'!AK36+'Cost + BS Assumptions'!AK39</f>
        <v>2149.7941961721167</v>
      </c>
      <c r="AL43" s="248">
        <f>'Cost + BS Assumptions'!AL36+'Cost + BS Assumptions'!AL39</f>
        <v>2177.811681946579</v>
      </c>
      <c r="AP43" s="2"/>
      <c r="AQ43" s="2"/>
      <c r="AR43" s="2"/>
      <c r="AS43" s="530">
        <v>345</v>
      </c>
      <c r="AT43" s="8">
        <f t="shared" si="50"/>
        <v>386</v>
      </c>
      <c r="AU43" s="8">
        <f t="shared" si="51"/>
        <v>731</v>
      </c>
      <c r="AV43" s="530">
        <v>405</v>
      </c>
      <c r="AW43" s="8">
        <f t="shared" si="52"/>
        <v>415</v>
      </c>
      <c r="AX43" s="8">
        <f t="shared" si="53"/>
        <v>820</v>
      </c>
      <c r="AY43" s="530">
        <v>868</v>
      </c>
      <c r="AZ43" s="8">
        <f t="shared" si="54"/>
        <v>-8</v>
      </c>
      <c r="BA43" s="8">
        <f t="shared" si="55"/>
        <v>860</v>
      </c>
      <c r="BB43" s="530">
        <f>768</f>
        <v>768</v>
      </c>
      <c r="BC43" s="8">
        <f t="shared" si="56"/>
        <v>887</v>
      </c>
      <c r="BD43" s="8">
        <f t="shared" si="48"/>
        <v>1655</v>
      </c>
      <c r="BE43" s="530">
        <v>807</v>
      </c>
      <c r="BF43" s="8">
        <f t="shared" si="57"/>
        <v>856</v>
      </c>
      <c r="BG43" s="2">
        <f t="shared" si="49"/>
        <v>1663</v>
      </c>
      <c r="BH43" s="2"/>
      <c r="BI43" s="2"/>
      <c r="BJ43" s="2"/>
      <c r="BK43" s="2"/>
      <c r="BL43" s="2"/>
      <c r="BM43" s="2"/>
      <c r="BN43" s="2"/>
      <c r="BW43" t="str">
        <f>B41</f>
        <v>Fixed (Wholesale)</v>
      </c>
      <c r="BX43">
        <f t="shared" si="62"/>
        <v>94</v>
      </c>
      <c r="BY43">
        <f t="shared" si="62"/>
        <v>82</v>
      </c>
      <c r="BZ43">
        <f t="shared" si="62"/>
        <v>68.29356231917869</v>
      </c>
      <c r="CA43">
        <f t="shared" si="62"/>
        <v>67.825910966733844</v>
      </c>
    </row>
    <row r="44" spans="1:79">
      <c r="A44" s="2"/>
      <c r="B44" s="510" t="s">
        <v>1459</v>
      </c>
      <c r="C44" s="14" t="s">
        <v>732</v>
      </c>
      <c r="D44" s="149"/>
      <c r="E44" s="149"/>
      <c r="F44" s="149"/>
      <c r="G44" s="149"/>
      <c r="H44" s="149"/>
      <c r="I44" s="149"/>
      <c r="J44" s="149"/>
      <c r="K44" s="149"/>
      <c r="L44" s="149"/>
      <c r="M44" s="149"/>
      <c r="N44" s="149"/>
      <c r="O44" s="256"/>
      <c r="P44" s="256"/>
      <c r="Q44" s="256"/>
      <c r="R44" s="256"/>
      <c r="S44" s="256"/>
      <c r="T44" s="256"/>
      <c r="U44" s="256"/>
      <c r="V44" s="256"/>
      <c r="W44" s="248"/>
      <c r="X44" s="248"/>
      <c r="Y44" s="248"/>
      <c r="Z44" s="248">
        <f>'Cost + BS Assumptions'!Z37</f>
        <v>294</v>
      </c>
      <c r="AA44" s="248">
        <f>'Cost + BS Assumptions'!AA37</f>
        <v>318</v>
      </c>
      <c r="AB44" s="248">
        <f>'Cost + BS Assumptions'!AB37</f>
        <v>369</v>
      </c>
      <c r="AC44" s="248">
        <f>'Cost + BS Assumptions'!AC37</f>
        <v>382</v>
      </c>
      <c r="AD44" s="248">
        <f>'Cost + BS Assumptions'!AD37</f>
        <v>382</v>
      </c>
      <c r="AE44" s="248">
        <f>'Cost + BS Assumptions'!AE37</f>
        <v>382</v>
      </c>
      <c r="AF44" s="248">
        <f>'Cost + BS Assumptions'!AF37</f>
        <v>382</v>
      </c>
      <c r="AG44" s="248">
        <f>'Cost + BS Assumptions'!AG37</f>
        <v>382</v>
      </c>
      <c r="AH44" s="248">
        <f>'Cost + BS Assumptions'!AH37</f>
        <v>382</v>
      </c>
      <c r="AI44" s="248">
        <f>'Cost + BS Assumptions'!AI37</f>
        <v>382</v>
      </c>
      <c r="AJ44" s="248">
        <f>'Cost + BS Assumptions'!AJ37</f>
        <v>382</v>
      </c>
      <c r="AK44" s="248">
        <f>'Cost + BS Assumptions'!AK37</f>
        <v>382</v>
      </c>
      <c r="AL44" s="248">
        <f>'Cost + BS Assumptions'!AL37</f>
        <v>382</v>
      </c>
      <c r="AP44" s="2"/>
      <c r="AQ44" s="2"/>
      <c r="AR44" s="2"/>
      <c r="AS44" s="530"/>
      <c r="AT44" s="8"/>
      <c r="AU44" s="8"/>
      <c r="AV44" s="530"/>
      <c r="AW44" s="8"/>
      <c r="AX44" s="8"/>
      <c r="AY44" s="530">
        <v>152</v>
      </c>
      <c r="AZ44" s="8"/>
      <c r="BA44" s="8"/>
      <c r="BB44" s="530">
        <v>152</v>
      </c>
      <c r="BC44" s="8"/>
      <c r="BD44" s="8"/>
      <c r="BE44" s="530">
        <v>160</v>
      </c>
      <c r="BF44" s="8"/>
      <c r="BG44" s="2"/>
      <c r="BH44" s="2"/>
      <c r="BI44" s="2"/>
      <c r="BJ44" s="2"/>
      <c r="BK44" s="2"/>
      <c r="BL44" s="2"/>
      <c r="BM44" s="2"/>
      <c r="BN44" s="2"/>
      <c r="BW44" t="str">
        <f>B42</f>
        <v>International</v>
      </c>
      <c r="BX44">
        <f t="shared" si="62"/>
        <v>774</v>
      </c>
      <c r="BY44">
        <f t="shared" si="62"/>
        <v>678</v>
      </c>
      <c r="BZ44">
        <f t="shared" si="62"/>
        <v>691.96998040346409</v>
      </c>
      <c r="CA44">
        <f t="shared" si="62"/>
        <v>706.38192062259589</v>
      </c>
    </row>
    <row r="45" spans="1:79">
      <c r="A45" s="2"/>
      <c r="B45" s="510" t="s">
        <v>1269</v>
      </c>
      <c r="C45" s="14" t="s">
        <v>732</v>
      </c>
      <c r="D45" s="149"/>
      <c r="E45" s="149"/>
      <c r="F45" s="149"/>
      <c r="G45" s="149"/>
      <c r="H45" s="149"/>
      <c r="I45" s="149"/>
      <c r="J45" s="149"/>
      <c r="K45" s="149"/>
      <c r="L45" s="149"/>
      <c r="M45" s="149"/>
      <c r="N45" s="149"/>
      <c r="O45" s="256"/>
      <c r="P45" s="256"/>
      <c r="Q45" s="256"/>
      <c r="R45" s="256"/>
      <c r="S45" s="256"/>
      <c r="T45" s="256"/>
      <c r="U45" s="256"/>
      <c r="V45" s="256"/>
      <c r="W45" s="248">
        <f>'Cost + BS Assumptions'!W38</f>
        <v>-5</v>
      </c>
      <c r="X45" s="248">
        <f>'Cost + BS Assumptions'!X38</f>
        <v>122</v>
      </c>
      <c r="Y45" s="248">
        <f>'Cost + BS Assumptions'!Y38</f>
        <v>65</v>
      </c>
      <c r="Z45" s="248">
        <f>'Cost + BS Assumptions'!Z38</f>
        <v>60</v>
      </c>
      <c r="AA45" s="248">
        <f>'Cost + BS Assumptions'!AA38</f>
        <v>-9</v>
      </c>
      <c r="AB45" s="248">
        <f>'Cost + BS Assumptions'!AB38</f>
        <v>-169</v>
      </c>
      <c r="AC45" s="248">
        <f>'Cost + BS Assumptions'!AC38</f>
        <v>-197</v>
      </c>
      <c r="AD45" s="248">
        <f>'Cost + BS Assumptions'!AD38</f>
        <v>-200.94000000000003</v>
      </c>
      <c r="AE45" s="248">
        <f>'Cost + BS Assumptions'!AE38</f>
        <v>-204.95880000000005</v>
      </c>
      <c r="AF45" s="248">
        <f>'Cost + BS Assumptions'!AF38</f>
        <v>-209.05797600000002</v>
      </c>
      <c r="AG45" s="248">
        <f>'Cost + BS Assumptions'!AG38</f>
        <v>-213.23913552000002</v>
      </c>
      <c r="AH45" s="248">
        <f>'Cost + BS Assumptions'!AH38</f>
        <v>-217.50391823040005</v>
      </c>
      <c r="AI45" s="248">
        <f>'Cost + BS Assumptions'!AI38</f>
        <v>-221.85399659500806</v>
      </c>
      <c r="AJ45" s="248">
        <f>'Cost + BS Assumptions'!AJ38</f>
        <v>-226.29107652690826</v>
      </c>
      <c r="AK45" s="248">
        <f>'Cost + BS Assumptions'!AK38</f>
        <v>-230.81689805744642</v>
      </c>
      <c r="AL45" s="248">
        <f>'Cost + BS Assumptions'!AL38</f>
        <v>-235.43323601859535</v>
      </c>
      <c r="AP45" s="2"/>
      <c r="AQ45" s="2"/>
      <c r="AR45" s="2"/>
      <c r="AS45" s="530">
        <v>39</v>
      </c>
      <c r="AT45" s="8">
        <f t="shared" si="50"/>
        <v>-44</v>
      </c>
      <c r="AU45" s="8">
        <f t="shared" si="51"/>
        <v>-5</v>
      </c>
      <c r="AV45" s="530">
        <v>53</v>
      </c>
      <c r="AW45" s="8">
        <f t="shared" si="52"/>
        <v>69</v>
      </c>
      <c r="AX45" s="8">
        <f t="shared" si="53"/>
        <v>122</v>
      </c>
      <c r="AY45" s="530">
        <v>35</v>
      </c>
      <c r="AZ45" s="8">
        <f t="shared" si="54"/>
        <v>30</v>
      </c>
      <c r="BA45" s="8">
        <f t="shared" si="55"/>
        <v>65</v>
      </c>
      <c r="BB45" s="530">
        <v>11</v>
      </c>
      <c r="BC45" s="8">
        <f t="shared" si="56"/>
        <v>49</v>
      </c>
      <c r="BD45" s="8">
        <f t="shared" ref="BD45:BD52" si="63">Z45</f>
        <v>60</v>
      </c>
      <c r="BE45" s="530">
        <v>2</v>
      </c>
      <c r="BF45" s="8">
        <f t="shared" ref="BF45" si="64">BG45-BE45</f>
        <v>-11</v>
      </c>
      <c r="BG45" s="2">
        <f t="shared" ref="BG45:BG51" si="65">AA45</f>
        <v>-9</v>
      </c>
      <c r="BH45" s="2"/>
      <c r="BI45" s="2"/>
      <c r="BJ45" s="2"/>
      <c r="BK45" s="2"/>
      <c r="BL45" s="2"/>
      <c r="BM45" s="2"/>
      <c r="BN45" s="2"/>
      <c r="BW45" t="str">
        <f>B43</f>
        <v>InfraCo + Mobile Towers + fibre project</v>
      </c>
      <c r="BX45">
        <f>AB43-BX46</f>
        <v>821.35</v>
      </c>
      <c r="BY45">
        <f>AC43-BY46</f>
        <v>819.30000000000007</v>
      </c>
      <c r="BZ45">
        <f>AD43-BZ46</f>
        <v>951.72633210332117</v>
      </c>
      <c r="CA45">
        <f>AE43-CA46</f>
        <v>943.80178195571966</v>
      </c>
    </row>
    <row r="46" spans="1:79">
      <c r="A46" s="648"/>
      <c r="B46" s="648" t="s">
        <v>1319</v>
      </c>
      <c r="C46" s="655" t="s">
        <v>732</v>
      </c>
      <c r="D46" s="651"/>
      <c r="E46" s="651"/>
      <c r="F46" s="651"/>
      <c r="G46" s="651"/>
      <c r="H46" s="651"/>
      <c r="I46" s="651"/>
      <c r="J46" s="651"/>
      <c r="K46" s="651"/>
      <c r="L46" s="651"/>
      <c r="M46" s="651"/>
      <c r="N46" s="651"/>
      <c r="O46" s="652"/>
      <c r="P46" s="652"/>
      <c r="Q46" s="652"/>
      <c r="R46" s="652"/>
      <c r="S46" s="652"/>
      <c r="T46" s="652"/>
      <c r="U46" s="652"/>
      <c r="V46" s="652"/>
      <c r="W46" s="656">
        <f>SUM(W36:W37, W40:W45)</f>
        <v>8203</v>
      </c>
      <c r="X46" s="656">
        <f t="shared" ref="X46:AH46" si="66">SUM(X36:X37, X40:X45)</f>
        <v>7409</v>
      </c>
      <c r="Y46" s="656">
        <f t="shared" si="66"/>
        <v>6689</v>
      </c>
      <c r="Z46" s="656">
        <f>SUM(Z36:Z37, Z40:Z45)</f>
        <v>7251</v>
      </c>
      <c r="AA46" s="656">
        <f t="shared" si="66"/>
        <v>7950</v>
      </c>
      <c r="AB46" s="656">
        <f t="shared" si="66"/>
        <v>8243</v>
      </c>
      <c r="AC46" s="656">
        <f t="shared" si="66"/>
        <v>8621</v>
      </c>
      <c r="AD46" s="656">
        <f t="shared" si="66"/>
        <v>8962.3524705260606</v>
      </c>
      <c r="AE46" s="656">
        <f t="shared" si="66"/>
        <v>9249.6083445247623</v>
      </c>
      <c r="AF46" s="656">
        <f t="shared" si="66"/>
        <v>9558.7296004252148</v>
      </c>
      <c r="AG46" s="656">
        <f t="shared" si="66"/>
        <v>9893.4459477406508</v>
      </c>
      <c r="AH46" s="656">
        <f t="shared" si="66"/>
        <v>10255.7176868312</v>
      </c>
      <c r="AI46" s="656">
        <f>SUM(AI36:AI37, AI40:AI45)</f>
        <v>10647.910275334412</v>
      </c>
      <c r="AJ46" s="656">
        <f t="shared" ref="AJ46:AK46" si="67">SUM(AJ36:AJ37, AJ40:AJ45)</f>
        <v>11072.839031796419</v>
      </c>
      <c r="AK46" s="656">
        <f t="shared" si="67"/>
        <v>11533.828714237639</v>
      </c>
      <c r="AL46" s="656">
        <f t="shared" ref="AL46" si="68">SUM(AL36:AL37, AL40:AL45)</f>
        <v>12021.018876549937</v>
      </c>
      <c r="AP46" s="648"/>
      <c r="AQ46" s="648"/>
      <c r="AR46" s="648"/>
      <c r="AS46" s="648">
        <f>AS36+AS37+AS40+AS41+AS42+AS43+AS45</f>
        <v>4149</v>
      </c>
      <c r="AT46" s="648">
        <f>AT36+AT37+AT40+AT41+AT42+AT43+AT45</f>
        <v>4054</v>
      </c>
      <c r="AU46" s="648">
        <f t="shared" si="51"/>
        <v>8203</v>
      </c>
      <c r="AV46" s="648">
        <f>AV36+AV37+AV40+AV41+AV42+AV43+AV45</f>
        <v>3875</v>
      </c>
      <c r="AW46" s="648">
        <f>AW36+AW37+AW40+AW41+AW42+AW43+AW45</f>
        <v>3534</v>
      </c>
      <c r="AX46" s="648">
        <f t="shared" si="53"/>
        <v>7409</v>
      </c>
      <c r="AY46" s="648">
        <f>AY36+AY37+AY40+AY41+AY42+AY43+AY44+AY45</f>
        <v>3324</v>
      </c>
      <c r="AZ46" s="648">
        <f>AZ36+AZ37+AZ40+AZ41+AZ42+AZ43+AZ45</f>
        <v>3517</v>
      </c>
      <c r="BA46" s="648">
        <f t="shared" si="55"/>
        <v>6689</v>
      </c>
      <c r="BB46" s="648">
        <f>BB36+BB37+BB40+BB41+BB42+BB43+BB44+BB45</f>
        <v>3495</v>
      </c>
      <c r="BC46" s="648">
        <f>BC36+BC37+BC40+BC41+BC42+BC43+BC45</f>
        <v>3614</v>
      </c>
      <c r="BD46" s="648">
        <f t="shared" si="63"/>
        <v>7251</v>
      </c>
      <c r="BE46" s="648">
        <f>BE36+BE37+BE40+BE41+BE42+BE43+BE44+BE45</f>
        <v>3895</v>
      </c>
      <c r="BF46" s="648">
        <f>BF36+BF37+BF40+BF41+BF42+BF43+BF45</f>
        <v>3897</v>
      </c>
      <c r="BG46" s="648">
        <f t="shared" si="65"/>
        <v>7950</v>
      </c>
      <c r="BH46" s="648"/>
      <c r="BI46" s="648"/>
      <c r="BJ46" s="648"/>
      <c r="BK46" s="648"/>
      <c r="BL46" s="648"/>
      <c r="BM46" s="648"/>
      <c r="BN46" s="648"/>
      <c r="BW46" t="s">
        <v>1470</v>
      </c>
      <c r="BX46">
        <v>937.65</v>
      </c>
      <c r="BY46">
        <v>993.69999999999993</v>
      </c>
      <c r="BZ46">
        <v>1023.5110000000001</v>
      </c>
      <c r="CA46">
        <v>1054.2163300000002</v>
      </c>
    </row>
    <row r="47" spans="1:79">
      <c r="A47" s="2"/>
      <c r="B47" s="510" t="s">
        <v>1326</v>
      </c>
      <c r="C47" s="14" t="s">
        <v>732</v>
      </c>
      <c r="D47" s="149"/>
      <c r="E47" s="149"/>
      <c r="F47" s="149"/>
      <c r="G47" s="149"/>
      <c r="H47" s="149"/>
      <c r="I47" s="149"/>
      <c r="J47" s="149"/>
      <c r="K47" s="149"/>
      <c r="L47" s="149"/>
      <c r="M47" s="149"/>
      <c r="N47" s="149"/>
      <c r="O47" s="256"/>
      <c r="P47" s="256"/>
      <c r="Q47" s="256"/>
      <c r="R47" s="256"/>
      <c r="S47" s="256"/>
      <c r="T47" s="256"/>
      <c r="U47" s="256"/>
      <c r="V47" s="256"/>
      <c r="W47" s="248">
        <f>'Cost + BS Assumptions'!W41</f>
        <v>1613</v>
      </c>
      <c r="X47" s="248">
        <f>'Cost + BS Assumptions'!X41</f>
        <v>1536</v>
      </c>
      <c r="Y47" s="248">
        <f>'Cost + BS Assumptions'!Y41</f>
        <v>802</v>
      </c>
      <c r="Z47" s="248">
        <f>'Cost + BS Assumptions'!Z41</f>
        <v>233</v>
      </c>
      <c r="AA47" s="248">
        <f>'Cost + BS Assumptions'!AA41</f>
        <v>37</v>
      </c>
      <c r="AB47" s="248">
        <f>'Cost + BS Assumptions'!AB41</f>
        <v>0</v>
      </c>
      <c r="AC47" s="248">
        <f>'Cost + BS Assumptions'!AC41</f>
        <v>1</v>
      </c>
      <c r="AD47" s="248">
        <f>'Cost + BS Assumptions'!AD41</f>
        <v>9.9475983006414026E-14</v>
      </c>
      <c r="AE47" s="248">
        <f>'Cost + BS Assumptions'!AE41</f>
        <v>9.9475983006414026E-14</v>
      </c>
      <c r="AF47" s="248">
        <f>'Cost + BS Assumptions'!AF41</f>
        <v>9.9475983006414026E-14</v>
      </c>
      <c r="AG47" s="248">
        <f>'Cost + BS Assumptions'!AG41</f>
        <v>9.9475983006414026E-14</v>
      </c>
      <c r="AH47" s="248">
        <f>'Cost + BS Assumptions'!AH41</f>
        <v>9.9475983006414026E-14</v>
      </c>
      <c r="AI47" s="248">
        <f>'Cost + BS Assumptions'!AI41</f>
        <v>9.9475983006414026E-14</v>
      </c>
      <c r="AJ47" s="248">
        <f>'Cost + BS Assumptions'!AJ41</f>
        <v>9.9475983006414026E-14</v>
      </c>
      <c r="AK47" s="248">
        <f>'Cost + BS Assumptions'!AK41</f>
        <v>9.9475983006414026E-14</v>
      </c>
      <c r="AL47" s="248">
        <f>'Cost + BS Assumptions'!AL41</f>
        <v>9.9475983006414026E-14</v>
      </c>
      <c r="AP47" s="2"/>
      <c r="AQ47" s="2"/>
      <c r="AR47" s="2"/>
      <c r="AS47" s="530">
        <v>752</v>
      </c>
      <c r="AT47" s="8">
        <f t="shared" si="50"/>
        <v>861</v>
      </c>
      <c r="AU47" s="8">
        <f t="shared" si="51"/>
        <v>1613</v>
      </c>
      <c r="AV47" s="530">
        <v>788</v>
      </c>
      <c r="AW47" s="8">
        <f t="shared" si="52"/>
        <v>748</v>
      </c>
      <c r="AX47" s="8">
        <f t="shared" si="53"/>
        <v>1536</v>
      </c>
      <c r="AY47" s="530">
        <v>520</v>
      </c>
      <c r="AZ47" s="8">
        <f t="shared" si="54"/>
        <v>282</v>
      </c>
      <c r="BA47" s="8">
        <f t="shared" si="55"/>
        <v>802</v>
      </c>
      <c r="BB47" s="530">
        <v>125</v>
      </c>
      <c r="BC47" s="8">
        <f>BD47-BB47</f>
        <v>108</v>
      </c>
      <c r="BD47" s="8">
        <f t="shared" si="63"/>
        <v>233</v>
      </c>
      <c r="BE47" s="530">
        <v>26</v>
      </c>
      <c r="BF47" s="8">
        <f>BG47-BE47</f>
        <v>11</v>
      </c>
      <c r="BG47" s="2">
        <f t="shared" si="65"/>
        <v>37</v>
      </c>
      <c r="BH47" s="2"/>
      <c r="BI47" s="2"/>
      <c r="BJ47" s="2"/>
      <c r="BK47" s="2"/>
      <c r="BL47" s="2"/>
      <c r="BM47" s="2"/>
      <c r="BN47" s="2"/>
      <c r="BW47" t="str">
        <f>B44</f>
        <v>Amplitel</v>
      </c>
      <c r="BX47">
        <f>AB44</f>
        <v>369</v>
      </c>
      <c r="BY47">
        <f>AC44</f>
        <v>382</v>
      </c>
      <c r="BZ47">
        <f>AD44</f>
        <v>382</v>
      </c>
      <c r="CA47">
        <f>AE44</f>
        <v>382</v>
      </c>
    </row>
    <row r="48" spans="1:79" s="520" customFormat="1">
      <c r="A48" s="9"/>
      <c r="B48" s="9" t="s">
        <v>1357</v>
      </c>
      <c r="C48" s="48" t="s">
        <v>732</v>
      </c>
      <c r="W48" s="929">
        <f>SUM(W46:W47)</f>
        <v>9816</v>
      </c>
      <c r="X48" s="929">
        <f t="shared" ref="X48:AH48" si="69">SUM(X46:X47)</f>
        <v>8945</v>
      </c>
      <c r="Y48" s="929">
        <f t="shared" si="69"/>
        <v>7491</v>
      </c>
      <c r="Z48" s="929">
        <f>SUM(Z46:Z47)</f>
        <v>7484</v>
      </c>
      <c r="AA48" s="929">
        <f>SUM(AA46:AA47)</f>
        <v>7987</v>
      </c>
      <c r="AB48" s="929">
        <f>SUM(AB46:AB47)</f>
        <v>8243</v>
      </c>
      <c r="AC48" s="929">
        <f t="shared" si="69"/>
        <v>8622</v>
      </c>
      <c r="AD48" s="929">
        <f t="shared" si="69"/>
        <v>8962.3524705260606</v>
      </c>
      <c r="AE48" s="929">
        <f t="shared" si="69"/>
        <v>9249.6083445247623</v>
      </c>
      <c r="AF48" s="929">
        <f t="shared" si="69"/>
        <v>9558.7296004252148</v>
      </c>
      <c r="AG48" s="929">
        <f t="shared" si="69"/>
        <v>9893.4459477406508</v>
      </c>
      <c r="AH48" s="929">
        <f t="shared" si="69"/>
        <v>10255.7176868312</v>
      </c>
      <c r="AI48" s="929">
        <f>SUM(AI46:AI47)</f>
        <v>10647.910275334412</v>
      </c>
      <c r="AJ48" s="929">
        <f t="shared" ref="AJ48:AK48" si="70">SUM(AJ46:AJ47)</f>
        <v>11072.839031796419</v>
      </c>
      <c r="AK48" s="929">
        <f t="shared" si="70"/>
        <v>11533.828714237639</v>
      </c>
      <c r="AL48" s="929">
        <f t="shared" ref="AL48" si="71">SUM(AL46:AL47)</f>
        <v>12021.018876549937</v>
      </c>
      <c r="AP48" s="9"/>
      <c r="AQ48" s="9"/>
      <c r="AR48" s="9"/>
      <c r="AS48" s="9">
        <f>AS46+AS47</f>
        <v>4901</v>
      </c>
      <c r="AT48" s="9">
        <f>AT46+AT47</f>
        <v>4915</v>
      </c>
      <c r="AU48" s="9">
        <f t="shared" si="51"/>
        <v>9816</v>
      </c>
      <c r="AV48" s="9">
        <f>AV46+AV47</f>
        <v>4663</v>
      </c>
      <c r="AW48" s="9">
        <f>AW46+AW47</f>
        <v>4282</v>
      </c>
      <c r="AX48" s="9">
        <f t="shared" si="53"/>
        <v>8945</v>
      </c>
      <c r="AY48" s="9">
        <f>AY46+AY47</f>
        <v>3844</v>
      </c>
      <c r="AZ48" s="9">
        <f>AZ46+AZ47</f>
        <v>3799</v>
      </c>
      <c r="BA48" s="9">
        <f t="shared" si="55"/>
        <v>7491</v>
      </c>
      <c r="BB48" s="9">
        <f>BB46+BB47</f>
        <v>3620</v>
      </c>
      <c r="BC48" s="9">
        <f>BC46+BC47</f>
        <v>3722</v>
      </c>
      <c r="BD48" s="9">
        <f t="shared" si="63"/>
        <v>7484</v>
      </c>
      <c r="BE48" s="9">
        <f>BE46+BE47</f>
        <v>3921</v>
      </c>
      <c r="BF48" s="9">
        <f>BF46+BF47</f>
        <v>3908</v>
      </c>
      <c r="BG48" s="9">
        <f t="shared" si="65"/>
        <v>7987</v>
      </c>
      <c r="BH48" s="9"/>
      <c r="BI48" s="9"/>
      <c r="BJ48" s="9"/>
      <c r="BK48" s="9"/>
      <c r="BL48" s="9"/>
      <c r="BM48" s="9"/>
      <c r="BN48" s="9"/>
    </row>
    <row r="49" spans="1:66">
      <c r="A49" s="2"/>
      <c r="B49" s="510" t="s">
        <v>1069</v>
      </c>
      <c r="C49" s="14" t="s">
        <v>732</v>
      </c>
      <c r="D49" s="149"/>
      <c r="E49" s="149"/>
      <c r="F49" s="149"/>
      <c r="G49" s="149"/>
      <c r="H49" s="149"/>
      <c r="I49" s="149"/>
      <c r="J49" s="149"/>
      <c r="K49" s="149"/>
      <c r="L49" s="149"/>
      <c r="M49" s="149"/>
      <c r="N49" s="149"/>
      <c r="O49" s="256"/>
      <c r="P49" s="256"/>
      <c r="Q49" s="256"/>
      <c r="R49" s="256"/>
      <c r="S49" s="256"/>
      <c r="T49" s="256"/>
      <c r="U49" s="256"/>
      <c r="V49" s="256"/>
      <c r="W49" s="248">
        <f>'Cost + BS Assumptions'!W42</f>
        <v>-801</v>
      </c>
      <c r="X49" s="248">
        <f>'Cost + BS Assumptions'!X42</f>
        <v>-246</v>
      </c>
      <c r="Y49" s="248">
        <f>'Cost + BS Assumptions'!Y42</f>
        <v>-211</v>
      </c>
      <c r="Z49" s="248">
        <f>'Cost + BS Assumptions'!Z42</f>
        <v>-71</v>
      </c>
      <c r="AA49" s="248">
        <f>'Cost + BS Assumptions'!AA42</f>
        <v>-125</v>
      </c>
      <c r="AB49" s="248">
        <f>'Cost + BS Assumptions'!AB42</f>
        <v>0</v>
      </c>
      <c r="AC49" s="248">
        <f>'Cost + BS Assumptions'!AC42</f>
        <v>0</v>
      </c>
      <c r="AD49" s="248">
        <f>'Cost + BS Assumptions'!AD42</f>
        <v>0</v>
      </c>
      <c r="AE49" s="248">
        <f>'Cost + BS Assumptions'!AE42</f>
        <v>0</v>
      </c>
      <c r="AF49" s="248">
        <f>'Cost + BS Assumptions'!AF42</f>
        <v>0</v>
      </c>
      <c r="AG49" s="248">
        <f>'Cost + BS Assumptions'!AG42</f>
        <v>0</v>
      </c>
      <c r="AH49" s="248">
        <f>'Cost + BS Assumptions'!AH42</f>
        <v>0</v>
      </c>
      <c r="AI49" s="248">
        <f>'Cost + BS Assumptions'!AI42</f>
        <v>0</v>
      </c>
      <c r="AJ49" s="248">
        <f>'Cost + BS Assumptions'!AJ42</f>
        <v>0</v>
      </c>
      <c r="AK49" s="248">
        <f>'Cost + BS Assumptions'!AK42</f>
        <v>0</v>
      </c>
      <c r="AL49" s="248">
        <f>'Cost + BS Assumptions'!AL42</f>
        <v>0</v>
      </c>
      <c r="AP49" s="2"/>
      <c r="AQ49" s="2"/>
      <c r="AR49" s="2"/>
      <c r="AS49" s="530">
        <v>-328</v>
      </c>
      <c r="AT49" s="8">
        <f t="shared" si="50"/>
        <v>-473</v>
      </c>
      <c r="AU49" s="8">
        <f t="shared" si="51"/>
        <v>-801</v>
      </c>
      <c r="AV49" s="530">
        <v>-183</v>
      </c>
      <c r="AW49" s="8">
        <f t="shared" si="52"/>
        <v>-63</v>
      </c>
      <c r="AX49" s="8">
        <f t="shared" si="53"/>
        <v>-246</v>
      </c>
      <c r="AY49" s="530">
        <v>-60</v>
      </c>
      <c r="AZ49" s="8">
        <f t="shared" si="54"/>
        <v>-151</v>
      </c>
      <c r="BA49" s="8">
        <f t="shared" si="55"/>
        <v>-211</v>
      </c>
      <c r="BB49" s="530">
        <v>-22</v>
      </c>
      <c r="BC49" s="8">
        <f>BD49-BB49</f>
        <v>-49</v>
      </c>
      <c r="BD49" s="8">
        <f t="shared" si="63"/>
        <v>-71</v>
      </c>
      <c r="BE49" s="530">
        <v>-60</v>
      </c>
      <c r="BF49" s="8">
        <f>BG49-BE49</f>
        <v>-65</v>
      </c>
      <c r="BG49" s="2">
        <f t="shared" si="65"/>
        <v>-125</v>
      </c>
      <c r="BH49" s="2"/>
      <c r="BI49" s="2"/>
      <c r="BJ49" s="2"/>
      <c r="BK49" s="2"/>
      <c r="BL49" s="2"/>
      <c r="BM49" s="2"/>
      <c r="BN49" s="2"/>
    </row>
    <row r="50" spans="1:66">
      <c r="A50" s="2"/>
      <c r="B50" s="510" t="s">
        <v>1165</v>
      </c>
      <c r="C50" s="14" t="s">
        <v>732</v>
      </c>
      <c r="D50" s="149"/>
      <c r="E50" s="149"/>
      <c r="F50" s="149"/>
      <c r="G50" s="149"/>
      <c r="H50" s="149"/>
      <c r="I50" s="149"/>
      <c r="J50" s="149"/>
      <c r="K50" s="149"/>
      <c r="L50" s="149"/>
      <c r="M50" s="149"/>
      <c r="N50" s="149"/>
      <c r="O50" s="256"/>
      <c r="P50" s="256"/>
      <c r="Q50" s="256"/>
      <c r="R50" s="256"/>
      <c r="S50" s="256"/>
      <c r="T50" s="256"/>
      <c r="U50" s="256"/>
      <c r="V50" s="256"/>
      <c r="W50" s="248">
        <f>'Cost + BS Assumptions'!W43</f>
        <v>-581</v>
      </c>
      <c r="X50" s="248">
        <f>'Cost + BS Assumptions'!X43</f>
        <v>-288</v>
      </c>
      <c r="Y50" s="248">
        <f>'Cost + BS Assumptions'!Y43</f>
        <v>164</v>
      </c>
      <c r="Z50" s="248">
        <f>'Cost + BS Assumptions'!Z43</f>
        <v>-157</v>
      </c>
      <c r="AA50" s="248">
        <f>'Cost + BS Assumptions'!AA43</f>
        <v>0</v>
      </c>
      <c r="AB50" s="248">
        <f>'Cost + BS Assumptions'!AB43</f>
        <v>-715</v>
      </c>
      <c r="AC50" s="248">
        <f>'Cost + BS Assumptions'!AC43</f>
        <v>-14</v>
      </c>
      <c r="AD50" s="248">
        <f>'Cost + BS Assumptions'!AD43</f>
        <v>0</v>
      </c>
      <c r="AE50" s="248">
        <f>'Cost + BS Assumptions'!AE43</f>
        <v>0</v>
      </c>
      <c r="AF50" s="248">
        <f>'Cost + BS Assumptions'!AF43</f>
        <v>0</v>
      </c>
      <c r="AG50" s="248">
        <f>'Cost + BS Assumptions'!AG43</f>
        <v>0</v>
      </c>
      <c r="AH50" s="248">
        <f>'Cost + BS Assumptions'!AH43</f>
        <v>0</v>
      </c>
      <c r="AI50" s="248">
        <f>'Cost + BS Assumptions'!AI43</f>
        <v>0</v>
      </c>
      <c r="AJ50" s="248">
        <f>'Cost + BS Assumptions'!AJ43</f>
        <v>0</v>
      </c>
      <c r="AK50" s="248">
        <f>'Cost + BS Assumptions'!AK43</f>
        <v>0</v>
      </c>
      <c r="AL50" s="248">
        <f>'Cost + BS Assumptions'!AL43</f>
        <v>0</v>
      </c>
      <c r="AP50" s="2"/>
      <c r="AQ50" s="2"/>
      <c r="AR50" s="2"/>
      <c r="AS50" s="530">
        <v>-90</v>
      </c>
      <c r="AT50" s="8">
        <f t="shared" si="50"/>
        <v>-491</v>
      </c>
      <c r="AU50" s="8">
        <f t="shared" si="51"/>
        <v>-581</v>
      </c>
      <c r="AV50" s="530">
        <v>-1</v>
      </c>
      <c r="AW50" s="8">
        <f t="shared" si="52"/>
        <v>-287</v>
      </c>
      <c r="AX50" s="8">
        <f t="shared" si="53"/>
        <v>-288</v>
      </c>
      <c r="AY50" s="530">
        <v>173</v>
      </c>
      <c r="AZ50" s="8">
        <f t="shared" si="54"/>
        <v>-9</v>
      </c>
      <c r="BA50" s="8">
        <f t="shared" si="55"/>
        <v>164</v>
      </c>
      <c r="BB50" s="530">
        <v>-132</v>
      </c>
      <c r="BC50" s="8">
        <f>BD50-BB50</f>
        <v>-25</v>
      </c>
      <c r="BD50" s="8">
        <f t="shared" si="63"/>
        <v>-157</v>
      </c>
      <c r="BE50" s="530"/>
      <c r="BF50" s="8">
        <f>BG50-BE50</f>
        <v>0</v>
      </c>
      <c r="BG50" s="2">
        <f t="shared" si="65"/>
        <v>0</v>
      </c>
      <c r="BH50" s="2"/>
      <c r="BI50" s="2"/>
      <c r="BJ50" s="2"/>
      <c r="BK50" s="2"/>
      <c r="BL50" s="2"/>
      <c r="BM50" s="2"/>
      <c r="BN50" s="2"/>
    </row>
    <row r="51" spans="1:66" s="520" customFormat="1">
      <c r="A51" s="9"/>
      <c r="B51" s="9" t="s">
        <v>1355</v>
      </c>
      <c r="C51" s="48" t="s">
        <v>732</v>
      </c>
      <c r="D51" s="930"/>
      <c r="E51" s="930"/>
      <c r="F51" s="930"/>
      <c r="G51" s="930"/>
      <c r="H51" s="930"/>
      <c r="I51" s="930"/>
      <c r="J51" s="930"/>
      <c r="K51" s="930"/>
      <c r="L51" s="930"/>
      <c r="M51" s="930"/>
      <c r="N51" s="930"/>
      <c r="O51" s="931"/>
      <c r="P51" s="931"/>
      <c r="Q51" s="931"/>
      <c r="R51" s="931"/>
      <c r="S51" s="931"/>
      <c r="T51" s="931"/>
      <c r="U51" s="931"/>
      <c r="V51" s="931"/>
      <c r="W51" s="929">
        <f>SUM(W48:W50)</f>
        <v>8434</v>
      </c>
      <c r="X51" s="929">
        <f t="shared" ref="X51:AH51" si="72">SUM(X48:X50)</f>
        <v>8411</v>
      </c>
      <c r="Y51" s="929">
        <f t="shared" si="72"/>
        <v>7444</v>
      </c>
      <c r="Z51" s="929">
        <f>SUM(Z48:Z50)</f>
        <v>7256</v>
      </c>
      <c r="AA51" s="929">
        <f t="shared" si="72"/>
        <v>7862</v>
      </c>
      <c r="AB51" s="929">
        <f t="shared" si="72"/>
        <v>7528</v>
      </c>
      <c r="AC51" s="929">
        <f t="shared" si="72"/>
        <v>8608</v>
      </c>
      <c r="AD51" s="929">
        <f t="shared" si="72"/>
        <v>8962.3524705260606</v>
      </c>
      <c r="AE51" s="929">
        <f t="shared" si="72"/>
        <v>9249.6083445247623</v>
      </c>
      <c r="AF51" s="929">
        <f t="shared" si="72"/>
        <v>9558.7296004252148</v>
      </c>
      <c r="AG51" s="929">
        <f t="shared" si="72"/>
        <v>9893.4459477406508</v>
      </c>
      <c r="AH51" s="929">
        <f t="shared" si="72"/>
        <v>10255.7176868312</v>
      </c>
      <c r="AI51" s="929">
        <f>SUM(AI48:AI50)</f>
        <v>10647.910275334412</v>
      </c>
      <c r="AJ51" s="929">
        <f t="shared" ref="AJ51:AK51" si="73">SUM(AJ48:AJ50)</f>
        <v>11072.839031796419</v>
      </c>
      <c r="AK51" s="929">
        <f t="shared" si="73"/>
        <v>11533.828714237639</v>
      </c>
      <c r="AL51" s="929">
        <f t="shared" ref="AL51" si="74">SUM(AL48:AL50)</f>
        <v>12021.018876549937</v>
      </c>
      <c r="AP51" s="9"/>
      <c r="AQ51" s="9"/>
      <c r="AR51" s="9"/>
      <c r="AS51" s="9">
        <f>AS48+AS49+AS50</f>
        <v>4483</v>
      </c>
      <c r="AT51" s="9">
        <f>AT48+AT49+AT50</f>
        <v>3951</v>
      </c>
      <c r="AU51" s="9">
        <f t="shared" si="51"/>
        <v>8434</v>
      </c>
      <c r="AV51" s="9">
        <f>AV48+AV49+AV50</f>
        <v>4479</v>
      </c>
      <c r="AW51" s="9">
        <f>AW48+AW49+AW50</f>
        <v>3932</v>
      </c>
      <c r="AX51" s="9">
        <f t="shared" si="53"/>
        <v>8411</v>
      </c>
      <c r="AY51" s="9">
        <f>AY48+AY49+AY50</f>
        <v>3957</v>
      </c>
      <c r="AZ51" s="9">
        <f>AZ48+AZ49+AZ50</f>
        <v>3639</v>
      </c>
      <c r="BA51" s="9">
        <f t="shared" si="55"/>
        <v>7444</v>
      </c>
      <c r="BB51" s="9">
        <f>BB48+BB49+BB50</f>
        <v>3466</v>
      </c>
      <c r="BC51" s="9">
        <f>BC48+BC49+BC50</f>
        <v>3648</v>
      </c>
      <c r="BD51" s="9">
        <f t="shared" si="63"/>
        <v>7256</v>
      </c>
      <c r="BE51" s="9">
        <f>BE48+BE49+BE50</f>
        <v>3861</v>
      </c>
      <c r="BF51" s="9">
        <f>BF48+BF49+BF50</f>
        <v>3843</v>
      </c>
      <c r="BG51" s="9">
        <f t="shared" si="65"/>
        <v>7862</v>
      </c>
      <c r="BH51" s="9"/>
      <c r="BI51" s="9"/>
      <c r="BJ51" s="9"/>
      <c r="BK51" s="9"/>
      <c r="BL51" s="9"/>
      <c r="BM51" s="9"/>
      <c r="BN51" s="9"/>
    </row>
    <row r="52" spans="1:66" collapsed="1">
      <c r="A52" s="312"/>
      <c r="B52" s="325" t="s">
        <v>880</v>
      </c>
      <c r="C52" s="811" t="s">
        <v>733</v>
      </c>
      <c r="D52" s="311"/>
      <c r="E52" s="311"/>
      <c r="F52" s="311"/>
      <c r="G52" s="311"/>
      <c r="H52" s="311"/>
      <c r="I52" s="311"/>
      <c r="J52" s="311"/>
      <c r="K52" s="311"/>
      <c r="L52" s="311"/>
      <c r="M52" s="311"/>
      <c r="N52" s="311"/>
      <c r="O52" s="311"/>
      <c r="P52" s="311"/>
      <c r="Q52" s="311"/>
      <c r="R52" s="311"/>
      <c r="S52" s="311"/>
      <c r="T52" s="311"/>
      <c r="U52" s="311"/>
      <c r="V52" s="311"/>
      <c r="W52" s="311"/>
      <c r="X52" s="311">
        <f t="shared" ref="X52:AI52" si="75">X51/W51-1</f>
        <v>-2.7270571496323948E-3</v>
      </c>
      <c r="Y52" s="311">
        <f t="shared" si="75"/>
        <v>-0.11496849363928185</v>
      </c>
      <c r="Z52" s="311">
        <f t="shared" si="75"/>
        <v>-2.5255239118753381E-2</v>
      </c>
      <c r="AA52" s="311">
        <f t="shared" si="75"/>
        <v>8.351708930540247E-2</v>
      </c>
      <c r="AB52" s="311">
        <f t="shared" si="75"/>
        <v>-4.248282879674381E-2</v>
      </c>
      <c r="AC52" s="312">
        <f t="shared" si="75"/>
        <v>0.1434643995749203</v>
      </c>
      <c r="AD52" s="312">
        <f t="shared" si="75"/>
        <v>4.1165482170778311E-2</v>
      </c>
      <c r="AE52" s="312">
        <f t="shared" si="75"/>
        <v>3.2051392192327111E-2</v>
      </c>
      <c r="AF52" s="312">
        <f t="shared" si="75"/>
        <v>3.3419929189048903E-2</v>
      </c>
      <c r="AG52" s="312">
        <f t="shared" si="75"/>
        <v>3.5016823501372585E-2</v>
      </c>
      <c r="AH52" s="312">
        <f t="shared" si="75"/>
        <v>3.6617346575111176E-2</v>
      </c>
      <c r="AI52" s="312">
        <f t="shared" si="75"/>
        <v>3.8241359647292583E-2</v>
      </c>
      <c r="AJ52" s="312">
        <f t="shared" ref="AJ52" si="76">AJ51/AI51-1</f>
        <v>3.9907244283072352E-2</v>
      </c>
      <c r="AK52" s="312">
        <f t="shared" ref="AK52:AL52" si="77">AK51/AJ51-1</f>
        <v>4.1632473940735215E-2</v>
      </c>
      <c r="AL52" s="312">
        <f t="shared" si="77"/>
        <v>4.2240107286394712E-2</v>
      </c>
      <c r="AP52" s="312"/>
      <c r="AQ52" s="312"/>
      <c r="AR52" s="312"/>
      <c r="AS52" s="343"/>
      <c r="AT52" s="343"/>
      <c r="AU52" s="343"/>
      <c r="AV52" s="343">
        <f>AV51/AS51-1</f>
        <v>-8.9225964755745846E-4</v>
      </c>
      <c r="AW52" s="343">
        <f>AW51/AT51-1</f>
        <v>-4.8089091369273307E-3</v>
      </c>
      <c r="AX52" s="343">
        <f>X52</f>
        <v>-2.7270571496323948E-3</v>
      </c>
      <c r="AY52" s="343">
        <f>AY51/AV51-1</f>
        <v>-0.11654387139986599</v>
      </c>
      <c r="AZ52" s="343">
        <f>AZ51/AW51-1</f>
        <v>-7.4516785350966397E-2</v>
      </c>
      <c r="BA52" s="343">
        <f t="shared" si="55"/>
        <v>-0.11496849363928185</v>
      </c>
      <c r="BB52" s="343">
        <f>BB51/AY51-1</f>
        <v>-0.12408390194591867</v>
      </c>
      <c r="BC52" s="343">
        <f>BC51/AZ51-1</f>
        <v>2.4732069249793209E-3</v>
      </c>
      <c r="BD52" s="343">
        <f t="shared" si="63"/>
        <v>-2.5255239118753381E-2</v>
      </c>
      <c r="BE52" s="343">
        <f>BE51/BB51-1</f>
        <v>0.11396422388920957</v>
      </c>
      <c r="BF52" s="343">
        <f>BF51/BC51-1</f>
        <v>5.3453947368421018E-2</v>
      </c>
      <c r="BG52" s="312">
        <f t="shared" ref="BG52:BN52" si="78">AA52</f>
        <v>8.351708930540247E-2</v>
      </c>
      <c r="BH52" s="312">
        <f t="shared" si="78"/>
        <v>-4.248282879674381E-2</v>
      </c>
      <c r="BI52" s="312">
        <f t="shared" si="78"/>
        <v>0.1434643995749203</v>
      </c>
      <c r="BJ52" s="312">
        <f t="shared" si="78"/>
        <v>4.1165482170778311E-2</v>
      </c>
      <c r="BK52" s="312">
        <f t="shared" si="78"/>
        <v>3.2051392192327111E-2</v>
      </c>
      <c r="BL52" s="312">
        <f t="shared" si="78"/>
        <v>3.3419929189048903E-2</v>
      </c>
      <c r="BM52" s="312">
        <f t="shared" si="78"/>
        <v>3.5016823501372585E-2</v>
      </c>
      <c r="BN52" s="312">
        <f t="shared" si="78"/>
        <v>3.6617346575111176E-2</v>
      </c>
    </row>
    <row r="53" spans="1:66">
      <c r="A53" s="312"/>
      <c r="B53" s="1098" t="s">
        <v>1107</v>
      </c>
      <c r="C53" s="423" t="s">
        <v>733</v>
      </c>
      <c r="D53" s="311"/>
      <c r="E53" s="311"/>
      <c r="F53" s="311"/>
      <c r="G53" s="311"/>
      <c r="H53" s="311"/>
      <c r="I53" s="311"/>
      <c r="J53" s="311"/>
      <c r="K53" s="311"/>
      <c r="L53" s="311"/>
      <c r="M53" s="311"/>
      <c r="N53" s="311"/>
      <c r="O53" s="311"/>
      <c r="P53" s="311"/>
      <c r="Q53" s="311"/>
      <c r="R53" s="311"/>
      <c r="S53" s="311"/>
      <c r="T53" s="311"/>
      <c r="U53" s="311"/>
      <c r="V53" s="311"/>
      <c r="W53" s="311">
        <f>+W51/W21</f>
        <v>0.30330492322077174</v>
      </c>
      <c r="X53" s="311">
        <f t="shared" ref="X53:AI53" si="79">+X51/X21</f>
        <v>0.3242857693642287</v>
      </c>
      <c r="Y53" s="311">
        <f t="shared" si="79"/>
        <v>0.32180529137126057</v>
      </c>
      <c r="Z53" s="311">
        <f t="shared" si="79"/>
        <v>0.32914493082331592</v>
      </c>
      <c r="AA53" s="311">
        <f t="shared" si="79"/>
        <v>0.33822313501188611</v>
      </c>
      <c r="AB53" s="311">
        <f t="shared" si="79"/>
        <v>0.32058598075121369</v>
      </c>
      <c r="AC53" s="311">
        <f t="shared" si="79"/>
        <v>0.36459127488352394</v>
      </c>
      <c r="AD53" s="311">
        <f t="shared" si="79"/>
        <v>0.36565093372950952</v>
      </c>
      <c r="AE53" s="311">
        <f t="shared" si="79"/>
        <v>0.36738056389999668</v>
      </c>
      <c r="AF53" s="311">
        <f t="shared" si="79"/>
        <v>0.36839264346057682</v>
      </c>
      <c r="AG53" s="311">
        <f t="shared" si="79"/>
        <v>0.36873593080843858</v>
      </c>
      <c r="AH53" s="311">
        <f t="shared" si="79"/>
        <v>0.36846953221618395</v>
      </c>
      <c r="AI53" s="311">
        <f t="shared" si="79"/>
        <v>0.36763301813501326</v>
      </c>
      <c r="AJ53" s="311">
        <f t="shared" ref="AJ53:AK53" si="80">+AJ51/AJ21</f>
        <v>0.36624875292186337</v>
      </c>
      <c r="AK53" s="311">
        <f t="shared" si="80"/>
        <v>0.36432416796216166</v>
      </c>
      <c r="AL53" s="311">
        <f t="shared" ref="AL53" si="81">+AL51/AL21</f>
        <v>0.36318023873369143</v>
      </c>
      <c r="AP53" s="312"/>
      <c r="AQ53" s="312"/>
      <c r="AR53" s="312"/>
      <c r="AS53" s="343"/>
      <c r="AT53" s="343"/>
      <c r="AU53" s="343"/>
      <c r="AV53" s="343"/>
      <c r="AW53" s="343"/>
      <c r="AX53" s="343"/>
      <c r="AY53" s="343"/>
      <c r="AZ53" s="343"/>
      <c r="BA53" s="343"/>
      <c r="BB53" s="343"/>
      <c r="BC53" s="343"/>
      <c r="BD53" s="343"/>
      <c r="BE53" s="343"/>
      <c r="BF53" s="343"/>
      <c r="BG53" s="312"/>
      <c r="BH53" s="312"/>
      <c r="BI53" s="312"/>
      <c r="BJ53" s="312"/>
      <c r="BK53" s="312"/>
      <c r="BL53" s="312"/>
      <c r="BM53" s="312"/>
      <c r="BN53" s="312"/>
    </row>
    <row r="54" spans="1:66">
      <c r="A54" s="312"/>
      <c r="B54" s="325"/>
      <c r="C54" s="811"/>
      <c r="D54" s="311"/>
      <c r="E54" s="311"/>
      <c r="F54" s="311"/>
      <c r="G54" s="311"/>
      <c r="H54" s="311"/>
      <c r="I54" s="311"/>
      <c r="J54" s="311"/>
      <c r="K54" s="311"/>
      <c r="L54" s="311"/>
      <c r="M54" s="311"/>
      <c r="N54" s="311"/>
      <c r="O54" s="311"/>
      <c r="P54" s="311"/>
      <c r="Q54" s="311"/>
      <c r="R54" s="311"/>
      <c r="S54" s="311"/>
      <c r="T54" s="311"/>
      <c r="U54" s="311"/>
      <c r="V54" s="311"/>
      <c r="W54" s="311"/>
      <c r="X54" s="311"/>
      <c r="Y54" s="311"/>
      <c r="Z54" s="311"/>
      <c r="AA54" s="311"/>
      <c r="AB54" s="311"/>
      <c r="AC54" s="312"/>
      <c r="AD54" s="312"/>
      <c r="AE54" s="312"/>
      <c r="AF54" s="312"/>
      <c r="AG54" s="312"/>
      <c r="AH54" s="312"/>
      <c r="AI54" s="312"/>
      <c r="AJ54" s="312"/>
      <c r="AK54" s="312"/>
      <c r="AL54" s="312"/>
      <c r="AP54" s="312"/>
      <c r="AQ54" s="312"/>
      <c r="AR54" s="312"/>
      <c r="AS54" s="343"/>
      <c r="AT54" s="343"/>
      <c r="AU54" s="343"/>
      <c r="AV54" s="343"/>
      <c r="AW54" s="343"/>
      <c r="AX54" s="343"/>
      <c r="AY54" s="343"/>
      <c r="AZ54" s="343"/>
      <c r="BA54" s="343"/>
      <c r="BB54" s="343"/>
      <c r="BC54" s="343"/>
      <c r="BD54" s="343"/>
      <c r="BE54" s="343"/>
      <c r="BF54" s="343"/>
      <c r="BG54" s="312"/>
      <c r="BH54" s="312"/>
      <c r="BI54" s="312"/>
      <c r="BJ54" s="312"/>
      <c r="BK54" s="312"/>
      <c r="BL54" s="312"/>
      <c r="BM54" s="312"/>
      <c r="BN54" s="312"/>
    </row>
    <row r="55" spans="1:66">
      <c r="A55" s="2"/>
      <c r="B55" s="8" t="s">
        <v>1366</v>
      </c>
      <c r="C55" s="18"/>
      <c r="D55" s="42"/>
      <c r="E55" s="42"/>
      <c r="F55" s="42"/>
      <c r="G55" s="42"/>
      <c r="H55" s="42"/>
      <c r="I55" s="117"/>
      <c r="J55" s="117"/>
      <c r="K55" s="42"/>
      <c r="L55" s="42"/>
      <c r="M55" s="7"/>
      <c r="N55" s="42"/>
      <c r="O55" s="247"/>
      <c r="P55" s="247"/>
      <c r="Q55" s="247"/>
      <c r="R55" s="247"/>
      <c r="S55" s="247"/>
      <c r="T55" s="247"/>
      <c r="U55" s="247"/>
      <c r="V55" s="247"/>
      <c r="W55" s="615">
        <v>-450</v>
      </c>
      <c r="X55" s="615">
        <v>494</v>
      </c>
      <c r="Y55" s="615">
        <v>194</v>
      </c>
      <c r="Z55" s="615">
        <v>0</v>
      </c>
      <c r="AA55" s="615">
        <v>0</v>
      </c>
      <c r="AB55" s="615">
        <v>0</v>
      </c>
      <c r="AC55" s="615">
        <v>0</v>
      </c>
      <c r="AD55" s="638">
        <v>0</v>
      </c>
      <c r="AE55" s="638">
        <v>0</v>
      </c>
      <c r="AF55" s="638">
        <v>0</v>
      </c>
      <c r="AG55" s="638">
        <v>0</v>
      </c>
      <c r="AH55" s="638">
        <v>0</v>
      </c>
      <c r="AI55" s="638">
        <v>0</v>
      </c>
      <c r="AJ55" s="638">
        <v>0</v>
      </c>
      <c r="AK55" s="638">
        <v>0</v>
      </c>
      <c r="AL55" s="638">
        <v>0</v>
      </c>
      <c r="AP55" s="2"/>
      <c r="AQ55" s="2"/>
      <c r="AR55" s="2"/>
      <c r="AS55" s="530">
        <v>0</v>
      </c>
      <c r="AT55" s="8"/>
      <c r="AU55" s="8"/>
      <c r="AV55" s="530">
        <v>294</v>
      </c>
      <c r="AW55" s="8">
        <f>AX55-AV55</f>
        <v>200</v>
      </c>
      <c r="AX55" s="8">
        <f>X55</f>
        <v>494</v>
      </c>
      <c r="AY55" s="530">
        <v>113</v>
      </c>
      <c r="AZ55" s="8">
        <f>BA55-AY55</f>
        <v>81</v>
      </c>
      <c r="BA55" s="8">
        <f>Y55</f>
        <v>194</v>
      </c>
      <c r="BB55" s="530">
        <v>0</v>
      </c>
      <c r="BC55" s="8">
        <f>BD55-BB55</f>
        <v>0</v>
      </c>
      <c r="BD55" s="8">
        <f>Z55</f>
        <v>0</v>
      </c>
      <c r="BE55" s="530">
        <v>0</v>
      </c>
      <c r="BF55" s="8">
        <f>BG55-BE55</f>
        <v>0</v>
      </c>
      <c r="BG55" s="2">
        <f>AA55</f>
        <v>0</v>
      </c>
      <c r="BH55" s="2"/>
      <c r="BI55" s="2"/>
      <c r="BJ55" s="2"/>
      <c r="BK55" s="2"/>
      <c r="BL55" s="2"/>
      <c r="BM55" s="2"/>
      <c r="BN55" s="2"/>
    </row>
    <row r="56" spans="1:66">
      <c r="A56" s="9"/>
      <c r="B56" s="9" t="s">
        <v>1354</v>
      </c>
      <c r="C56" s="48" t="s">
        <v>732</v>
      </c>
      <c r="D56" s="51"/>
      <c r="E56" s="51"/>
      <c r="F56" s="51"/>
      <c r="G56" s="51"/>
      <c r="H56" s="51"/>
      <c r="I56" s="932"/>
      <c r="J56" s="932"/>
      <c r="K56" s="51"/>
      <c r="L56" s="51"/>
      <c r="M56" s="49"/>
      <c r="N56" s="51"/>
      <c r="O56" s="424"/>
      <c r="P56" s="424"/>
      <c r="Q56" s="424"/>
      <c r="R56" s="424"/>
      <c r="S56" s="424"/>
      <c r="T56" s="424"/>
      <c r="U56" s="424"/>
      <c r="V56" s="424"/>
      <c r="W56" s="424">
        <f>+W51+W55</f>
        <v>7984</v>
      </c>
      <c r="X56" s="424">
        <f>+X51+X55</f>
        <v>8905</v>
      </c>
      <c r="Y56" s="424">
        <f>+Y51+Y55</f>
        <v>7638</v>
      </c>
      <c r="Z56" s="424">
        <f t="shared" ref="Z56:AH56" si="82">+Z51+Z55</f>
        <v>7256</v>
      </c>
      <c r="AA56" s="424">
        <f t="shared" ref="AA56:AB56" si="83">+AA51+AA55</f>
        <v>7862</v>
      </c>
      <c r="AB56" s="424">
        <f t="shared" si="83"/>
        <v>7528</v>
      </c>
      <c r="AC56" s="424">
        <f t="shared" ref="AC56" si="84">+AC51+AC55</f>
        <v>8608</v>
      </c>
      <c r="AD56" s="424">
        <f t="shared" si="82"/>
        <v>8962.3524705260606</v>
      </c>
      <c r="AE56" s="424">
        <f t="shared" si="82"/>
        <v>9249.6083445247623</v>
      </c>
      <c r="AF56" s="424">
        <f t="shared" si="82"/>
        <v>9558.7296004252148</v>
      </c>
      <c r="AG56" s="424">
        <f t="shared" si="82"/>
        <v>9893.4459477406508</v>
      </c>
      <c r="AH56" s="424">
        <f t="shared" si="82"/>
        <v>10255.7176868312</v>
      </c>
      <c r="AI56" s="424">
        <f>+AI51+AI55</f>
        <v>10647.910275334412</v>
      </c>
      <c r="AJ56" s="424">
        <f t="shared" ref="AJ56:AK56" si="85">+AJ51+AJ55</f>
        <v>11072.839031796419</v>
      </c>
      <c r="AK56" s="424">
        <f t="shared" si="85"/>
        <v>11533.828714237639</v>
      </c>
      <c r="AL56" s="424">
        <f t="shared" ref="AL56" si="86">+AL51+AL55</f>
        <v>12021.018876549937</v>
      </c>
      <c r="AP56" s="9"/>
      <c r="AQ56" s="9"/>
      <c r="AR56" s="9"/>
      <c r="AS56" s="9">
        <f>AS51+AS55</f>
        <v>4483</v>
      </c>
      <c r="AT56" s="9"/>
      <c r="AU56" s="9"/>
      <c r="AV56" s="9">
        <f>AV51+AV55</f>
        <v>4773</v>
      </c>
      <c r="AW56" s="9">
        <f>AW51+AW55</f>
        <v>4132</v>
      </c>
      <c r="AX56" s="9">
        <f>X56</f>
        <v>8905</v>
      </c>
      <c r="AY56" s="9">
        <f>AY51+AY55</f>
        <v>4070</v>
      </c>
      <c r="AZ56" s="9">
        <f>AZ51+AZ55</f>
        <v>3720</v>
      </c>
      <c r="BA56" s="9">
        <f>Y56</f>
        <v>7638</v>
      </c>
      <c r="BB56" s="9">
        <f>BB51+BB55</f>
        <v>3466</v>
      </c>
      <c r="BC56" s="9">
        <f>BC51+BC55</f>
        <v>3648</v>
      </c>
      <c r="BD56" s="9">
        <f>Z56</f>
        <v>7256</v>
      </c>
      <c r="BE56" s="9">
        <f>BE51+BE55</f>
        <v>3861</v>
      </c>
      <c r="BF56" s="9">
        <f>BF51+BF55</f>
        <v>3843</v>
      </c>
      <c r="BG56" s="9">
        <f>AA56</f>
        <v>7862</v>
      </c>
      <c r="BH56" s="9"/>
      <c r="BI56" s="9"/>
      <c r="BJ56" s="9"/>
      <c r="BK56" s="9"/>
      <c r="BL56" s="9"/>
      <c r="BM56" s="9"/>
      <c r="BN56" s="9"/>
    </row>
    <row r="57" spans="1:66" collapsed="1">
      <c r="A57" s="2"/>
      <c r="B57" s="510"/>
      <c r="C57" s="926"/>
      <c r="D57" s="149"/>
      <c r="E57" s="149"/>
      <c r="F57" s="149"/>
      <c r="G57" s="149"/>
      <c r="H57" s="149"/>
      <c r="I57" s="149"/>
      <c r="J57" s="149"/>
      <c r="K57" s="149"/>
      <c r="L57" s="149"/>
      <c r="M57" s="149"/>
      <c r="N57" s="149"/>
      <c r="O57" s="256"/>
      <c r="P57" s="256"/>
      <c r="Q57" s="256"/>
      <c r="R57" s="256"/>
      <c r="S57" s="256"/>
      <c r="T57" s="256"/>
      <c r="U57" s="256"/>
      <c r="V57" s="256"/>
      <c r="W57" s="256"/>
      <c r="X57" s="256"/>
      <c r="Y57" s="256"/>
      <c r="Z57" s="256"/>
      <c r="AA57" s="256"/>
      <c r="AB57" s="256"/>
      <c r="AC57" s="256"/>
      <c r="AD57" s="256"/>
      <c r="AE57" s="256"/>
      <c r="AF57" s="256"/>
      <c r="AG57" s="256"/>
      <c r="AH57" s="256"/>
      <c r="AI57" s="256"/>
      <c r="AJ57" s="256"/>
      <c r="AK57" s="256"/>
      <c r="AL57" s="256"/>
      <c r="AP57" s="2"/>
      <c r="AQ57" s="2"/>
      <c r="AR57" s="2"/>
      <c r="AS57" s="2"/>
      <c r="AT57" s="2"/>
      <c r="AU57" s="2"/>
      <c r="AV57" s="2"/>
      <c r="AW57" s="2"/>
      <c r="AX57" s="2"/>
      <c r="AY57" s="2"/>
      <c r="AZ57" s="2"/>
      <c r="BA57" s="2"/>
      <c r="BB57" s="2"/>
      <c r="BC57" s="2"/>
      <c r="BD57" s="2"/>
      <c r="BE57" s="2"/>
      <c r="BF57" s="2"/>
      <c r="BG57" s="2"/>
      <c r="BH57" s="2"/>
      <c r="BI57" s="2"/>
      <c r="BJ57" s="2"/>
      <c r="BK57" s="2"/>
      <c r="BL57" s="2"/>
      <c r="BM57" s="2"/>
      <c r="BN57" s="2"/>
    </row>
    <row r="58" spans="1:66" hidden="1" outlineLevel="1">
      <c r="A58" s="2"/>
      <c r="B58" s="9" t="s">
        <v>1172</v>
      </c>
      <c r="C58" s="926"/>
      <c r="D58" s="149"/>
      <c r="E58" s="149"/>
      <c r="F58" s="149"/>
      <c r="G58" s="149"/>
      <c r="H58" s="149"/>
      <c r="I58" s="149"/>
      <c r="J58" s="149"/>
      <c r="K58" s="149"/>
      <c r="L58" s="149"/>
      <c r="M58" s="149"/>
      <c r="N58" s="149"/>
      <c r="O58" s="256"/>
      <c r="P58" s="256"/>
      <c r="Q58" s="256"/>
      <c r="R58" s="256"/>
      <c r="S58" s="256"/>
      <c r="T58" s="256"/>
      <c r="U58" s="256"/>
      <c r="V58" s="256"/>
      <c r="W58" s="256"/>
      <c r="X58" s="256"/>
      <c r="Y58" s="256"/>
      <c r="Z58" s="256"/>
      <c r="AA58" s="256"/>
      <c r="AB58" s="256"/>
      <c r="AC58" s="256"/>
      <c r="AD58" s="256"/>
      <c r="AE58" s="256"/>
      <c r="AF58" s="256"/>
      <c r="AG58" s="256"/>
      <c r="AH58" s="256"/>
      <c r="AI58" s="256"/>
      <c r="AJ58" s="256"/>
      <c r="AK58" s="256"/>
      <c r="AL58" s="256"/>
      <c r="AP58" s="2"/>
      <c r="AQ58" s="2"/>
      <c r="AR58" s="2"/>
      <c r="AS58" s="2"/>
      <c r="AT58" s="2"/>
      <c r="AU58" s="2"/>
      <c r="AV58" s="2"/>
      <c r="AW58" s="2"/>
      <c r="AX58" s="2"/>
      <c r="AY58" s="2"/>
      <c r="AZ58" s="2"/>
      <c r="BA58" s="2"/>
      <c r="BB58" s="2"/>
      <c r="BC58" s="2"/>
      <c r="BD58" s="2"/>
      <c r="BE58" s="2"/>
      <c r="BF58" s="2"/>
      <c r="BG58" s="2"/>
      <c r="BH58" s="2"/>
      <c r="BI58" s="2"/>
      <c r="BJ58" s="2"/>
      <c r="BK58" s="2"/>
      <c r="BL58" s="2"/>
      <c r="BM58" s="2"/>
      <c r="BN58" s="2"/>
    </row>
    <row r="59" spans="1:66" hidden="1" outlineLevel="1">
      <c r="A59" s="2"/>
      <c r="B59" s="164" t="s">
        <v>266</v>
      </c>
      <c r="C59" s="14" t="s">
        <v>733</v>
      </c>
      <c r="D59" s="149"/>
      <c r="E59" s="149"/>
      <c r="F59" s="149"/>
      <c r="G59" s="149"/>
      <c r="H59" s="149"/>
      <c r="I59" s="149"/>
      <c r="J59" s="149"/>
      <c r="K59" s="149"/>
      <c r="L59" s="149"/>
      <c r="M59" s="149"/>
      <c r="N59" s="149"/>
      <c r="O59" s="256"/>
      <c r="P59" s="256"/>
      <c r="Q59" s="256"/>
      <c r="R59" s="256"/>
      <c r="S59" s="256"/>
      <c r="T59" s="256"/>
      <c r="U59" s="256"/>
      <c r="V59" s="256"/>
      <c r="W59" s="256"/>
      <c r="X59">
        <f>+IFERROR(X36/W36-1,"")</f>
        <v>-7.4527548575991531E-2</v>
      </c>
      <c r="Y59">
        <f t="shared" ref="Y59:AI59" si="87">+IFERROR(Y36/X36-1,"")</f>
        <v>4.8892723612309563E-2</v>
      </c>
      <c r="Z59">
        <f t="shared" si="87"/>
        <v>9.158212229229501E-2</v>
      </c>
      <c r="AA59">
        <f t="shared" si="87"/>
        <v>0.15599095704596833</v>
      </c>
      <c r="AB59">
        <f t="shared" si="87"/>
        <v>9.2133854845719343E-2</v>
      </c>
      <c r="AC59">
        <f t="shared" si="87"/>
        <v>4.6756864305610879E-2</v>
      </c>
      <c r="AD59">
        <f t="shared" si="87"/>
        <v>4.6717139261251761E-2</v>
      </c>
      <c r="AE59">
        <f t="shared" si="87"/>
        <v>4.550477277496312E-2</v>
      </c>
      <c r="AF59">
        <f t="shared" si="87"/>
        <v>4.6550628199936162E-2</v>
      </c>
      <c r="AG59">
        <f t="shared" si="87"/>
        <v>4.7625396154019395E-2</v>
      </c>
      <c r="AH59">
        <f t="shared" si="87"/>
        <v>4.871471603914701E-2</v>
      </c>
      <c r="AI59">
        <f t="shared" si="87"/>
        <v>4.9821566384699478E-2</v>
      </c>
      <c r="AJ59">
        <f t="shared" ref="AJ59:AJ66" si="88">+IFERROR(AJ36/AI36-1,"")</f>
        <v>5.0948815299605599E-2</v>
      </c>
      <c r="AK59">
        <f t="shared" ref="AK59:AL66" si="89">+IFERROR(AK36/AJ36-1,"")</f>
        <v>5.209920168503257E-2</v>
      </c>
      <c r="AL59">
        <f t="shared" si="89"/>
        <v>5.3275315528987122E-2</v>
      </c>
      <c r="AP59" s="2"/>
      <c r="AQ59" s="2"/>
      <c r="AR59" s="2"/>
      <c r="AS59" s="2"/>
      <c r="AT59" s="2"/>
      <c r="AU59" s="2"/>
      <c r="AV59" s="933">
        <f t="shared" ref="AV59:AV66" si="90">+IFERROR(AV36/AS36-1,"")</f>
        <v>-3.3092037228541926E-2</v>
      </c>
      <c r="AW59" s="2"/>
      <c r="AX59" s="2"/>
      <c r="AY59" s="933">
        <f t="shared" ref="AY59:AY66" si="91">+IFERROR(AY36/AV36-1,"")</f>
        <v>-0.16310160427807485</v>
      </c>
      <c r="AZ59" s="2"/>
      <c r="BA59" s="2"/>
      <c r="BB59" s="933">
        <f t="shared" ref="BB59:BB66" si="92">+IFERROR(BB36/AY36-1,"")</f>
        <v>0.25047923322683707</v>
      </c>
      <c r="BC59" s="2"/>
      <c r="BD59" s="2"/>
      <c r="BE59" s="933">
        <f t="shared" ref="BE59:BE66" si="93">+IFERROR(BE36/BB36-1,"")</f>
        <v>0.13285641287685235</v>
      </c>
      <c r="BF59" s="2"/>
      <c r="BG59" s="2"/>
      <c r="BH59" s="2"/>
      <c r="BI59" s="2"/>
      <c r="BJ59" s="2"/>
      <c r="BK59" s="2"/>
      <c r="BL59" s="2"/>
      <c r="BM59" s="2"/>
      <c r="BN59" s="2"/>
    </row>
    <row r="60" spans="1:66" hidden="1" outlineLevel="1">
      <c r="A60" s="2"/>
      <c r="B60" s="510" t="s">
        <v>1250</v>
      </c>
      <c r="C60" s="14" t="s">
        <v>733</v>
      </c>
      <c r="D60" s="149"/>
      <c r="E60" s="149"/>
      <c r="F60" s="149"/>
      <c r="G60" s="149"/>
      <c r="H60" s="149"/>
      <c r="I60" s="149"/>
      <c r="J60" s="149"/>
      <c r="K60" s="149"/>
      <c r="L60" s="149"/>
      <c r="M60" s="149"/>
      <c r="N60" s="149"/>
      <c r="O60" s="256"/>
      <c r="P60" s="256"/>
      <c r="Q60" s="256"/>
      <c r="R60" s="256"/>
      <c r="S60" s="256"/>
      <c r="T60" s="256"/>
      <c r="U60" s="256"/>
      <c r="V60" s="256"/>
      <c r="W60" s="256"/>
      <c r="X60">
        <f t="shared" ref="X60:AI60" si="94">+IFERROR(X37/W37-1,"")</f>
        <v>-0.45375722543352603</v>
      </c>
      <c r="Y60">
        <f t="shared" si="94"/>
        <v>-0.5185185185185186</v>
      </c>
      <c r="Z60">
        <f t="shared" si="94"/>
        <v>-0.79853479853479858</v>
      </c>
      <c r="AA60">
        <f t="shared" si="94"/>
        <v>1.4545454545454546</v>
      </c>
      <c r="AB60">
        <f t="shared" si="94"/>
        <v>0.88148148148148153</v>
      </c>
      <c r="AC60">
        <f t="shared" si="94"/>
        <v>0.42913385826771644</v>
      </c>
      <c r="AD60">
        <f t="shared" si="94"/>
        <v>2.4740567910365163E-2</v>
      </c>
      <c r="AE60">
        <f t="shared" si="94"/>
        <v>1.425718268451992E-2</v>
      </c>
      <c r="AF60">
        <f t="shared" si="94"/>
        <v>2.2285046662548602E-2</v>
      </c>
      <c r="AG60">
        <f t="shared" si="94"/>
        <v>3.0379612500971875E-2</v>
      </c>
      <c r="AH60">
        <f t="shared" si="94"/>
        <v>3.8702458636451276E-2</v>
      </c>
      <c r="AI60">
        <f t="shared" si="94"/>
        <v>4.7401044592123132E-2</v>
      </c>
      <c r="AJ60">
        <f t="shared" si="88"/>
        <v>5.6597839822697171E-2</v>
      </c>
      <c r="AK60">
        <f t="shared" si="89"/>
        <v>6.6379654025216395E-2</v>
      </c>
      <c r="AL60">
        <f t="shared" si="89"/>
        <v>4.8718479865020425E-2</v>
      </c>
      <c r="AP60" s="2"/>
      <c r="AQ60" s="2"/>
      <c r="AR60" s="2"/>
      <c r="AS60" s="2"/>
      <c r="AT60" s="2"/>
      <c r="AU60" s="2"/>
      <c r="AV60" s="933">
        <f t="shared" si="90"/>
        <v>-0.30000000000000004</v>
      </c>
      <c r="AW60" s="2"/>
      <c r="AX60" s="2"/>
      <c r="AY60" s="933">
        <f t="shared" si="91"/>
        <v>-0.75064935064935068</v>
      </c>
      <c r="AZ60" s="2"/>
      <c r="BA60" s="2"/>
      <c r="BB60" s="933">
        <f t="shared" si="92"/>
        <v>-0.76041666666666663</v>
      </c>
      <c r="BC60" s="2"/>
      <c r="BD60" s="2"/>
      <c r="BE60" s="933">
        <f t="shared" si="93"/>
        <v>1.1739130434782608</v>
      </c>
      <c r="BF60" s="2"/>
      <c r="BG60" s="2"/>
      <c r="BH60" s="2"/>
      <c r="BI60" s="2"/>
      <c r="BJ60" s="2"/>
      <c r="BK60" s="2"/>
      <c r="BL60" s="2"/>
      <c r="BM60" s="2"/>
      <c r="BN60" s="2"/>
    </row>
    <row r="61" spans="1:66" hidden="1" outlineLevel="1">
      <c r="A61" s="2"/>
      <c r="B61" s="872" t="s">
        <v>1322</v>
      </c>
      <c r="C61" s="14" t="s">
        <v>733</v>
      </c>
      <c r="D61" s="149"/>
      <c r="E61" s="149"/>
      <c r="F61" s="149"/>
      <c r="G61" s="149"/>
      <c r="H61" s="149"/>
      <c r="I61" s="149"/>
      <c r="J61" s="149"/>
      <c r="K61" s="149"/>
      <c r="L61" s="149"/>
      <c r="M61" s="149"/>
      <c r="N61" s="149"/>
      <c r="O61" s="256"/>
      <c r="P61" s="256"/>
      <c r="Q61" s="256"/>
      <c r="R61" s="256"/>
      <c r="S61" s="256"/>
      <c r="T61" s="256"/>
      <c r="U61" s="256"/>
      <c r="V61" s="256"/>
      <c r="W61" s="256"/>
      <c r="X61">
        <f t="shared" ref="X61:AI61" si="95">+IFERROR(X38/W38-1,"")</f>
        <v>-7.2176949941792801E-2</v>
      </c>
      <c r="Y61">
        <f t="shared" si="95"/>
        <v>-0.16813048933500629</v>
      </c>
      <c r="Z61">
        <f t="shared" si="95"/>
        <v>-0.47209653092006032</v>
      </c>
      <c r="AA61">
        <f t="shared" si="95"/>
        <v>-0.71142857142857141</v>
      </c>
      <c r="AB61">
        <f t="shared" si="95"/>
        <v>-5.9405940594059459E-2</v>
      </c>
      <c r="AC61">
        <f t="shared" si="95"/>
        <v>-9.4736842105263119E-2</v>
      </c>
      <c r="AD61">
        <f t="shared" si="95"/>
        <v>-0.53047594897009986</v>
      </c>
      <c r="AE61">
        <f t="shared" si="95"/>
        <v>-9.6103896103896136E-2</v>
      </c>
      <c r="AF61">
        <f t="shared" si="95"/>
        <v>-9.6103896103896025E-2</v>
      </c>
      <c r="AG61">
        <f t="shared" si="95"/>
        <v>-9.6103896103896247E-2</v>
      </c>
      <c r="AH61">
        <f t="shared" si="95"/>
        <v>-9.6103896103895914E-2</v>
      </c>
      <c r="AI61">
        <f t="shared" si="95"/>
        <v>-9.6103896103896025E-2</v>
      </c>
      <c r="AJ61">
        <f t="shared" si="88"/>
        <v>-9.6103896103896469E-2</v>
      </c>
      <c r="AK61">
        <f t="shared" si="89"/>
        <v>-9.6103896103896025E-2</v>
      </c>
      <c r="AL61">
        <f t="shared" si="89"/>
        <v>-9.6103896103896025E-2</v>
      </c>
      <c r="AP61" s="2"/>
      <c r="AQ61" s="2"/>
      <c r="AR61" s="2"/>
      <c r="AS61" s="2"/>
      <c r="AT61" s="2"/>
      <c r="AU61" s="2"/>
      <c r="AV61" s="933">
        <f t="shared" si="90"/>
        <v>-0.13140311804008908</v>
      </c>
      <c r="AW61" s="2"/>
      <c r="AX61" s="2"/>
      <c r="AY61" s="933">
        <f t="shared" si="91"/>
        <v>-0.36410256410256414</v>
      </c>
      <c r="AZ61" s="2"/>
      <c r="BA61" s="2"/>
      <c r="BB61" s="933">
        <f t="shared" si="92"/>
        <v>-0.21370967741935487</v>
      </c>
      <c r="BC61" s="2"/>
      <c r="BD61" s="2"/>
      <c r="BE61" s="933">
        <f t="shared" si="93"/>
        <v>-0.47179487179487178</v>
      </c>
      <c r="BF61" s="2"/>
      <c r="BG61" s="2"/>
      <c r="BH61" s="2"/>
      <c r="BI61" s="2"/>
      <c r="BJ61" s="2"/>
      <c r="BK61" s="2"/>
      <c r="BL61" s="2"/>
      <c r="BM61" s="2"/>
      <c r="BN61" s="2"/>
    </row>
    <row r="62" spans="1:66" hidden="1" outlineLevel="1">
      <c r="A62" s="2"/>
      <c r="B62" s="872" t="s">
        <v>1323</v>
      </c>
      <c r="C62" s="14" t="s">
        <v>733</v>
      </c>
      <c r="D62" s="149"/>
      <c r="E62" s="149"/>
      <c r="F62" s="149"/>
      <c r="G62" s="149"/>
      <c r="H62" s="149"/>
      <c r="I62" s="149"/>
      <c r="J62" s="149"/>
      <c r="K62" s="149"/>
      <c r="L62" s="149"/>
      <c r="M62" s="149"/>
      <c r="N62" s="149"/>
      <c r="O62" s="256"/>
      <c r="P62" s="256"/>
      <c r="Q62" s="256"/>
      <c r="R62" s="256"/>
      <c r="S62" s="256"/>
      <c r="T62" s="256"/>
      <c r="U62" s="256"/>
      <c r="V62" s="256"/>
      <c r="W62" s="256"/>
      <c r="X62">
        <f t="shared" ref="X62:AI62" si="96">+IFERROR(X39/W39-1,"")</f>
        <v>-3.5616438356164348E-2</v>
      </c>
      <c r="Y62">
        <f t="shared" si="96"/>
        <v>-0.36363636363636365</v>
      </c>
      <c r="Z62">
        <f t="shared" si="96"/>
        <v>0.3839285714285714</v>
      </c>
      <c r="AA62">
        <f t="shared" si="96"/>
        <v>0</v>
      </c>
      <c r="AB62">
        <f t="shared" si="96"/>
        <v>-0.86774193548387091</v>
      </c>
      <c r="AC62">
        <f t="shared" si="96"/>
        <v>2.7317073170731709</v>
      </c>
      <c r="AD62">
        <f t="shared" si="96"/>
        <v>-0.17220371564302273</v>
      </c>
      <c r="AE62">
        <f t="shared" si="96"/>
        <v>2.0071176170602723E-2</v>
      </c>
      <c r="AF62">
        <f t="shared" si="96"/>
        <v>2.7422463839259725E-2</v>
      </c>
      <c r="AG62">
        <f t="shared" si="96"/>
        <v>3.324931101260864E-2</v>
      </c>
      <c r="AH62">
        <f t="shared" si="96"/>
        <v>3.7871426911133321E-2</v>
      </c>
      <c r="AI62">
        <f t="shared" si="96"/>
        <v>4.155689145518382E-2</v>
      </c>
      <c r="AJ62">
        <f t="shared" si="88"/>
        <v>4.4521428213052383E-2</v>
      </c>
      <c r="AK62">
        <f t="shared" si="89"/>
        <v>4.6933847273952445E-2</v>
      </c>
      <c r="AL62">
        <f t="shared" si="89"/>
        <v>4.8923774099096207E-2</v>
      </c>
      <c r="AP62" s="2"/>
      <c r="AQ62" s="2"/>
      <c r="AR62" s="2"/>
      <c r="AS62" s="2"/>
      <c r="AT62" s="2"/>
      <c r="AU62" s="2"/>
      <c r="AV62" s="933">
        <f t="shared" si="90"/>
        <v>0.4814814814814814</v>
      </c>
      <c r="AW62" s="2"/>
      <c r="AX62" s="2"/>
      <c r="AY62" s="933">
        <f t="shared" si="91"/>
        <v>-0.60624999999999996</v>
      </c>
      <c r="AZ62" s="2"/>
      <c r="BA62" s="2"/>
      <c r="BB62" s="933">
        <f t="shared" si="92"/>
        <v>0.66666666666666674</v>
      </c>
      <c r="BC62" s="2"/>
      <c r="BD62" s="2"/>
      <c r="BE62" s="933">
        <f t="shared" si="93"/>
        <v>4.7619047619047672E-2</v>
      </c>
      <c r="BF62" s="2"/>
      <c r="BG62" s="2"/>
      <c r="BH62" s="2"/>
      <c r="BI62" s="2"/>
      <c r="BJ62" s="2"/>
      <c r="BK62" s="2"/>
      <c r="BL62" s="2"/>
      <c r="BM62" s="2"/>
      <c r="BN62" s="2"/>
    </row>
    <row r="63" spans="1:66" hidden="1" outlineLevel="1">
      <c r="A63" s="2"/>
      <c r="B63" s="8" t="s">
        <v>1324</v>
      </c>
      <c r="C63" s="14" t="s">
        <v>733</v>
      </c>
      <c r="D63" s="149"/>
      <c r="E63" s="149"/>
      <c r="F63" s="149"/>
      <c r="G63" s="149"/>
      <c r="H63" s="149"/>
      <c r="I63" s="149"/>
      <c r="J63" s="149"/>
      <c r="K63" s="149"/>
      <c r="L63" s="149"/>
      <c r="M63" s="149"/>
      <c r="N63" s="149"/>
      <c r="O63" s="256"/>
      <c r="P63" s="256"/>
      <c r="Q63" s="256"/>
      <c r="R63" s="256"/>
      <c r="S63" s="256"/>
      <c r="T63" s="256"/>
      <c r="U63" s="256"/>
      <c r="V63" s="256"/>
      <c r="W63" s="256"/>
      <c r="X63">
        <f t="shared" ref="X63:AI63" si="97">+IFERROR(X40/W40-1,"")</f>
        <v>-6.1274509803921573E-2</v>
      </c>
      <c r="Y63">
        <f t="shared" si="97"/>
        <v>-0.22802436901653611</v>
      </c>
      <c r="Z63">
        <f t="shared" si="97"/>
        <v>-0.25591882750845552</v>
      </c>
      <c r="AA63">
        <f t="shared" si="97"/>
        <v>-0.37727272727272732</v>
      </c>
      <c r="AB63">
        <f t="shared" si="97"/>
        <v>-0.66909975669099753</v>
      </c>
      <c r="AC63">
        <f t="shared" si="97"/>
        <v>0.75735294117647056</v>
      </c>
      <c r="AD63">
        <f t="shared" si="97"/>
        <v>-0.3011217577607157</v>
      </c>
      <c r="AE63">
        <f t="shared" si="97"/>
        <v>-8.0135261608849095E-3</v>
      </c>
      <c r="AF63">
        <f t="shared" si="97"/>
        <v>2.1241747748090845E-4</v>
      </c>
      <c r="AG63">
        <f t="shared" si="97"/>
        <v>7.4995554202677006E-3</v>
      </c>
      <c r="AH63">
        <f t="shared" si="97"/>
        <v>1.3944089466811249E-2</v>
      </c>
      <c r="AI63">
        <f t="shared" si="97"/>
        <v>1.9639729443430065E-2</v>
      </c>
      <c r="AJ63">
        <f t="shared" si="88"/>
        <v>2.4673765521725066E-2</v>
      </c>
      <c r="AK63">
        <f t="shared" si="89"/>
        <v>2.9125263622399533E-2</v>
      </c>
      <c r="AL63">
        <f t="shared" si="89"/>
        <v>3.3064625231342237E-2</v>
      </c>
      <c r="AP63" s="2"/>
      <c r="AQ63" s="2"/>
      <c r="AR63" s="2"/>
      <c r="AS63" s="2"/>
      <c r="AT63" s="2"/>
      <c r="AU63" s="2"/>
      <c r="AV63" s="933">
        <f t="shared" si="90"/>
        <v>-1.2567324955116699E-2</v>
      </c>
      <c r="AW63" s="2"/>
      <c r="AX63" s="2"/>
      <c r="AY63" s="933">
        <f t="shared" si="91"/>
        <v>-0.43454545454545457</v>
      </c>
      <c r="AZ63" s="2"/>
      <c r="BA63" s="2"/>
      <c r="BB63" s="933">
        <f t="shared" si="92"/>
        <v>-3.5369774919614128E-2</v>
      </c>
      <c r="BC63" s="2"/>
      <c r="BD63" s="2"/>
      <c r="BE63" s="933">
        <f t="shared" si="93"/>
        <v>-0.29000000000000004</v>
      </c>
      <c r="BF63" s="2"/>
      <c r="BG63" s="2"/>
      <c r="BH63" s="2"/>
      <c r="BI63" s="2"/>
      <c r="BJ63" s="2"/>
      <c r="BK63" s="2"/>
      <c r="BL63" s="2"/>
      <c r="BM63" s="2"/>
      <c r="BN63" s="2"/>
    </row>
    <row r="64" spans="1:66" hidden="1" outlineLevel="1">
      <c r="A64" s="2"/>
      <c r="B64" s="510" t="s">
        <v>1321</v>
      </c>
      <c r="C64" s="14" t="s">
        <v>733</v>
      </c>
      <c r="D64" s="149"/>
      <c r="E64" s="149"/>
      <c r="F64" s="149"/>
      <c r="G64" s="149"/>
      <c r="H64" s="149"/>
      <c r="I64" s="149"/>
      <c r="J64" s="149"/>
      <c r="K64" s="149"/>
      <c r="L64" s="149"/>
      <c r="M64" s="149"/>
      <c r="N64" s="149"/>
      <c r="O64" s="256"/>
      <c r="P64" s="256"/>
      <c r="Q64" s="256"/>
      <c r="R64" s="256"/>
      <c r="S64" s="256"/>
      <c r="T64" s="256"/>
      <c r="U64" s="256"/>
      <c r="V64" s="256"/>
      <c r="W64" s="256"/>
      <c r="X64">
        <f t="shared" ref="X64:AI64" si="98">+IFERROR(X41/W41-1,"")</f>
        <v>-0.24431339511373207</v>
      </c>
      <c r="Y64">
        <f t="shared" si="98"/>
        <v>-0.30769230769230771</v>
      </c>
      <c r="Z64">
        <f t="shared" si="98"/>
        <v>-0.7439613526570048</v>
      </c>
      <c r="AA64">
        <f t="shared" si="98"/>
        <v>-0.26415094339622647</v>
      </c>
      <c r="AB64">
        <f t="shared" si="98"/>
        <v>-0.19658119658119655</v>
      </c>
      <c r="AC64">
        <f t="shared" si="98"/>
        <v>-0.12765957446808507</v>
      </c>
      <c r="AD64">
        <f t="shared" si="98"/>
        <v>-0.1671516790344062</v>
      </c>
      <c r="AE64">
        <f t="shared" si="98"/>
        <v>-6.8476637704036891E-3</v>
      </c>
      <c r="AF64">
        <f t="shared" si="98"/>
        <v>9.3314834601621044E-3</v>
      </c>
      <c r="AG64">
        <f t="shared" si="98"/>
        <v>2.6552756656801124E-2</v>
      </c>
      <c r="AH64">
        <f t="shared" si="98"/>
        <v>4.4286870034315085E-2</v>
      </c>
      <c r="AI64">
        <f t="shared" si="98"/>
        <v>6.1937804702373311E-2</v>
      </c>
      <c r="AJ64">
        <f t="shared" si="88"/>
        <v>7.8920558985950517E-2</v>
      </c>
      <c r="AK64">
        <f t="shared" si="89"/>
        <v>9.4735912116611143E-2</v>
      </c>
      <c r="AL64">
        <f t="shared" si="89"/>
        <v>0.10902285727379701</v>
      </c>
      <c r="AP64" s="2"/>
      <c r="AQ64" s="2"/>
      <c r="AR64" s="2"/>
      <c r="AS64" s="2"/>
      <c r="AT64" s="2"/>
      <c r="AU64" s="2"/>
      <c r="AV64" s="933">
        <f t="shared" si="90"/>
        <v>-0.27926421404682278</v>
      </c>
      <c r="AW64" s="2"/>
      <c r="AX64" s="2"/>
      <c r="AY64" s="933">
        <f t="shared" si="91"/>
        <v>-0.691415313225058</v>
      </c>
      <c r="AZ64" s="2"/>
      <c r="BA64" s="2"/>
      <c r="BB64" s="933">
        <f t="shared" si="92"/>
        <v>-0.32330827067669177</v>
      </c>
      <c r="BC64" s="2"/>
      <c r="BD64" s="2"/>
      <c r="BE64" s="933">
        <f t="shared" si="93"/>
        <v>-0.21111111111111114</v>
      </c>
      <c r="BF64" s="2"/>
      <c r="BG64" s="2"/>
      <c r="BH64" s="2"/>
      <c r="BI64" s="2"/>
      <c r="BJ64" s="2"/>
      <c r="BK64" s="2"/>
      <c r="BL64" s="2"/>
      <c r="BM64" s="2"/>
      <c r="BN64" s="2"/>
    </row>
    <row r="65" spans="1:66" hidden="1" outlineLevel="1">
      <c r="A65" s="2"/>
      <c r="B65" s="510" t="s">
        <v>42</v>
      </c>
      <c r="C65" s="14" t="s">
        <v>733</v>
      </c>
      <c r="D65" s="149"/>
      <c r="E65" s="149"/>
      <c r="F65" s="149"/>
      <c r="G65" s="149"/>
      <c r="H65" s="149"/>
      <c r="I65" s="149"/>
      <c r="J65" s="149"/>
      <c r="K65" s="149"/>
      <c r="L65" s="149"/>
      <c r="M65" s="149"/>
      <c r="N65" s="149"/>
      <c r="O65" s="256"/>
      <c r="P65" s="256"/>
      <c r="Q65" s="256"/>
      <c r="R65" s="256"/>
      <c r="S65" s="256"/>
      <c r="T65" s="256"/>
      <c r="U65" s="256"/>
      <c r="V65" s="256"/>
      <c r="W65" s="256"/>
      <c r="X65">
        <f t="shared" ref="X65:AI65" si="99">+IFERROR(X42/W42-1,"")</f>
        <v>0.39114391143911442</v>
      </c>
      <c r="Y65">
        <f t="shared" si="99"/>
        <v>-0.10875331564986734</v>
      </c>
      <c r="Z65">
        <f t="shared" si="99"/>
        <v>0.15178571428571419</v>
      </c>
      <c r="AA65">
        <f t="shared" si="99"/>
        <v>0.84237726098191223</v>
      </c>
      <c r="AB65">
        <f t="shared" si="99"/>
        <v>8.5553997194950826E-2</v>
      </c>
      <c r="AC65">
        <f t="shared" si="99"/>
        <v>-0.12403100775193798</v>
      </c>
      <c r="AD65">
        <f t="shared" si="99"/>
        <v>2.0604690860566599E-2</v>
      </c>
      <c r="AE65">
        <f t="shared" si="99"/>
        <v>2.0827406718899377E-2</v>
      </c>
      <c r="AF65">
        <f t="shared" si="99"/>
        <v>1.7938493699717784E-2</v>
      </c>
      <c r="AG65">
        <f t="shared" si="99"/>
        <v>1.8066518481639093E-2</v>
      </c>
      <c r="AH65">
        <f t="shared" si="99"/>
        <v>1.8193600854701675E-2</v>
      </c>
      <c r="AI65">
        <f t="shared" si="99"/>
        <v>1.8319725213792104E-2</v>
      </c>
      <c r="AJ65">
        <f t="shared" si="88"/>
        <v>1.8444876746385619E-2</v>
      </c>
      <c r="AK65">
        <f t="shared" si="89"/>
        <v>1.8569041431046207E-2</v>
      </c>
      <c r="AL65">
        <f t="shared" si="89"/>
        <v>1.8569041431046207E-2</v>
      </c>
      <c r="AP65" s="2"/>
      <c r="AQ65" s="2"/>
      <c r="AR65" s="2"/>
      <c r="AS65" s="2"/>
      <c r="AT65" s="2"/>
      <c r="AU65" s="2"/>
      <c r="AV65" s="933">
        <f t="shared" si="90"/>
        <v>0.43650793650793651</v>
      </c>
      <c r="AW65" s="2"/>
      <c r="AX65" s="2"/>
      <c r="AY65" s="933">
        <f t="shared" si="91"/>
        <v>-9.392265193370164E-2</v>
      </c>
      <c r="AZ65" s="2"/>
      <c r="BA65" s="2"/>
      <c r="BB65" s="933">
        <f t="shared" si="92"/>
        <v>0.18292682926829262</v>
      </c>
      <c r="BC65" s="2"/>
      <c r="BD65" s="2"/>
      <c r="BE65" s="933">
        <f t="shared" si="93"/>
        <v>0.9329896907216495</v>
      </c>
      <c r="BF65" s="2"/>
      <c r="BG65" s="2"/>
      <c r="BH65" s="2"/>
      <c r="BI65" s="2"/>
      <c r="BJ65" s="2"/>
      <c r="BK65" s="2"/>
      <c r="BL65" s="2"/>
      <c r="BM65" s="2"/>
      <c r="BN65" s="2"/>
    </row>
    <row r="66" spans="1:66" hidden="1" outlineLevel="1">
      <c r="A66" s="2"/>
      <c r="B66" s="510" t="s">
        <v>1071</v>
      </c>
      <c r="C66" s="14" t="s">
        <v>733</v>
      </c>
      <c r="D66" s="149"/>
      <c r="E66" s="149"/>
      <c r="F66" s="149"/>
      <c r="G66" s="149"/>
      <c r="H66" s="149"/>
      <c r="I66" s="149"/>
      <c r="J66" s="149"/>
      <c r="K66" s="149"/>
      <c r="L66" s="149"/>
      <c r="M66" s="149"/>
      <c r="N66" s="149"/>
      <c r="O66" s="256"/>
      <c r="P66" s="256"/>
      <c r="Q66" s="256"/>
      <c r="R66" s="256"/>
      <c r="S66" s="256"/>
      <c r="T66" s="256"/>
      <c r="U66" s="256"/>
      <c r="V66" s="256"/>
      <c r="W66" s="256"/>
      <c r="X66">
        <f t="shared" ref="X66:AI66" si="100">+IFERROR(X43/W43-1,"")</f>
        <v>0.12175102599179199</v>
      </c>
      <c r="Y66">
        <f t="shared" si="100"/>
        <v>4.8780487804878092E-2</v>
      </c>
      <c r="Z66">
        <f t="shared" si="100"/>
        <v>0.92441860465116288</v>
      </c>
      <c r="AA66">
        <f t="shared" si="100"/>
        <v>4.8338368580060909E-3</v>
      </c>
      <c r="AB66">
        <f t="shared" si="100"/>
        <v>5.7726999398677092E-2</v>
      </c>
      <c r="AC66">
        <f t="shared" si="100"/>
        <v>3.0699260943717999E-2</v>
      </c>
      <c r="AD66">
        <f t="shared" si="100"/>
        <v>8.9485566521412707E-2</v>
      </c>
      <c r="AE66">
        <f t="shared" si="100"/>
        <v>1.1533186155478603E-2</v>
      </c>
      <c r="AF66">
        <f t="shared" si="100"/>
        <v>1.17437390119568E-2</v>
      </c>
      <c r="AG66">
        <f t="shared" si="100"/>
        <v>1.1955647182089857E-2</v>
      </c>
      <c r="AH66">
        <f t="shared" si="100"/>
        <v>1.2168830355206772E-2</v>
      </c>
      <c r="AI66">
        <f t="shared" si="100"/>
        <v>1.2383206131199254E-2</v>
      </c>
      <c r="AJ66">
        <f t="shared" si="88"/>
        <v>1.2598690138171165E-2</v>
      </c>
      <c r="AK66">
        <f t="shared" si="89"/>
        <v>1.2815196156875874E-2</v>
      </c>
      <c r="AL66">
        <f t="shared" si="89"/>
        <v>1.3032636251576912E-2</v>
      </c>
      <c r="AP66" s="2"/>
      <c r="AQ66" s="2"/>
      <c r="AR66" s="2"/>
      <c r="AS66" s="2"/>
      <c r="AT66" s="2"/>
      <c r="AU66" s="2"/>
      <c r="AV66" s="933">
        <f t="shared" si="90"/>
        <v>0.17391304347826098</v>
      </c>
      <c r="AW66" s="2"/>
      <c r="AX66" s="2"/>
      <c r="AY66" s="933">
        <f t="shared" si="91"/>
        <v>1.1432098765432097</v>
      </c>
      <c r="AZ66" s="2"/>
      <c r="BA66" s="2"/>
      <c r="BB66" s="933">
        <f t="shared" si="92"/>
        <v>-0.11520737327188935</v>
      </c>
      <c r="BC66" s="2"/>
      <c r="BD66" s="2"/>
      <c r="BE66" s="933">
        <f t="shared" si="93"/>
        <v>5.078125E-2</v>
      </c>
      <c r="BF66" s="2"/>
      <c r="BG66" s="2"/>
      <c r="BH66" s="2"/>
      <c r="BI66" s="2"/>
      <c r="BJ66" s="2"/>
      <c r="BK66" s="2"/>
      <c r="BL66" s="2"/>
      <c r="BM66" s="2"/>
      <c r="BN66" s="2"/>
    </row>
    <row r="67" spans="1:66" hidden="1" outlineLevel="1">
      <c r="A67" s="2"/>
      <c r="B67" s="510" t="s">
        <v>1269</v>
      </c>
      <c r="C67" s="14" t="s">
        <v>733</v>
      </c>
      <c r="D67" s="149"/>
      <c r="E67" s="149"/>
      <c r="F67" s="149"/>
      <c r="G67" s="149"/>
      <c r="H67" s="149"/>
      <c r="I67" s="149"/>
      <c r="J67" s="149"/>
      <c r="K67" s="149"/>
      <c r="L67" s="149"/>
      <c r="M67" s="149"/>
      <c r="N67" s="149"/>
      <c r="O67" s="256"/>
      <c r="P67" s="256"/>
      <c r="Q67" s="256"/>
      <c r="R67" s="256"/>
      <c r="S67" s="256"/>
      <c r="T67" s="256"/>
      <c r="U67" s="256"/>
      <c r="V67" s="256"/>
      <c r="W67" s="256"/>
      <c r="X67">
        <f t="shared" ref="X67:AI67" si="101">+IFERROR(X45/W45-1,"")</f>
        <v>-25.4</v>
      </c>
      <c r="Y67">
        <f t="shared" si="101"/>
        <v>-0.46721311475409832</v>
      </c>
      <c r="Z67">
        <f t="shared" si="101"/>
        <v>-7.6923076923076872E-2</v>
      </c>
      <c r="AA67">
        <f t="shared" si="101"/>
        <v>-1.1499999999999999</v>
      </c>
      <c r="AB67">
        <f t="shared" si="101"/>
        <v>17.777777777777779</v>
      </c>
      <c r="AC67">
        <f t="shared" si="101"/>
        <v>0.16568047337278102</v>
      </c>
      <c r="AD67">
        <f t="shared" si="101"/>
        <v>2.000000000000024E-2</v>
      </c>
      <c r="AE67">
        <f t="shared" si="101"/>
        <v>2.000000000000024E-2</v>
      </c>
      <c r="AF67">
        <f t="shared" si="101"/>
        <v>1.9999999999999796E-2</v>
      </c>
      <c r="AG67">
        <f t="shared" si="101"/>
        <v>2.0000000000000018E-2</v>
      </c>
      <c r="AH67">
        <f t="shared" si="101"/>
        <v>2.0000000000000018E-2</v>
      </c>
      <c r="AI67">
        <f t="shared" si="101"/>
        <v>2.0000000000000018E-2</v>
      </c>
      <c r="AJ67">
        <f t="shared" ref="AJ67:AJ73" si="102">+IFERROR(AJ45/AI45-1,"")</f>
        <v>2.000000000000024E-2</v>
      </c>
      <c r="AK67">
        <f t="shared" ref="AK67:AL73" si="103">+IFERROR(AK45/AJ45-1,"")</f>
        <v>2.0000000000000018E-2</v>
      </c>
      <c r="AL67">
        <f t="shared" si="103"/>
        <v>2.0000000000000018E-2</v>
      </c>
      <c r="AP67" s="2"/>
      <c r="AQ67" s="2"/>
      <c r="AR67" s="2"/>
      <c r="AS67" s="2"/>
      <c r="AT67" s="2"/>
      <c r="AU67" s="2"/>
      <c r="AV67" s="933">
        <f t="shared" ref="AV67:AV69" si="104">+IFERROR(AV45/AS45-1,"")</f>
        <v>0.35897435897435903</v>
      </c>
      <c r="AW67" s="2"/>
      <c r="AX67" s="2"/>
      <c r="AY67" s="933">
        <f t="shared" ref="AY67:AY69" si="105">+IFERROR(AY45/AV45-1,"")</f>
        <v>-0.339622641509434</v>
      </c>
      <c r="AZ67" s="2"/>
      <c r="BA67" s="2"/>
      <c r="BB67" s="933">
        <f t="shared" ref="BB67:BB69" si="106">+IFERROR(BB45/AY45-1,"")</f>
        <v>-0.68571428571428572</v>
      </c>
      <c r="BC67" s="2"/>
      <c r="BD67" s="2"/>
      <c r="BE67" s="933">
        <f t="shared" ref="BE67:BE69" si="107">+IFERROR(BE45/BB45-1,"")</f>
        <v>-0.81818181818181812</v>
      </c>
      <c r="BF67" s="2"/>
      <c r="BG67" s="2"/>
      <c r="BH67" s="2"/>
      <c r="BI67" s="2"/>
      <c r="BJ67" s="2"/>
      <c r="BK67" s="2"/>
      <c r="BL67" s="2"/>
      <c r="BM67" s="2"/>
      <c r="BN67" s="2"/>
    </row>
    <row r="68" spans="1:66" hidden="1" outlineLevel="1">
      <c r="A68" s="2"/>
      <c r="B68" s="648" t="s">
        <v>1319</v>
      </c>
      <c r="C68" s="655" t="s">
        <v>733</v>
      </c>
      <c r="D68" s="651"/>
      <c r="E68" s="651"/>
      <c r="F68" s="651"/>
      <c r="G68" s="651"/>
      <c r="H68" s="651"/>
      <c r="I68" s="651"/>
      <c r="J68" s="651"/>
      <c r="K68" s="651"/>
      <c r="L68" s="651"/>
      <c r="M68" s="651"/>
      <c r="N68" s="651"/>
      <c r="O68" s="652"/>
      <c r="P68" s="652"/>
      <c r="Q68" s="652"/>
      <c r="R68" s="652"/>
      <c r="S68" s="652"/>
      <c r="T68" s="652"/>
      <c r="U68" s="652"/>
      <c r="V68" s="652"/>
      <c r="W68" s="652"/>
      <c r="X68">
        <f t="shared" ref="X68:AI68" si="108">+IFERROR(X46/W46-1,"")</f>
        <v>-9.6793855906375681E-2</v>
      </c>
      <c r="Y68">
        <f t="shared" si="108"/>
        <v>-9.717910649210415E-2</v>
      </c>
      <c r="Z68">
        <f t="shared" si="108"/>
        <v>8.401853789804159E-2</v>
      </c>
      <c r="AA68">
        <f t="shared" si="108"/>
        <v>9.6400496483243669E-2</v>
      </c>
      <c r="AB68">
        <f t="shared" si="108"/>
        <v>3.6855345911949611E-2</v>
      </c>
      <c r="AC68">
        <f t="shared" si="108"/>
        <v>4.5857090864976247E-2</v>
      </c>
      <c r="AD68">
        <f t="shared" si="108"/>
        <v>3.9595461144421806E-2</v>
      </c>
      <c r="AE68">
        <f t="shared" si="108"/>
        <v>3.2051392192327111E-2</v>
      </c>
      <c r="AF68">
        <f t="shared" si="108"/>
        <v>3.3419929189048903E-2</v>
      </c>
      <c r="AG68">
        <f t="shared" si="108"/>
        <v>3.5016823501372585E-2</v>
      </c>
      <c r="AH68">
        <f t="shared" si="108"/>
        <v>3.6617346575111176E-2</v>
      </c>
      <c r="AI68">
        <f t="shared" si="108"/>
        <v>3.8241359647292583E-2</v>
      </c>
      <c r="AJ68">
        <f t="shared" si="102"/>
        <v>3.9907244283072352E-2</v>
      </c>
      <c r="AK68">
        <f t="shared" si="103"/>
        <v>4.1632473940735215E-2</v>
      </c>
      <c r="AL68">
        <f t="shared" si="103"/>
        <v>4.2240107286394712E-2</v>
      </c>
      <c r="AP68" s="2"/>
      <c r="AQ68" s="2"/>
      <c r="AR68" s="2"/>
      <c r="AS68" s="2"/>
      <c r="AT68" s="2"/>
      <c r="AU68" s="2"/>
      <c r="AV68" s="933">
        <f t="shared" si="104"/>
        <v>-6.6040009640877306E-2</v>
      </c>
      <c r="AW68" s="2"/>
      <c r="AX68" s="2"/>
      <c r="AY68" s="933">
        <f t="shared" si="105"/>
        <v>-0.14219354838709675</v>
      </c>
      <c r="AZ68" s="2"/>
      <c r="BA68" s="2"/>
      <c r="BB68" s="933">
        <f t="shared" si="106"/>
        <v>5.1444043321299704E-2</v>
      </c>
      <c r="BC68" s="2"/>
      <c r="BD68" s="2"/>
      <c r="BE68" s="933">
        <f t="shared" si="107"/>
        <v>0.11444921316165946</v>
      </c>
      <c r="BF68" s="2"/>
      <c r="BG68" s="2"/>
      <c r="BH68" s="2"/>
      <c r="BI68" s="2"/>
      <c r="BJ68" s="2"/>
      <c r="BK68" s="2"/>
      <c r="BL68" s="2"/>
      <c r="BM68" s="2"/>
      <c r="BN68" s="2"/>
    </row>
    <row r="69" spans="1:66" hidden="1" outlineLevel="1">
      <c r="A69" s="2"/>
      <c r="B69" s="510" t="s">
        <v>1326</v>
      </c>
      <c r="C69" s="14" t="s">
        <v>733</v>
      </c>
      <c r="D69" s="149"/>
      <c r="E69" s="149"/>
      <c r="F69" s="149"/>
      <c r="G69" s="149"/>
      <c r="H69" s="149"/>
      <c r="I69" s="149"/>
      <c r="J69" s="149"/>
      <c r="K69" s="149"/>
      <c r="L69" s="149"/>
      <c r="M69" s="149"/>
      <c r="N69" s="149"/>
      <c r="O69" s="256"/>
      <c r="P69" s="256"/>
      <c r="Q69" s="256"/>
      <c r="R69" s="256"/>
      <c r="S69" s="256"/>
      <c r="T69" s="256"/>
      <c r="U69" s="256"/>
      <c r="V69" s="256"/>
      <c r="W69" s="256"/>
      <c r="X69">
        <f t="shared" ref="X69:AI69" si="109">+IFERROR(X47/W47-1,"")</f>
        <v>-4.7737135771853678E-2</v>
      </c>
      <c r="Y69">
        <f t="shared" si="109"/>
        <v>-0.47786458333333337</v>
      </c>
      <c r="Z69">
        <f t="shared" si="109"/>
        <v>-0.70947630922693272</v>
      </c>
      <c r="AA69">
        <f t="shared" si="109"/>
        <v>-0.84120171673819744</v>
      </c>
      <c r="AB69">
        <f t="shared" si="109"/>
        <v>-1</v>
      </c>
      <c r="AC69" t="str">
        <f t="shared" si="109"/>
        <v/>
      </c>
      <c r="AD69">
        <f t="shared" si="109"/>
        <v>-0.99999999999990052</v>
      </c>
      <c r="AE69">
        <f t="shared" si="109"/>
        <v>0</v>
      </c>
      <c r="AF69">
        <f t="shared" si="109"/>
        <v>0</v>
      </c>
      <c r="AG69">
        <f t="shared" si="109"/>
        <v>0</v>
      </c>
      <c r="AH69">
        <f t="shared" si="109"/>
        <v>0</v>
      </c>
      <c r="AI69">
        <f t="shared" si="109"/>
        <v>0</v>
      </c>
      <c r="AJ69">
        <f t="shared" si="102"/>
        <v>0</v>
      </c>
      <c r="AK69">
        <f t="shared" si="103"/>
        <v>0</v>
      </c>
      <c r="AL69">
        <f t="shared" si="103"/>
        <v>0</v>
      </c>
      <c r="AP69" s="2"/>
      <c r="AQ69" s="2"/>
      <c r="AR69" s="2"/>
      <c r="AS69" s="2"/>
      <c r="AT69" s="2"/>
      <c r="AU69" s="2"/>
      <c r="AV69" s="933">
        <f t="shared" si="104"/>
        <v>4.7872340425531901E-2</v>
      </c>
      <c r="AW69" s="2"/>
      <c r="AX69" s="2"/>
      <c r="AY69" s="933">
        <f t="shared" si="105"/>
        <v>-0.34010152284263961</v>
      </c>
      <c r="AZ69" s="2"/>
      <c r="BA69" s="2"/>
      <c r="BB69" s="933">
        <f t="shared" si="106"/>
        <v>-0.75961538461538458</v>
      </c>
      <c r="BC69" s="2"/>
      <c r="BD69" s="2"/>
      <c r="BE69" s="933">
        <f t="shared" si="107"/>
        <v>-0.79200000000000004</v>
      </c>
      <c r="BF69" s="2"/>
      <c r="BG69" s="2"/>
      <c r="BH69" s="2"/>
      <c r="BI69" s="2"/>
      <c r="BJ69" s="2"/>
      <c r="BK69" s="2"/>
      <c r="BL69" s="2"/>
      <c r="BM69" s="2"/>
      <c r="BN69" s="2"/>
    </row>
    <row r="70" spans="1:66" hidden="1" outlineLevel="1">
      <c r="A70" s="9"/>
      <c r="B70" s="9" t="s">
        <v>1357</v>
      </c>
      <c r="C70" s="48" t="s">
        <v>733</v>
      </c>
      <c r="D70" s="930"/>
      <c r="E70" s="930"/>
      <c r="F70" s="930"/>
      <c r="G70" s="930"/>
      <c r="H70" s="930"/>
      <c r="I70" s="930"/>
      <c r="J70" s="930"/>
      <c r="K70" s="930"/>
      <c r="L70" s="930"/>
      <c r="M70" s="930"/>
      <c r="N70" s="930"/>
      <c r="O70" s="931"/>
      <c r="P70" s="931"/>
      <c r="Q70" s="931"/>
      <c r="R70" s="931"/>
      <c r="S70" s="931"/>
      <c r="T70" s="931"/>
      <c r="U70" s="931"/>
      <c r="V70" s="931"/>
      <c r="W70" s="931"/>
      <c r="X70">
        <f t="shared" ref="X70:AI70" si="110">+IFERROR(X48/W48-1,"")</f>
        <v>-8.8732681336593289E-2</v>
      </c>
      <c r="Y70">
        <f t="shared" si="110"/>
        <v>-0.16254891000558969</v>
      </c>
      <c r="Z70">
        <f t="shared" si="110"/>
        <v>-9.3445467894803791E-4</v>
      </c>
      <c r="AA70">
        <f t="shared" si="110"/>
        <v>6.7210048102618991E-2</v>
      </c>
      <c r="AB70">
        <f t="shared" si="110"/>
        <v>3.205208463753606E-2</v>
      </c>
      <c r="AC70">
        <f t="shared" si="110"/>
        <v>4.5978405920174659E-2</v>
      </c>
      <c r="AD70">
        <f t="shared" si="110"/>
        <v>3.9474886398290554E-2</v>
      </c>
      <c r="AE70">
        <f t="shared" si="110"/>
        <v>3.2051392192327111E-2</v>
      </c>
      <c r="AF70">
        <f t="shared" si="110"/>
        <v>3.3419929189048903E-2</v>
      </c>
      <c r="AG70">
        <f t="shared" si="110"/>
        <v>3.5016823501372585E-2</v>
      </c>
      <c r="AH70">
        <f t="shared" si="110"/>
        <v>3.6617346575111176E-2</v>
      </c>
      <c r="AI70">
        <f t="shared" si="110"/>
        <v>3.8241359647292583E-2</v>
      </c>
      <c r="AJ70">
        <f t="shared" si="102"/>
        <v>3.9907244283072352E-2</v>
      </c>
      <c r="AK70">
        <f t="shared" si="103"/>
        <v>4.1632473940735215E-2</v>
      </c>
      <c r="AL70">
        <f t="shared" si="103"/>
        <v>4.2240107286394712E-2</v>
      </c>
      <c r="AP70" s="9"/>
      <c r="AQ70" s="9"/>
      <c r="AR70" s="9"/>
      <c r="AS70" s="9"/>
      <c r="AT70" s="9"/>
      <c r="AU70" s="9"/>
      <c r="AV70" s="933"/>
      <c r="AW70" s="9"/>
      <c r="AX70" s="9"/>
      <c r="AY70" s="933"/>
      <c r="AZ70" s="9"/>
      <c r="BA70" s="9"/>
      <c r="BB70" s="933"/>
      <c r="BC70" s="9"/>
      <c r="BD70" s="9"/>
      <c r="BE70" s="933"/>
      <c r="BF70" s="9"/>
      <c r="BG70" s="9"/>
      <c r="BH70" s="9"/>
      <c r="BI70" s="9"/>
      <c r="BJ70" s="9"/>
      <c r="BK70" s="9"/>
      <c r="BL70" s="9"/>
      <c r="BM70" s="9"/>
      <c r="BN70" s="9"/>
    </row>
    <row r="71" spans="1:66" hidden="1" outlineLevel="1">
      <c r="A71" s="2"/>
      <c r="B71" s="510" t="s">
        <v>1069</v>
      </c>
      <c r="C71" s="14" t="s">
        <v>733</v>
      </c>
      <c r="D71" s="149"/>
      <c r="E71" s="149"/>
      <c r="F71" s="149"/>
      <c r="G71" s="149"/>
      <c r="H71" s="149"/>
      <c r="I71" s="149"/>
      <c r="J71" s="149"/>
      <c r="K71" s="149"/>
      <c r="L71" s="149"/>
      <c r="M71" s="149"/>
      <c r="N71" s="149"/>
      <c r="O71" s="256"/>
      <c r="P71" s="256"/>
      <c r="Q71" s="256"/>
      <c r="R71" s="256"/>
      <c r="S71" s="256"/>
      <c r="T71" s="256"/>
      <c r="U71" s="256"/>
      <c r="V71" s="256"/>
      <c r="W71" s="256"/>
      <c r="X71">
        <f t="shared" ref="X71:AI71" si="111">+IFERROR(X49/W49-1,"")</f>
        <v>-0.69288389513108617</v>
      </c>
      <c r="Y71">
        <f t="shared" si="111"/>
        <v>-0.14227642276422769</v>
      </c>
      <c r="Z71">
        <f t="shared" si="111"/>
        <v>-0.6635071090047393</v>
      </c>
      <c r="AA71">
        <f t="shared" si="111"/>
        <v>0.76056338028169024</v>
      </c>
      <c r="AB71">
        <f t="shared" si="111"/>
        <v>-1</v>
      </c>
      <c r="AC71" t="str">
        <f t="shared" si="111"/>
        <v/>
      </c>
      <c r="AD71" t="str">
        <f t="shared" si="111"/>
        <v/>
      </c>
      <c r="AE71" t="str">
        <f t="shared" si="111"/>
        <v/>
      </c>
      <c r="AF71" t="str">
        <f t="shared" si="111"/>
        <v/>
      </c>
      <c r="AG71" t="str">
        <f t="shared" si="111"/>
        <v/>
      </c>
      <c r="AH71" t="str">
        <f t="shared" si="111"/>
        <v/>
      </c>
      <c r="AI71" t="str">
        <f t="shared" si="111"/>
        <v/>
      </c>
      <c r="AJ71" t="str">
        <f t="shared" si="102"/>
        <v/>
      </c>
      <c r="AK71" t="str">
        <f t="shared" si="103"/>
        <v/>
      </c>
      <c r="AL71" t="str">
        <f t="shared" si="103"/>
        <v/>
      </c>
      <c r="AP71" s="2"/>
      <c r="AQ71" s="2"/>
      <c r="AR71" s="2"/>
      <c r="AS71" s="2"/>
      <c r="AT71" s="2"/>
      <c r="AU71" s="2"/>
      <c r="AV71" s="933">
        <f>+IFERROR(AV49/AS49-1,"")</f>
        <v>-0.44207317073170727</v>
      </c>
      <c r="AW71" s="2"/>
      <c r="AX71" s="2"/>
      <c r="AY71" s="933">
        <f>+IFERROR(AY49/AV49-1,"")</f>
        <v>-0.67213114754098369</v>
      </c>
      <c r="AZ71" s="2"/>
      <c r="BA71" s="2"/>
      <c r="BB71" s="933">
        <f>+IFERROR(BB49/AY49-1,"")</f>
        <v>-0.6333333333333333</v>
      </c>
      <c r="BC71" s="2"/>
      <c r="BD71" s="2"/>
      <c r="BE71" s="933">
        <f>+IFERROR(BE49/BB49-1,"")</f>
        <v>1.7272727272727271</v>
      </c>
      <c r="BF71" s="2"/>
      <c r="BG71" s="2"/>
      <c r="BH71" s="2"/>
      <c r="BI71" s="2"/>
      <c r="BJ71" s="2"/>
      <c r="BK71" s="2"/>
      <c r="BL71" s="2"/>
      <c r="BM71" s="2"/>
      <c r="BN71" s="2"/>
    </row>
    <row r="72" spans="1:66" hidden="1" outlineLevel="1">
      <c r="A72" s="2"/>
      <c r="B72" s="510" t="s">
        <v>1165</v>
      </c>
      <c r="C72" s="14" t="s">
        <v>733</v>
      </c>
      <c r="D72" s="149"/>
      <c r="E72" s="149"/>
      <c r="F72" s="149"/>
      <c r="G72" s="149"/>
      <c r="H72" s="149"/>
      <c r="I72" s="149"/>
      <c r="J72" s="149"/>
      <c r="K72" s="149"/>
      <c r="L72" s="149"/>
      <c r="M72" s="149"/>
      <c r="N72" s="149"/>
      <c r="O72" s="256"/>
      <c r="P72" s="256"/>
      <c r="Q72" s="256"/>
      <c r="R72" s="256"/>
      <c r="S72" s="256"/>
      <c r="T72" s="256"/>
      <c r="U72" s="256"/>
      <c r="V72" s="256"/>
      <c r="W72" s="256"/>
      <c r="X72">
        <f t="shared" ref="X72:AI72" si="112">+IFERROR(X50/W50-1,"")</f>
        <v>-0.50430292598967297</v>
      </c>
      <c r="Y72">
        <f t="shared" si="112"/>
        <v>-1.5694444444444444</v>
      </c>
      <c r="Z72">
        <f t="shared" si="112"/>
        <v>-1.9573170731707317</v>
      </c>
      <c r="AA72">
        <f t="shared" si="112"/>
        <v>-1</v>
      </c>
      <c r="AB72" t="str">
        <f t="shared" si="112"/>
        <v/>
      </c>
      <c r="AC72">
        <f t="shared" si="112"/>
        <v>-0.98041958041958044</v>
      </c>
      <c r="AD72">
        <f t="shared" si="112"/>
        <v>-1</v>
      </c>
      <c r="AE72" t="str">
        <f t="shared" si="112"/>
        <v/>
      </c>
      <c r="AF72" t="str">
        <f t="shared" si="112"/>
        <v/>
      </c>
      <c r="AG72" t="str">
        <f t="shared" si="112"/>
        <v/>
      </c>
      <c r="AH72" t="str">
        <f t="shared" si="112"/>
        <v/>
      </c>
      <c r="AI72" t="str">
        <f t="shared" si="112"/>
        <v/>
      </c>
      <c r="AJ72" t="str">
        <f t="shared" si="102"/>
        <v/>
      </c>
      <c r="AK72" t="str">
        <f t="shared" si="103"/>
        <v/>
      </c>
      <c r="AL72" t="str">
        <f t="shared" si="103"/>
        <v/>
      </c>
      <c r="AP72" s="2"/>
      <c r="AQ72" s="2"/>
      <c r="AR72" s="2"/>
      <c r="AS72" s="2"/>
      <c r="AT72" s="2"/>
      <c r="AU72" s="2"/>
      <c r="AV72" s="933"/>
      <c r="AW72" s="2"/>
      <c r="AX72" s="2"/>
      <c r="AY72" s="933"/>
      <c r="AZ72" s="2"/>
      <c r="BA72" s="2"/>
      <c r="BB72" s="933"/>
      <c r="BC72" s="2"/>
      <c r="BD72" s="2"/>
      <c r="BE72" s="933"/>
      <c r="BF72" s="2"/>
      <c r="BG72" s="2"/>
      <c r="BH72" s="2"/>
      <c r="BI72" s="2"/>
      <c r="BJ72" s="2"/>
      <c r="BK72" s="2"/>
      <c r="BL72" s="2"/>
      <c r="BM72" s="2"/>
      <c r="BN72" s="2"/>
    </row>
    <row r="73" spans="1:66" hidden="1" outlineLevel="1">
      <c r="A73" s="9"/>
      <c r="B73" s="9" t="s">
        <v>1355</v>
      </c>
      <c r="C73" s="48" t="s">
        <v>733</v>
      </c>
      <c r="D73" s="930"/>
      <c r="E73" s="930"/>
      <c r="F73" s="930"/>
      <c r="G73" s="930"/>
      <c r="H73" s="930"/>
      <c r="I73" s="930"/>
      <c r="J73" s="930"/>
      <c r="K73" s="930"/>
      <c r="L73" s="930"/>
      <c r="M73" s="930"/>
      <c r="N73" s="930"/>
      <c r="O73" s="931"/>
      <c r="P73" s="931"/>
      <c r="Q73" s="931"/>
      <c r="R73" s="931"/>
      <c r="S73" s="931"/>
      <c r="T73" s="931"/>
      <c r="U73" s="931"/>
      <c r="V73" s="931"/>
      <c r="W73" s="931"/>
      <c r="X73">
        <f t="shared" ref="X73:AI73" si="113">+IFERROR(X51/W51-1,"")</f>
        <v>-2.7270571496323948E-3</v>
      </c>
      <c r="Y73">
        <f t="shared" si="113"/>
        <v>-0.11496849363928185</v>
      </c>
      <c r="Z73">
        <f t="shared" si="113"/>
        <v>-2.5255239118753381E-2</v>
      </c>
      <c r="AA73">
        <f t="shared" si="113"/>
        <v>8.351708930540247E-2</v>
      </c>
      <c r="AB73">
        <f t="shared" si="113"/>
        <v>-4.248282879674381E-2</v>
      </c>
      <c r="AC73">
        <f t="shared" si="113"/>
        <v>0.1434643995749203</v>
      </c>
      <c r="AD73">
        <f t="shared" si="113"/>
        <v>4.1165482170778311E-2</v>
      </c>
      <c r="AE73">
        <f t="shared" si="113"/>
        <v>3.2051392192327111E-2</v>
      </c>
      <c r="AF73">
        <f t="shared" si="113"/>
        <v>3.3419929189048903E-2</v>
      </c>
      <c r="AG73">
        <f t="shared" si="113"/>
        <v>3.5016823501372585E-2</v>
      </c>
      <c r="AH73">
        <f t="shared" si="113"/>
        <v>3.6617346575111176E-2</v>
      </c>
      <c r="AI73">
        <f t="shared" si="113"/>
        <v>3.8241359647292583E-2</v>
      </c>
      <c r="AJ73">
        <f t="shared" si="102"/>
        <v>3.9907244283072352E-2</v>
      </c>
      <c r="AK73">
        <f t="shared" si="103"/>
        <v>4.1632473940735215E-2</v>
      </c>
      <c r="AL73">
        <f t="shared" si="103"/>
        <v>4.2240107286394712E-2</v>
      </c>
      <c r="AP73" s="9"/>
      <c r="AQ73" s="9"/>
      <c r="AR73" s="9"/>
      <c r="AS73" s="9"/>
      <c r="AT73" s="9"/>
      <c r="AU73" s="9"/>
      <c r="AV73" s="933">
        <f>+IFERROR(AV51/AS51-1,"")</f>
        <v>-8.9225964755745846E-4</v>
      </c>
      <c r="AW73" s="9"/>
      <c r="AX73" s="9"/>
      <c r="AY73" s="933">
        <f>+IFERROR(AY51/AV51-1,"")</f>
        <v>-0.11654387139986599</v>
      </c>
      <c r="AZ73" s="9"/>
      <c r="BA73" s="9"/>
      <c r="BB73" s="933">
        <f>+IFERROR(BB51/AY51-1,"")</f>
        <v>-0.12408390194591867</v>
      </c>
      <c r="BC73" s="9"/>
      <c r="BD73" s="9"/>
      <c r="BE73" s="933">
        <f>+IFERROR(BE51/BB51-1,"")</f>
        <v>0.11396422388920957</v>
      </c>
      <c r="BF73" s="9"/>
      <c r="BG73" s="9"/>
      <c r="BH73" s="9"/>
      <c r="BI73" s="9"/>
      <c r="BJ73" s="9"/>
      <c r="BK73" s="9"/>
      <c r="BL73" s="9"/>
      <c r="BM73" s="9"/>
      <c r="BN73" s="9"/>
    </row>
    <row r="74" spans="1:66" hidden="1" outlineLevel="1">
      <c r="A74" s="2"/>
      <c r="B74" s="510"/>
      <c r="C74" s="926"/>
      <c r="D74" s="149"/>
      <c r="E74" s="149"/>
      <c r="F74" s="149"/>
      <c r="G74" s="149"/>
      <c r="H74" s="149"/>
      <c r="I74" s="149"/>
      <c r="J74" s="149"/>
      <c r="K74" s="149"/>
      <c r="L74" s="149"/>
      <c r="M74" s="149"/>
      <c r="N74" s="149"/>
      <c r="O74" s="256"/>
      <c r="P74" s="256"/>
      <c r="Q74" s="256"/>
      <c r="R74" s="256"/>
      <c r="S74" s="256"/>
      <c r="T74" s="256"/>
      <c r="U74" s="256"/>
      <c r="V74" s="256"/>
      <c r="W74" s="256"/>
      <c r="X74" s="256"/>
      <c r="Y74" s="256"/>
      <c r="Z74" s="256"/>
      <c r="AA74" s="256"/>
      <c r="AB74" s="256"/>
      <c r="AC74" s="256"/>
      <c r="AD74" s="256"/>
      <c r="AE74" s="256"/>
      <c r="AF74" s="256"/>
      <c r="AG74" s="256"/>
      <c r="AH74" s="256"/>
      <c r="AI74" s="256"/>
      <c r="AJ74" s="256"/>
      <c r="AK74" s="256"/>
      <c r="AL74" s="256"/>
      <c r="AP74" s="2"/>
      <c r="AQ74" s="2"/>
      <c r="AR74" s="2"/>
      <c r="AS74" s="2"/>
      <c r="AT74" s="2"/>
      <c r="AU74" s="2"/>
      <c r="AV74" s="2"/>
      <c r="AW74" s="2"/>
      <c r="AX74" s="2"/>
      <c r="AY74" s="2"/>
      <c r="AZ74" s="2"/>
      <c r="BA74" s="2"/>
      <c r="BB74" s="2"/>
      <c r="BC74" s="2"/>
      <c r="BD74" s="2"/>
      <c r="BE74" s="2"/>
      <c r="BF74" s="2"/>
      <c r="BG74" s="2"/>
      <c r="BH74" s="2"/>
      <c r="BI74" s="2"/>
      <c r="BJ74" s="2"/>
      <c r="BK74" s="2"/>
      <c r="BL74" s="2"/>
      <c r="BM74" s="2"/>
      <c r="BN74" s="2"/>
    </row>
    <row r="75" spans="1:66">
      <c r="A75" s="2"/>
      <c r="B75" s="6" t="s">
        <v>27</v>
      </c>
      <c r="C75" s="21"/>
      <c r="D75" s="43"/>
      <c r="E75" s="43"/>
      <c r="F75" s="43"/>
      <c r="G75" s="43"/>
      <c r="H75" s="43"/>
      <c r="I75" s="43"/>
      <c r="J75" s="43"/>
      <c r="K75" s="116"/>
      <c r="L75" s="116"/>
      <c r="M75" s="116"/>
      <c r="N75" s="116"/>
      <c r="O75" s="252"/>
      <c r="P75" s="252"/>
      <c r="Q75" s="252"/>
      <c r="R75" s="252"/>
      <c r="S75" s="252"/>
      <c r="T75" s="252"/>
      <c r="U75" s="252"/>
      <c r="V75" s="252"/>
      <c r="W75" s="252"/>
      <c r="X75" s="296"/>
      <c r="Y75" s="252"/>
      <c r="Z75" s="252"/>
      <c r="AA75" s="252"/>
      <c r="AB75" s="252"/>
      <c r="AC75" s="252"/>
      <c r="AD75" s="2"/>
      <c r="AE75" s="2"/>
      <c r="AF75" s="2"/>
      <c r="AG75" s="2"/>
      <c r="AH75" s="2"/>
      <c r="AI75" s="2"/>
      <c r="AJ75" s="2"/>
      <c r="AK75" s="2"/>
      <c r="AL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row>
    <row r="76" spans="1:66">
      <c r="A76" s="2"/>
      <c r="B76" s="36" t="s">
        <v>204</v>
      </c>
      <c r="C76" s="18" t="s">
        <v>732</v>
      </c>
      <c r="D76" s="451">
        <f>'Cost + BS Assumptions'!D82</f>
        <v>2343</v>
      </c>
      <c r="E76" s="451">
        <f>'Cost + BS Assumptions'!E82</f>
        <v>2386</v>
      </c>
      <c r="F76" s="451">
        <f>'Cost + BS Assumptions'!F82</f>
        <v>2612</v>
      </c>
      <c r="G76" s="451">
        <f>'Cost + BS Assumptions'!G82</f>
        <v>2703</v>
      </c>
      <c r="H76" s="451">
        <f>'Cost + BS Assumptions'!H82</f>
        <v>2873</v>
      </c>
      <c r="I76" s="451">
        <f>'Cost + BS Assumptions'!I82</f>
        <v>2876</v>
      </c>
      <c r="J76" s="451">
        <f>'Cost + BS Assumptions'!J82</f>
        <v>3174</v>
      </c>
      <c r="K76" s="451">
        <f>'Cost + BS Assumptions'!K82</f>
        <v>3344</v>
      </c>
      <c r="L76" s="451">
        <f>'Cost + BS Assumptions'!L82</f>
        <v>3486</v>
      </c>
      <c r="M76" s="451">
        <f>'Cost + BS Assumptions'!M82</f>
        <v>3624</v>
      </c>
      <c r="N76" s="451">
        <f>'Cost + BS Assumptions'!N82</f>
        <v>3440</v>
      </c>
      <c r="O76" s="451">
        <f>'Cost + BS Assumptions'!O82</f>
        <v>3454</v>
      </c>
      <c r="P76" s="451">
        <f>'Cost + BS Assumptions'!P82</f>
        <v>3305</v>
      </c>
      <c r="Q76" s="451">
        <f>'Cost + BS Assumptions'!Q82</f>
        <v>3073</v>
      </c>
      <c r="R76" s="451">
        <f>'Cost + BS Assumptions'!R82</f>
        <v>2886</v>
      </c>
      <c r="S76" s="440">
        <f>'Cost + BS Assumptions'!S83</f>
        <v>2915</v>
      </c>
      <c r="T76" s="440">
        <f>'Cost + BS Assumptions'!T83</f>
        <v>2957</v>
      </c>
      <c r="U76" s="440">
        <f>'Cost + BS Assumptions'!U83</f>
        <v>3058</v>
      </c>
      <c r="V76" s="440">
        <f>'Cost + BS Assumptions'!V83</f>
        <v>3005</v>
      </c>
      <c r="W76" s="440">
        <f>'Cost + BS Assumptions'!W83</f>
        <v>2742</v>
      </c>
      <c r="X76" s="440">
        <f>'Cost + BS Assumptions'!X83+'Cost + BS Assumptions'!X97</f>
        <v>3774</v>
      </c>
      <c r="Y76" s="440">
        <f>'Cost + BS Assumptions'!Y83+'Cost + BS Assumptions'!Y97</f>
        <v>3332</v>
      </c>
      <c r="Z76" s="440">
        <f>'Cost + BS Assumptions'!Z83+'Cost + BS Assumptions'!Z97</f>
        <v>3159</v>
      </c>
      <c r="AA76" s="440">
        <f>'Cost + BS Assumptions'!AA83+'Cost + BS Assumptions'!AA97+'Cost + BS Assumptions'!AA100</f>
        <v>2998</v>
      </c>
      <c r="AB76" s="440">
        <f>'Cost + BS Assumptions'!AB83+'Cost + BS Assumptions'!AB97+'Cost + BS Assumptions'!AB100</f>
        <v>3048</v>
      </c>
      <c r="AC76" s="440">
        <f>'Cost + BS Assumptions'!AC83+'Cost + BS Assumptions'!AC97+'Cost + BS Assumptions'!AC100</f>
        <v>3014</v>
      </c>
      <c r="AD76" s="440">
        <f>'Cost + BS Assumptions'!AD83+'Cost + BS Assumptions'!AD97+'Cost + BS Assumptions'!AD100</f>
        <v>3101.7723912275346</v>
      </c>
      <c r="AE76" s="440">
        <f>'Cost + BS Assumptions'!AE83+'Cost + BS Assumptions'!AE97+'Cost + BS Assumptions'!AE100</f>
        <v>3173.1224087925079</v>
      </c>
      <c r="AF76" s="440">
        <f>'Cost + BS Assumptions'!AF83+'Cost + BS Assumptions'!AF97+'Cost + BS Assumptions'!AF100</f>
        <v>3255.0225821315462</v>
      </c>
      <c r="AG76" s="440">
        <f>'Cost + BS Assumptions'!AG83+'Cost + BS Assumptions'!AG97+'Cost + BS Assumptions'!AG100</f>
        <v>3348.5144848634163</v>
      </c>
      <c r="AH76" s="440">
        <f>'Cost + BS Assumptions'!AH83+'Cost + BS Assumptions'!AH97+'Cost + BS Assumptions'!AH100</f>
        <v>3454.1438021179533</v>
      </c>
      <c r="AI76" s="440">
        <f>'Cost + BS Assumptions'!AI83+'Cost + BS Assumptions'!AI97+'Cost + BS Assumptions'!AI100</f>
        <v>3572.7841074825365</v>
      </c>
      <c r="AJ76" s="440">
        <f>'Cost + BS Assumptions'!AJ83+'Cost + BS Assumptions'!AJ97+'Cost + BS Assumptions'!AJ100</f>
        <v>3705.6587037995637</v>
      </c>
      <c r="AK76" s="440">
        <f>'Cost + BS Assumptions'!AK83+'Cost + BS Assumptions'!AK97+'Cost + BS Assumptions'!AK100</f>
        <v>3854.3789782737645</v>
      </c>
      <c r="AL76" s="440">
        <f>'Cost + BS Assumptions'!AL83+'Cost + BS Assumptions'!AL97+'Cost + BS Assumptions'!AL100</f>
        <v>4004.7447984874693</v>
      </c>
      <c r="AP76" s="615">
        <v>1496</v>
      </c>
      <c r="AQ76" s="254">
        <f>+AR76-AP76</f>
        <v>1509</v>
      </c>
      <c r="AR76" s="254">
        <f>V76</f>
        <v>3005</v>
      </c>
      <c r="AS76" s="615">
        <v>1354</v>
      </c>
      <c r="AT76" s="254">
        <f>+AU76-AS76</f>
        <v>1388</v>
      </c>
      <c r="AU76" s="254">
        <f>W76</f>
        <v>2742</v>
      </c>
      <c r="AV76" s="615">
        <v>1946</v>
      </c>
      <c r="AW76" s="254">
        <f>+AX76-AV76</f>
        <v>1828</v>
      </c>
      <c r="AX76" s="254">
        <f>X76</f>
        <v>3774</v>
      </c>
      <c r="AY76" s="615">
        <v>1686</v>
      </c>
      <c r="AZ76" s="425">
        <f>+BA76-AY76</f>
        <v>1646</v>
      </c>
      <c r="BA76" s="425">
        <f>Y76</f>
        <v>3332</v>
      </c>
      <c r="BB76" s="615">
        <v>1579</v>
      </c>
      <c r="BC76" s="425">
        <f>+BD76-BB76</f>
        <v>1580</v>
      </c>
      <c r="BD76" s="425">
        <f>Z76</f>
        <v>3159</v>
      </c>
      <c r="BE76" s="615">
        <v>1501</v>
      </c>
      <c r="BF76" s="425">
        <f>+BG76-BE76</f>
        <v>1497</v>
      </c>
      <c r="BG76" s="254">
        <f t="shared" ref="BG76:BN78" si="114">AA76</f>
        <v>2998</v>
      </c>
      <c r="BH76" s="254">
        <f t="shared" si="114"/>
        <v>3048</v>
      </c>
      <c r="BI76" s="254">
        <f t="shared" si="114"/>
        <v>3014</v>
      </c>
      <c r="BJ76" s="254">
        <f t="shared" si="114"/>
        <v>3101.7723912275346</v>
      </c>
      <c r="BK76" s="254">
        <f t="shared" si="114"/>
        <v>3173.1224087925079</v>
      </c>
      <c r="BL76" s="254">
        <f t="shared" si="114"/>
        <v>3255.0225821315462</v>
      </c>
      <c r="BM76" s="254">
        <f t="shared" si="114"/>
        <v>3348.5144848634163</v>
      </c>
      <c r="BN76" s="254">
        <f t="shared" si="114"/>
        <v>3454.1438021179533</v>
      </c>
    </row>
    <row r="77" spans="1:66">
      <c r="A77" s="8"/>
      <c r="B77" s="36" t="s">
        <v>739</v>
      </c>
      <c r="C77" s="18" t="s">
        <v>732</v>
      </c>
      <c r="D77" s="451">
        <f>'Cost + BS Assumptions'!D119</f>
        <v>303</v>
      </c>
      <c r="E77" s="451">
        <f>'Cost + BS Assumptions'!E119</f>
        <v>485</v>
      </c>
      <c r="F77" s="451">
        <f>'Cost + BS Assumptions'!F119</f>
        <v>655</v>
      </c>
      <c r="G77" s="451">
        <f>'Cost + BS Assumptions'!G119</f>
        <v>744</v>
      </c>
      <c r="H77" s="451">
        <f>'Cost + BS Assumptions'!H119</f>
        <v>742</v>
      </c>
      <c r="I77" s="451">
        <f>'Cost + BS Assumptions'!I119</f>
        <v>653</v>
      </c>
      <c r="J77" s="451">
        <f>'Cost + BS Assumptions'!J119</f>
        <v>904</v>
      </c>
      <c r="K77" s="451">
        <f>'Cost + BS Assumptions'!K119</f>
        <v>738</v>
      </c>
      <c r="L77" s="451">
        <f>'Cost + BS Assumptions'!L119</f>
        <v>704</v>
      </c>
      <c r="M77" s="451">
        <f>'Cost + BS Assumptions'!M119</f>
        <v>766</v>
      </c>
      <c r="N77" s="451">
        <f>'Cost + BS Assumptions'!N119</f>
        <v>906</v>
      </c>
      <c r="O77" s="451">
        <f>'Cost + BS Assumptions'!O119</f>
        <v>1005</v>
      </c>
      <c r="P77" s="451">
        <f>'Cost + BS Assumptions'!P119</f>
        <v>1107</v>
      </c>
      <c r="Q77" s="451">
        <f>'Cost + BS Assumptions'!Q120</f>
        <v>1165</v>
      </c>
      <c r="R77" s="451">
        <f>'Cost + BS Assumptions'!R120</f>
        <v>1054</v>
      </c>
      <c r="S77" s="440">
        <f>'Cost + BS Assumptions'!S120</f>
        <v>1059</v>
      </c>
      <c r="T77" s="440">
        <f>'Cost + BS Assumptions'!T120</f>
        <v>1198</v>
      </c>
      <c r="U77" s="440">
        <f>'Cost + BS Assumptions'!U120</f>
        <v>1383</v>
      </c>
      <c r="V77" s="440">
        <f>'Cost + BS Assumptions'!V120</f>
        <v>1465</v>
      </c>
      <c r="W77" s="440">
        <f>'Cost + BS Assumptions'!W120</f>
        <v>1540</v>
      </c>
      <c r="X77" s="440">
        <f>'Cost + BS Assumptions'!X120</f>
        <v>1564</v>
      </c>
      <c r="Y77" s="440">
        <f>'Cost + BS Assumptions'!Y120</f>
        <v>1314</v>
      </c>
      <c r="Z77" s="440">
        <f>'Cost + BS Assumptions'!Z120</f>
        <v>1199</v>
      </c>
      <c r="AA77" s="440">
        <f>'Cost + BS Assumptions'!AA120</f>
        <v>1472</v>
      </c>
      <c r="AB77" s="440">
        <f>'Cost + BS Assumptions'!AB120</f>
        <v>1431</v>
      </c>
      <c r="AC77" s="440">
        <f>'Cost + BS Assumptions'!AC120</f>
        <v>1677</v>
      </c>
      <c r="AD77" s="440">
        <f>'Cost + BS Assumptions'!AD120</f>
        <v>1593.1941008391839</v>
      </c>
      <c r="AE77" s="440">
        <f>'Cost + BS Assumptions'!AE120</f>
        <v>1636.5170111660198</v>
      </c>
      <c r="AF77" s="440">
        <f>'Cost + BS Assumptions'!AF120</f>
        <v>1686.5630599763283</v>
      </c>
      <c r="AG77" s="440">
        <f>'Cost + BS Assumptions'!AG120</f>
        <v>1743.9959951644221</v>
      </c>
      <c r="AH77" s="440">
        <f>'Cost + BS Assumptions'!AH120</f>
        <v>1809.1635572542152</v>
      </c>
      <c r="AI77" s="440">
        <f>'Cost + BS Assumptions'!AI120</f>
        <v>1882.6224352964884</v>
      </c>
      <c r="AJ77" s="440">
        <f>'Cost + BS Assumptions'!AJ120</f>
        <v>1965.1521850241429</v>
      </c>
      <c r="AK77" s="440">
        <f>'Cost + BS Assumptions'!AK120</f>
        <v>2057.7796708323494</v>
      </c>
      <c r="AL77" s="440">
        <f>'Cost + BS Assumptions'!AL120</f>
        <v>2151.4557887294554</v>
      </c>
      <c r="AP77" s="615">
        <v>723</v>
      </c>
      <c r="AQ77" s="254">
        <f>+AR77-AP77</f>
        <v>742</v>
      </c>
      <c r="AR77" s="254">
        <f>V77</f>
        <v>1465</v>
      </c>
      <c r="AS77" s="615">
        <v>787</v>
      </c>
      <c r="AT77" s="254">
        <f>+AU77-AS77</f>
        <v>753</v>
      </c>
      <c r="AU77" s="254">
        <f>W77</f>
        <v>1540</v>
      </c>
      <c r="AV77" s="615">
        <v>776</v>
      </c>
      <c r="AW77" s="254">
        <f>+AX77-AV77</f>
        <v>788</v>
      </c>
      <c r="AX77" s="254">
        <f>X77</f>
        <v>1564</v>
      </c>
      <c r="AY77" s="615">
        <v>743</v>
      </c>
      <c r="AZ77" s="425">
        <f>+BA77-AY77</f>
        <v>571</v>
      </c>
      <c r="BA77" s="425">
        <f>Y77</f>
        <v>1314</v>
      </c>
      <c r="BB77" s="615">
        <v>610</v>
      </c>
      <c r="BC77" s="425">
        <f>+BD77-BB77</f>
        <v>589</v>
      </c>
      <c r="BD77" s="425">
        <f>Z77</f>
        <v>1199</v>
      </c>
      <c r="BE77" s="615">
        <v>759</v>
      </c>
      <c r="BF77" s="425">
        <f>+BG77-BE77</f>
        <v>713</v>
      </c>
      <c r="BG77" s="254">
        <f t="shared" si="114"/>
        <v>1472</v>
      </c>
      <c r="BH77" s="254">
        <f t="shared" si="114"/>
        <v>1431</v>
      </c>
      <c r="BI77" s="254">
        <f t="shared" si="114"/>
        <v>1677</v>
      </c>
      <c r="BJ77" s="254">
        <f t="shared" si="114"/>
        <v>1593.1941008391839</v>
      </c>
      <c r="BK77" s="254">
        <f t="shared" si="114"/>
        <v>1636.5170111660198</v>
      </c>
      <c r="BL77" s="254">
        <f t="shared" si="114"/>
        <v>1686.5630599763283</v>
      </c>
      <c r="BM77" s="254">
        <f t="shared" si="114"/>
        <v>1743.9959951644221</v>
      </c>
      <c r="BN77" s="254">
        <f t="shared" si="114"/>
        <v>1809.1635572542152</v>
      </c>
    </row>
    <row r="78" spans="1:66">
      <c r="A78" s="6"/>
      <c r="B78" s="6" t="s">
        <v>342</v>
      </c>
      <c r="C78" s="21" t="s">
        <v>732</v>
      </c>
      <c r="D78" s="60">
        <f t="shared" ref="D78:AH78" si="115">D76+D77</f>
        <v>2646</v>
      </c>
      <c r="E78" s="60">
        <f t="shared" si="115"/>
        <v>2871</v>
      </c>
      <c r="F78" s="60">
        <f t="shared" si="115"/>
        <v>3267</v>
      </c>
      <c r="G78" s="60">
        <f t="shared" si="115"/>
        <v>3447</v>
      </c>
      <c r="H78" s="60">
        <f t="shared" si="115"/>
        <v>3615</v>
      </c>
      <c r="I78" s="60">
        <f t="shared" si="115"/>
        <v>3529</v>
      </c>
      <c r="J78" s="60">
        <f t="shared" si="115"/>
        <v>4078</v>
      </c>
      <c r="K78" s="60">
        <f t="shared" si="115"/>
        <v>4082</v>
      </c>
      <c r="L78" s="60">
        <f t="shared" si="115"/>
        <v>4190</v>
      </c>
      <c r="M78" s="60">
        <f t="shared" si="115"/>
        <v>4390</v>
      </c>
      <c r="N78" s="60">
        <f t="shared" si="115"/>
        <v>4346</v>
      </c>
      <c r="O78" s="249">
        <f t="shared" si="115"/>
        <v>4459</v>
      </c>
      <c r="P78" s="249">
        <f t="shared" si="115"/>
        <v>4412</v>
      </c>
      <c r="Q78" s="249">
        <f t="shared" si="115"/>
        <v>4238</v>
      </c>
      <c r="R78" s="249">
        <f t="shared" si="115"/>
        <v>3940</v>
      </c>
      <c r="S78" s="249">
        <f t="shared" si="115"/>
        <v>3974</v>
      </c>
      <c r="T78" s="249">
        <f t="shared" si="115"/>
        <v>4155</v>
      </c>
      <c r="U78" s="249">
        <f t="shared" si="115"/>
        <v>4441</v>
      </c>
      <c r="V78" s="249">
        <f t="shared" si="115"/>
        <v>4470</v>
      </c>
      <c r="W78" s="249">
        <f t="shared" si="115"/>
        <v>4282</v>
      </c>
      <c r="X78" s="249">
        <f t="shared" si="115"/>
        <v>5338</v>
      </c>
      <c r="Y78" s="249">
        <f t="shared" si="115"/>
        <v>4646</v>
      </c>
      <c r="Z78" s="249">
        <f>Z76+Z77</f>
        <v>4358</v>
      </c>
      <c r="AA78" s="249">
        <f t="shared" si="115"/>
        <v>4470</v>
      </c>
      <c r="AB78" s="249">
        <f t="shared" si="115"/>
        <v>4479</v>
      </c>
      <c r="AC78" s="249">
        <f t="shared" ref="AC78" si="116">AC76+AC77</f>
        <v>4691</v>
      </c>
      <c r="AD78" s="249">
        <f t="shared" si="115"/>
        <v>4694.9664920667183</v>
      </c>
      <c r="AE78" s="249">
        <f t="shared" si="115"/>
        <v>4809.6394199585275</v>
      </c>
      <c r="AF78" s="249">
        <f t="shared" si="115"/>
        <v>4941.5856421078743</v>
      </c>
      <c r="AG78" s="249">
        <f t="shared" si="115"/>
        <v>5092.5104800278386</v>
      </c>
      <c r="AH78" s="249">
        <f t="shared" si="115"/>
        <v>5263.3073593721683</v>
      </c>
      <c r="AI78" s="249">
        <f>AI76+AI77</f>
        <v>5455.4065427790247</v>
      </c>
      <c r="AJ78" s="249">
        <f t="shared" ref="AJ78:AK78" si="117">AJ76+AJ77</f>
        <v>5670.8108888237066</v>
      </c>
      <c r="AK78" s="249">
        <f t="shared" si="117"/>
        <v>5912.1586491061134</v>
      </c>
      <c r="AL78" s="249">
        <f t="shared" ref="AL78" si="118">AL76+AL77</f>
        <v>6156.2005872169248</v>
      </c>
      <c r="AP78" s="259">
        <f>AP76+AP77</f>
        <v>2219</v>
      </c>
      <c r="AQ78" s="259">
        <f>AQ76+AQ77</f>
        <v>2251</v>
      </c>
      <c r="AR78" s="259">
        <f>V78</f>
        <v>4470</v>
      </c>
      <c r="AS78" s="259">
        <f>AS76+AS77</f>
        <v>2141</v>
      </c>
      <c r="AT78" s="259">
        <f>AT76+AT77</f>
        <v>2141</v>
      </c>
      <c r="AU78" s="259">
        <f>W78</f>
        <v>4282</v>
      </c>
      <c r="AV78" s="259">
        <f>AV76+AV77</f>
        <v>2722</v>
      </c>
      <c r="AW78" s="259">
        <f>AW76+AW77</f>
        <v>2616</v>
      </c>
      <c r="AX78" s="259">
        <f>X78</f>
        <v>5338</v>
      </c>
      <c r="AY78" s="404">
        <f>AY76+AY77</f>
        <v>2429</v>
      </c>
      <c r="AZ78" s="404">
        <f>AZ76+AZ77</f>
        <v>2217</v>
      </c>
      <c r="BA78" s="404">
        <f>Y78</f>
        <v>4646</v>
      </c>
      <c r="BB78" s="404">
        <f>BB76+BB77</f>
        <v>2189</v>
      </c>
      <c r="BC78" s="404">
        <f>BC76+BC77</f>
        <v>2169</v>
      </c>
      <c r="BD78" s="404">
        <f>Z78</f>
        <v>4358</v>
      </c>
      <c r="BE78" s="404">
        <f>BE76+BE77</f>
        <v>2260</v>
      </c>
      <c r="BF78" s="404">
        <f>BF76+BF77</f>
        <v>2210</v>
      </c>
      <c r="BG78" s="259">
        <f t="shared" si="114"/>
        <v>4470</v>
      </c>
      <c r="BH78" s="259">
        <f t="shared" si="114"/>
        <v>4479</v>
      </c>
      <c r="BI78" s="259">
        <f t="shared" si="114"/>
        <v>4691</v>
      </c>
      <c r="BJ78" s="259">
        <f t="shared" si="114"/>
        <v>4694.9664920667183</v>
      </c>
      <c r="BK78" s="259">
        <f t="shared" si="114"/>
        <v>4809.6394199585275</v>
      </c>
      <c r="BL78" s="259">
        <f t="shared" si="114"/>
        <v>4941.5856421078743</v>
      </c>
      <c r="BM78" s="259">
        <f t="shared" si="114"/>
        <v>5092.5104800278386</v>
      </c>
      <c r="BN78" s="259">
        <f t="shared" si="114"/>
        <v>5263.3073593721683</v>
      </c>
    </row>
    <row r="79" spans="1:66">
      <c r="A79" s="2"/>
      <c r="B79" s="2"/>
      <c r="C79" s="18"/>
      <c r="D79" s="42"/>
      <c r="E79" s="42"/>
      <c r="F79" s="42"/>
      <c r="G79" s="42"/>
      <c r="H79" s="42"/>
      <c r="I79" s="117"/>
      <c r="J79" s="117"/>
      <c r="K79" s="42"/>
      <c r="L79" s="42"/>
      <c r="M79" s="7"/>
      <c r="N79" s="42"/>
      <c r="O79" s="247"/>
      <c r="P79" s="247"/>
      <c r="Q79" s="247"/>
      <c r="R79" s="247"/>
      <c r="S79" s="247"/>
      <c r="T79" s="247"/>
      <c r="U79" s="247"/>
      <c r="V79" s="247"/>
      <c r="W79" s="111"/>
      <c r="X79" s="934"/>
      <c r="Y79" s="111"/>
      <c r="Z79" s="247"/>
      <c r="AA79" s="247"/>
      <c r="AB79" s="111"/>
      <c r="AC79" s="111"/>
      <c r="AD79" s="111"/>
      <c r="AE79" s="111"/>
      <c r="AF79" s="111"/>
      <c r="AG79" s="111"/>
      <c r="AH79" s="111"/>
      <c r="AI79" s="111"/>
      <c r="AJ79" s="111"/>
      <c r="AK79" s="111"/>
      <c r="AL79" s="111"/>
      <c r="AP79" s="2"/>
      <c r="AQ79" s="2"/>
      <c r="AR79" s="2"/>
      <c r="AS79" s="2"/>
      <c r="AT79" s="2"/>
      <c r="AU79" s="2"/>
      <c r="AV79" s="2"/>
      <c r="AW79" s="2"/>
      <c r="AX79" s="2"/>
      <c r="AY79" s="8"/>
      <c r="AZ79" s="8"/>
      <c r="BA79" s="8"/>
      <c r="BB79" s="8"/>
      <c r="BC79" s="8"/>
      <c r="BD79" s="8"/>
      <c r="BE79" s="8"/>
      <c r="BF79" s="8"/>
      <c r="BG79" s="2"/>
      <c r="BH79" s="2"/>
      <c r="BI79" s="2"/>
      <c r="BJ79" s="2"/>
      <c r="BK79" s="2"/>
      <c r="BL79" s="2"/>
      <c r="BM79" s="2"/>
      <c r="BN79" s="2"/>
    </row>
    <row r="80" spans="1:66">
      <c r="A80" s="6"/>
      <c r="B80" s="6" t="s">
        <v>1088</v>
      </c>
      <c r="C80" s="21" t="s">
        <v>732</v>
      </c>
      <c r="D80" s="60">
        <f t="shared" ref="D80:V80" si="119">D189-D78</f>
        <v>5917</v>
      </c>
      <c r="E80" s="60">
        <f t="shared" si="119"/>
        <v>6963</v>
      </c>
      <c r="F80" s="60">
        <f t="shared" si="119"/>
        <v>6216</v>
      </c>
      <c r="G80" s="60">
        <f t="shared" si="119"/>
        <v>5723</v>
      </c>
      <c r="H80" s="60">
        <f t="shared" si="119"/>
        <v>6560</v>
      </c>
      <c r="I80" s="60">
        <f t="shared" si="119"/>
        <v>6934.9999999999982</v>
      </c>
      <c r="J80" s="60">
        <f t="shared" si="119"/>
        <v>5497</v>
      </c>
      <c r="K80" s="60">
        <f t="shared" si="119"/>
        <v>5778.9999999999982</v>
      </c>
      <c r="L80" s="60">
        <f t="shared" si="119"/>
        <v>6226</v>
      </c>
      <c r="M80" s="60">
        <f t="shared" si="119"/>
        <v>6558</v>
      </c>
      <c r="N80" s="60">
        <f t="shared" si="119"/>
        <v>6501</v>
      </c>
      <c r="O80" s="249">
        <f t="shared" si="119"/>
        <v>5692</v>
      </c>
      <c r="P80" s="249">
        <f t="shared" si="119"/>
        <v>5908.8172878999994</v>
      </c>
      <c r="Q80" s="249">
        <f t="shared" si="119"/>
        <v>6497.105465133809</v>
      </c>
      <c r="R80" s="249">
        <f t="shared" si="119"/>
        <v>7195</v>
      </c>
      <c r="S80" s="249">
        <f t="shared" si="119"/>
        <v>6559</v>
      </c>
      <c r="T80" s="249">
        <f t="shared" si="119"/>
        <v>6303.8976000000002</v>
      </c>
      <c r="U80" s="249">
        <f t="shared" si="119"/>
        <v>5793.6370000000006</v>
      </c>
      <c r="V80" s="249">
        <f t="shared" si="119"/>
        <v>6098</v>
      </c>
      <c r="W80" s="249">
        <f t="shared" ref="W80:AH80" si="120">W56-W78</f>
        <v>3702</v>
      </c>
      <c r="X80" s="249">
        <f t="shared" si="120"/>
        <v>3567</v>
      </c>
      <c r="Y80" s="249">
        <f>Y56-Y78</f>
        <v>2992</v>
      </c>
      <c r="Z80" s="249">
        <f>Z56-Z78</f>
        <v>2898</v>
      </c>
      <c r="AA80" s="249">
        <f t="shared" si="120"/>
        <v>3392</v>
      </c>
      <c r="AB80" s="249">
        <f t="shared" si="120"/>
        <v>3049</v>
      </c>
      <c r="AC80" s="249">
        <f t="shared" ref="AC80" si="121">AC56-AC78</f>
        <v>3917</v>
      </c>
      <c r="AD80" s="249">
        <f t="shared" si="120"/>
        <v>4267.3859784593424</v>
      </c>
      <c r="AE80" s="249">
        <f t="shared" si="120"/>
        <v>4439.9689245662348</v>
      </c>
      <c r="AF80" s="249">
        <f t="shared" si="120"/>
        <v>4617.1439583173405</v>
      </c>
      <c r="AG80" s="249">
        <f t="shared" si="120"/>
        <v>4800.9354677128122</v>
      </c>
      <c r="AH80" s="249">
        <f t="shared" si="120"/>
        <v>4992.4103274590316</v>
      </c>
      <c r="AI80" s="249">
        <f>AI56-AI78</f>
        <v>5192.5037325553876</v>
      </c>
      <c r="AJ80" s="249">
        <f t="shared" ref="AJ80:AK80" si="122">AJ56-AJ78</f>
        <v>5402.028142972712</v>
      </c>
      <c r="AK80" s="249">
        <f t="shared" si="122"/>
        <v>5621.6700651315259</v>
      </c>
      <c r="AL80" s="249">
        <f t="shared" ref="AL80" si="123">AL56-AL78</f>
        <v>5864.8182893330122</v>
      </c>
      <c r="AP80" s="259">
        <f>AP189-AP78</f>
        <v>3214</v>
      </c>
      <c r="AQ80" s="259">
        <f>AQ189-AQ78</f>
        <v>2884</v>
      </c>
      <c r="AR80" s="259">
        <f>V80</f>
        <v>6098</v>
      </c>
      <c r="AS80" s="259">
        <f>AS189-AS78</f>
        <v>2342</v>
      </c>
      <c r="AT80" s="259">
        <f>AT189-AT78</f>
        <v>2391</v>
      </c>
      <c r="AU80" s="259">
        <f>W80</f>
        <v>3702</v>
      </c>
      <c r="AV80" s="259">
        <f>AV189-AV78</f>
        <v>1757</v>
      </c>
      <c r="AW80" s="259">
        <f>AW189-AW78</f>
        <v>1604</v>
      </c>
      <c r="AX80" s="259">
        <f>X80</f>
        <v>3567</v>
      </c>
      <c r="AY80" s="404">
        <f>AY56-AY78</f>
        <v>1641</v>
      </c>
      <c r="AZ80" s="404">
        <f>AZ56-AZ78</f>
        <v>1503</v>
      </c>
      <c r="BA80" s="404">
        <f>Y80</f>
        <v>2992</v>
      </c>
      <c r="BB80" s="404">
        <f>BB56-BB78</f>
        <v>1277</v>
      </c>
      <c r="BC80" s="404">
        <f>BC56-BC78</f>
        <v>1479</v>
      </c>
      <c r="BD80" s="404">
        <f>Z80</f>
        <v>2898</v>
      </c>
      <c r="BE80" s="404">
        <f>BE56-BE78</f>
        <v>1601</v>
      </c>
      <c r="BF80" s="404">
        <f>BF56-BF78</f>
        <v>1633</v>
      </c>
      <c r="BG80" s="259">
        <f t="shared" ref="BG80:BN81" si="124">AA80</f>
        <v>3392</v>
      </c>
      <c r="BH80" s="259">
        <f t="shared" si="124"/>
        <v>3049</v>
      </c>
      <c r="BI80" s="259">
        <f t="shared" si="124"/>
        <v>3917</v>
      </c>
      <c r="BJ80" s="259">
        <f t="shared" si="124"/>
        <v>4267.3859784593424</v>
      </c>
      <c r="BK80" s="259">
        <f t="shared" si="124"/>
        <v>4439.9689245662348</v>
      </c>
      <c r="BL80" s="259">
        <f t="shared" si="124"/>
        <v>4617.1439583173405</v>
      </c>
      <c r="BM80" s="259">
        <f t="shared" si="124"/>
        <v>4800.9354677128122</v>
      </c>
      <c r="BN80" s="259">
        <f t="shared" si="124"/>
        <v>4992.4103274590316</v>
      </c>
    </row>
    <row r="81" spans="1:69">
      <c r="A81" s="327"/>
      <c r="B81" s="325" t="s">
        <v>880</v>
      </c>
      <c r="C81" s="811" t="s">
        <v>733</v>
      </c>
      <c r="D81" s="311"/>
      <c r="E81" s="311"/>
      <c r="F81" s="311"/>
      <c r="G81" s="311"/>
      <c r="H81" s="311"/>
      <c r="I81" s="311"/>
      <c r="J81" s="311"/>
      <c r="K81" s="311"/>
      <c r="L81" s="311">
        <f t="shared" ref="L81:U81" si="125">L80/K80-1</f>
        <v>7.7349022322201311E-2</v>
      </c>
      <c r="M81" s="311">
        <f t="shared" si="125"/>
        <v>5.3324767105685789E-2</v>
      </c>
      <c r="N81" s="311">
        <f t="shared" si="125"/>
        <v>-8.6916742909423084E-3</v>
      </c>
      <c r="O81" s="311">
        <f t="shared" si="125"/>
        <v>-0.12444239347792652</v>
      </c>
      <c r="P81" s="311">
        <f t="shared" si="125"/>
        <v>3.8091582554462322E-2</v>
      </c>
      <c r="Q81" s="311">
        <f t="shared" si="125"/>
        <v>9.9561070950441977E-2</v>
      </c>
      <c r="R81" s="311">
        <f t="shared" si="125"/>
        <v>0.1074162238263463</v>
      </c>
      <c r="S81" s="311">
        <f t="shared" si="125"/>
        <v>-8.8394718554551721E-2</v>
      </c>
      <c r="T81" s="311">
        <f t="shared" si="125"/>
        <v>-3.8893489861259289E-2</v>
      </c>
      <c r="U81" s="311">
        <f t="shared" si="125"/>
        <v>-8.0943668881931052E-2</v>
      </c>
      <c r="V81" s="311">
        <f t="shared" ref="V81:AC81" si="126">V80/U80-1</f>
        <v>5.2534012745361736E-2</v>
      </c>
      <c r="W81" s="311">
        <f t="shared" si="126"/>
        <v>-0.39291571006887505</v>
      </c>
      <c r="X81" s="311">
        <f t="shared" si="126"/>
        <v>-3.6466774716369499E-2</v>
      </c>
      <c r="Y81" s="311">
        <f>Y80/X80-1</f>
        <v>-0.16119988786094752</v>
      </c>
      <c r="Z81" s="311">
        <f>Z80/Y80-1</f>
        <v>-3.14171122994652E-2</v>
      </c>
      <c r="AA81" s="311">
        <f t="shared" si="126"/>
        <v>0.17046238785369217</v>
      </c>
      <c r="AB81" s="311">
        <f t="shared" si="126"/>
        <v>-0.10112028301886788</v>
      </c>
      <c r="AC81" s="311">
        <f t="shared" si="126"/>
        <v>0.28468350278779919</v>
      </c>
      <c r="AD81" s="312">
        <f t="shared" ref="AD81:AI81" si="127">AD80/AC80-1</f>
        <v>8.9452636829038035E-2</v>
      </c>
      <c r="AE81" s="312">
        <f t="shared" si="127"/>
        <v>4.0442309877298799E-2</v>
      </c>
      <c r="AF81" s="312">
        <f t="shared" si="127"/>
        <v>3.9904566171803824E-2</v>
      </c>
      <c r="AG81" s="312">
        <f t="shared" si="127"/>
        <v>3.9806319892709663E-2</v>
      </c>
      <c r="AH81" s="312">
        <f t="shared" si="127"/>
        <v>3.9882823052699523E-2</v>
      </c>
      <c r="AI81" s="312">
        <f t="shared" si="127"/>
        <v>4.007951910439167E-2</v>
      </c>
      <c r="AJ81" s="312">
        <f t="shared" ref="AJ81" si="128">AJ80/AI80-1</f>
        <v>4.0351325913098757E-2</v>
      </c>
      <c r="AK81" s="312">
        <f t="shared" ref="AK81:AL81" si="129">AK80/AJ80-1</f>
        <v>4.0659159179786464E-2</v>
      </c>
      <c r="AL81" s="312">
        <f t="shared" si="129"/>
        <v>4.3251955626071981E-2</v>
      </c>
      <c r="AP81" s="312"/>
      <c r="AQ81" s="312"/>
      <c r="AR81" s="312">
        <f>V81</f>
        <v>5.2534012745361736E-2</v>
      </c>
      <c r="AS81" s="312"/>
      <c r="AT81" s="312"/>
      <c r="AU81" s="312">
        <f>W81</f>
        <v>-0.39291571006887505</v>
      </c>
      <c r="AV81" s="312">
        <f>AV80/AS80-1</f>
        <v>-0.24978650725875318</v>
      </c>
      <c r="AW81" s="312">
        <f>AW80/AT80-1</f>
        <v>-0.32915098285236299</v>
      </c>
      <c r="AX81" s="312">
        <f>X81</f>
        <v>-3.6466774716369499E-2</v>
      </c>
      <c r="AY81" s="343">
        <f>AY80/AV80-1</f>
        <v>-6.6021627774615843E-2</v>
      </c>
      <c r="AZ81" s="343">
        <f>AZ80/AW80-1</f>
        <v>-6.2967581047381538E-2</v>
      </c>
      <c r="BA81" s="343">
        <f>Y81</f>
        <v>-0.16119988786094752</v>
      </c>
      <c r="BB81" s="343">
        <f>BB80/AY80-1</f>
        <v>-0.22181596587446684</v>
      </c>
      <c r="BC81" s="343">
        <f>BC80/AZ80-1</f>
        <v>-1.5968063872255467E-2</v>
      </c>
      <c r="BD81" s="343">
        <f>Z81</f>
        <v>-3.14171122994652E-2</v>
      </c>
      <c r="BE81" s="343">
        <f>BE80/BB80-1</f>
        <v>0.25371965544244324</v>
      </c>
      <c r="BF81" s="343">
        <f>BF80/BC80-1</f>
        <v>0.10412440838404335</v>
      </c>
      <c r="BG81" s="312">
        <f t="shared" si="124"/>
        <v>0.17046238785369217</v>
      </c>
      <c r="BH81" s="312">
        <f t="shared" si="124"/>
        <v>-0.10112028301886788</v>
      </c>
      <c r="BI81" s="312">
        <f t="shared" si="124"/>
        <v>0.28468350278779919</v>
      </c>
      <c r="BJ81" s="312">
        <f t="shared" si="124"/>
        <v>8.9452636829038035E-2</v>
      </c>
      <c r="BK81" s="312">
        <f t="shared" si="124"/>
        <v>4.0442309877298799E-2</v>
      </c>
      <c r="BL81" s="312">
        <f t="shared" si="124"/>
        <v>3.9904566171803824E-2</v>
      </c>
      <c r="BM81" s="312">
        <f t="shared" si="124"/>
        <v>3.9806319892709663E-2</v>
      </c>
      <c r="BN81" s="312">
        <f t="shared" si="124"/>
        <v>3.9882823052699523E-2</v>
      </c>
    </row>
    <row r="82" spans="1:69">
      <c r="A82" s="6"/>
      <c r="B82" s="6"/>
      <c r="C82" s="21"/>
      <c r="D82" s="935"/>
      <c r="E82" s="936"/>
      <c r="F82" s="171"/>
      <c r="G82" s="171"/>
      <c r="H82" s="171"/>
      <c r="I82" s="171"/>
      <c r="J82" s="171"/>
      <c r="K82" s="171"/>
      <c r="L82" s="171"/>
      <c r="M82" s="171"/>
      <c r="N82" s="171"/>
      <c r="O82" s="171"/>
      <c r="P82" s="171"/>
      <c r="Q82" s="171"/>
      <c r="R82" s="171"/>
      <c r="S82" s="171"/>
      <c r="T82" s="171"/>
      <c r="U82" s="171"/>
      <c r="V82" s="171"/>
      <c r="W82" s="171"/>
      <c r="X82" s="171"/>
      <c r="Y82" s="171"/>
      <c r="Z82" s="171"/>
      <c r="AA82" s="171"/>
      <c r="AB82" s="171"/>
      <c r="AC82" s="171"/>
      <c r="AD82" s="2"/>
      <c r="AE82" s="2"/>
      <c r="AF82" s="2"/>
      <c r="AG82" s="2"/>
      <c r="AH82" s="2"/>
      <c r="AI82" s="2"/>
      <c r="AJ82" s="2"/>
      <c r="AK82" s="2"/>
      <c r="AL82" s="2"/>
      <c r="AP82" s="2"/>
      <c r="AQ82" s="2"/>
      <c r="AR82" s="2"/>
      <c r="AS82" s="2"/>
      <c r="AT82" s="2"/>
      <c r="AU82" s="2"/>
      <c r="AV82" s="2"/>
      <c r="AW82" s="2"/>
      <c r="AX82" s="2"/>
      <c r="AY82" s="8"/>
      <c r="AZ82" s="8"/>
      <c r="BA82" s="8"/>
      <c r="BB82" s="8"/>
      <c r="BC82" s="8"/>
      <c r="BD82" s="8"/>
      <c r="BE82" s="8"/>
      <c r="BF82" s="8"/>
      <c r="BG82" s="2"/>
      <c r="BH82" s="2"/>
      <c r="BI82" s="2"/>
      <c r="BJ82" s="2"/>
      <c r="BK82" s="2"/>
      <c r="BL82" s="2"/>
      <c r="BM82" s="2"/>
      <c r="BN82" s="2"/>
    </row>
    <row r="83" spans="1:69">
      <c r="A83" s="2"/>
      <c r="B83" s="36" t="s">
        <v>170</v>
      </c>
      <c r="C83" s="18" t="s">
        <v>732</v>
      </c>
      <c r="D83" s="599">
        <v>62</v>
      </c>
      <c r="E83" s="154"/>
      <c r="F83" s="599">
        <v>126</v>
      </c>
      <c r="G83" s="599">
        <v>84</v>
      </c>
      <c r="H83" s="599">
        <v>55</v>
      </c>
      <c r="I83" s="599">
        <v>83</v>
      </c>
      <c r="J83" s="599">
        <v>69</v>
      </c>
      <c r="K83" s="599">
        <v>57</v>
      </c>
      <c r="L83" s="599">
        <v>72</v>
      </c>
      <c r="M83" s="599">
        <v>67</v>
      </c>
      <c r="N83" s="599">
        <v>67</v>
      </c>
      <c r="O83" s="600">
        <v>127</v>
      </c>
      <c r="P83" s="615">
        <v>134</v>
      </c>
      <c r="Q83" s="615">
        <v>158</v>
      </c>
      <c r="R83" s="615">
        <v>156</v>
      </c>
      <c r="S83" s="615">
        <v>157</v>
      </c>
      <c r="T83" s="615">
        <v>86</v>
      </c>
      <c r="U83" s="615">
        <v>138</v>
      </c>
      <c r="V83" s="615">
        <v>218</v>
      </c>
      <c r="W83" s="615">
        <v>238</v>
      </c>
      <c r="X83" s="615">
        <v>274</v>
      </c>
      <c r="Y83" s="615">
        <v>103</v>
      </c>
      <c r="Z83" s="615">
        <v>110</v>
      </c>
      <c r="AA83" s="615">
        <v>101</v>
      </c>
      <c r="AB83" s="615">
        <v>112</v>
      </c>
      <c r="AC83" s="615">
        <v>103</v>
      </c>
      <c r="AD83" s="465">
        <f>+'Cost + BS Assumptions'!AD142</f>
        <v>120</v>
      </c>
      <c r="AE83" s="465">
        <f>+'Cost + BS Assumptions'!AE142</f>
        <v>120</v>
      </c>
      <c r="AF83" s="465">
        <f>+'Cost + BS Assumptions'!AF142</f>
        <v>120</v>
      </c>
      <c r="AG83" s="465">
        <f>+'Cost + BS Assumptions'!AG142</f>
        <v>120</v>
      </c>
      <c r="AH83" s="465">
        <f>+'Cost + BS Assumptions'!AH142</f>
        <v>120</v>
      </c>
      <c r="AI83" s="465">
        <f>+'Cost + BS Assumptions'!AI142</f>
        <v>120</v>
      </c>
      <c r="AJ83" s="465">
        <f>+'Cost + BS Assumptions'!AJ142</f>
        <v>120</v>
      </c>
      <c r="AK83" s="465">
        <f>+'Cost + BS Assumptions'!AK142</f>
        <v>120</v>
      </c>
      <c r="AL83" s="465">
        <f>+'Cost + BS Assumptions'!AL142</f>
        <v>120</v>
      </c>
      <c r="AP83" s="615"/>
      <c r="AQ83" s="254"/>
      <c r="AR83" s="254">
        <f>V83</f>
        <v>218</v>
      </c>
      <c r="AS83" s="615"/>
      <c r="AT83" s="254"/>
      <c r="AU83" s="254">
        <f>W83</f>
        <v>238</v>
      </c>
      <c r="AV83" s="615"/>
      <c r="AW83" s="254"/>
      <c r="AX83" s="254">
        <f>X83</f>
        <v>274</v>
      </c>
      <c r="AY83" s="615"/>
      <c r="AZ83" s="425"/>
      <c r="BA83" s="425">
        <f t="shared" ref="BA83:BA91" si="130">Y83</f>
        <v>103</v>
      </c>
      <c r="BB83" s="615"/>
      <c r="BC83" s="425"/>
      <c r="BD83" s="425">
        <f t="shared" ref="BD83:BD91" si="131">Z83</f>
        <v>110</v>
      </c>
      <c r="BE83" s="615"/>
      <c r="BF83" s="425"/>
      <c r="BG83" s="254">
        <f t="shared" ref="BG83:BG91" si="132">AA83</f>
        <v>101</v>
      </c>
      <c r="BH83" s="254">
        <f t="shared" ref="BH83:BH91" si="133">AB83</f>
        <v>112</v>
      </c>
      <c r="BI83" s="254">
        <f t="shared" ref="BI83:BI91" si="134">AC83</f>
        <v>103</v>
      </c>
      <c r="BJ83" s="254">
        <f t="shared" ref="BJ83:BJ91" si="135">AD83</f>
        <v>120</v>
      </c>
      <c r="BK83" s="254">
        <f t="shared" ref="BK83:BK91" si="136">AE83</f>
        <v>120</v>
      </c>
      <c r="BL83" s="254">
        <f t="shared" ref="BL83:BL91" si="137">AF83</f>
        <v>120</v>
      </c>
      <c r="BM83" s="254">
        <f t="shared" ref="BM83:BM91" si="138">AG83</f>
        <v>120</v>
      </c>
      <c r="BN83" s="254">
        <f t="shared" ref="BN83:BN91" si="139">AH83</f>
        <v>120</v>
      </c>
    </row>
    <row r="84" spans="1:69">
      <c r="A84" s="2"/>
      <c r="B84" s="36" t="s">
        <v>171</v>
      </c>
      <c r="C84" s="18" t="s">
        <v>732</v>
      </c>
      <c r="D84" s="599">
        <v>-630</v>
      </c>
      <c r="E84" s="154"/>
      <c r="F84" s="599">
        <v>-896</v>
      </c>
      <c r="G84" s="599">
        <v>-879</v>
      </c>
      <c r="H84" s="599">
        <v>-767</v>
      </c>
      <c r="I84" s="599">
        <v>-963</v>
      </c>
      <c r="J84" s="599">
        <v>-1002</v>
      </c>
      <c r="K84" s="599">
        <v>-1144</v>
      </c>
      <c r="L84" s="599">
        <v>-1158</v>
      </c>
      <c r="M84" s="599">
        <v>-967</v>
      </c>
      <c r="N84" s="599">
        <v>-1030</v>
      </c>
      <c r="O84" s="600">
        <v>-1262</v>
      </c>
      <c r="P84" s="600">
        <v>-1022</v>
      </c>
      <c r="Q84" s="615">
        <f>-(1005+12+50)</f>
        <v>-1067</v>
      </c>
      <c r="R84" s="615">
        <v>-1113</v>
      </c>
      <c r="S84" s="615">
        <v>-846</v>
      </c>
      <c r="T84" s="615">
        <v>-796</v>
      </c>
      <c r="U84" s="615">
        <f>-832-1+81+23</f>
        <v>-729</v>
      </c>
      <c r="V84" s="615">
        <v>-806</v>
      </c>
      <c r="W84" s="615">
        <v>-932</v>
      </c>
      <c r="X84" s="615">
        <v>-1045</v>
      </c>
      <c r="Y84" s="615">
        <v>-654</v>
      </c>
      <c r="Z84" s="615">
        <v>-527</v>
      </c>
      <c r="AA84" s="615">
        <v>-630</v>
      </c>
      <c r="AB84" s="615">
        <v>-696</v>
      </c>
      <c r="AC84" s="615">
        <v>-742</v>
      </c>
      <c r="AD84" s="465">
        <f>+'Cost + BS Assumptions'!AD143+'Cost + BS Assumptions'!AD145</f>
        <v>-753.90000000000009</v>
      </c>
      <c r="AE84" s="465">
        <f>+'Cost + BS Assumptions'!AE143+'Cost + BS Assumptions'!AE145</f>
        <v>-783.90000000000009</v>
      </c>
      <c r="AF84" s="465">
        <f>+'Cost + BS Assumptions'!AF143+'Cost + BS Assumptions'!AF145</f>
        <v>-813.90000000000009</v>
      </c>
      <c r="AG84" s="465">
        <f>+'Cost + BS Assumptions'!AG143+'Cost + BS Assumptions'!AG145</f>
        <v>-843.90000000000009</v>
      </c>
      <c r="AH84" s="465">
        <f>+'Cost + BS Assumptions'!AH143+'Cost + BS Assumptions'!AH145</f>
        <v>-873.90000000000009</v>
      </c>
      <c r="AI84" s="465">
        <f>+'Cost + BS Assumptions'!AI143+'Cost + BS Assumptions'!AI145</f>
        <v>-903.90000000000009</v>
      </c>
      <c r="AJ84" s="465">
        <f>+'Cost + BS Assumptions'!AJ143+'Cost + BS Assumptions'!AJ145</f>
        <v>-933.90000000000009</v>
      </c>
      <c r="AK84" s="465">
        <f>+'Cost + BS Assumptions'!AK143+'Cost + BS Assumptions'!AK145</f>
        <v>-963.90000000000009</v>
      </c>
      <c r="AL84" s="465">
        <f>+'Cost + BS Assumptions'!AL143+'Cost + BS Assumptions'!AL145</f>
        <v>-993.90000000000009</v>
      </c>
      <c r="AP84" s="615"/>
      <c r="AQ84" s="254"/>
      <c r="AR84" s="254">
        <f>V84</f>
        <v>-806</v>
      </c>
      <c r="AS84" s="615"/>
      <c r="AT84" s="254"/>
      <c r="AU84" s="254">
        <f>W84</f>
        <v>-932</v>
      </c>
      <c r="AV84" s="615"/>
      <c r="AW84" s="254"/>
      <c r="AX84" s="254">
        <f>X84</f>
        <v>-1045</v>
      </c>
      <c r="AY84" s="615"/>
      <c r="AZ84" s="425"/>
      <c r="BA84" s="425">
        <f t="shared" si="130"/>
        <v>-654</v>
      </c>
      <c r="BB84" s="615"/>
      <c r="BC84" s="425"/>
      <c r="BD84" s="425">
        <f t="shared" si="131"/>
        <v>-527</v>
      </c>
      <c r="BE84" s="615"/>
      <c r="BF84" s="425"/>
      <c r="BG84" s="254">
        <f t="shared" si="132"/>
        <v>-630</v>
      </c>
      <c r="BH84" s="254">
        <f t="shared" si="133"/>
        <v>-696</v>
      </c>
      <c r="BI84" s="254">
        <f t="shared" si="134"/>
        <v>-742</v>
      </c>
      <c r="BJ84" s="254">
        <f t="shared" si="135"/>
        <v>-753.90000000000009</v>
      </c>
      <c r="BK84" s="254">
        <f t="shared" si="136"/>
        <v>-783.90000000000009</v>
      </c>
      <c r="BL84" s="254">
        <f t="shared" si="137"/>
        <v>-813.90000000000009</v>
      </c>
      <c r="BM84" s="254">
        <f t="shared" si="138"/>
        <v>-843.90000000000009</v>
      </c>
      <c r="BN84" s="254">
        <f t="shared" si="139"/>
        <v>-873.90000000000009</v>
      </c>
    </row>
    <row r="85" spans="1:69">
      <c r="A85" s="2"/>
      <c r="B85" s="36" t="s">
        <v>747</v>
      </c>
      <c r="C85" s="18" t="s">
        <v>732</v>
      </c>
      <c r="D85" s="937">
        <f>SUM(D83:D84)</f>
        <v>-568</v>
      </c>
      <c r="E85" s="599">
        <v>-666</v>
      </c>
      <c r="F85" s="937">
        <f>SUM(F83:F84)</f>
        <v>-770</v>
      </c>
      <c r="G85" s="937">
        <f>SUM(G83:G84)</f>
        <v>-795</v>
      </c>
      <c r="H85" s="937">
        <f>SUM(H83:H84)</f>
        <v>-712</v>
      </c>
      <c r="I85" s="937">
        <f>SUM(I83:I84)</f>
        <v>-880</v>
      </c>
      <c r="J85" s="937">
        <f>SUM(J83:J84)</f>
        <v>-933</v>
      </c>
      <c r="K85" s="937">
        <f t="shared" ref="K85:AH85" si="140">K83+K84</f>
        <v>-1087</v>
      </c>
      <c r="L85" s="937">
        <f t="shared" si="140"/>
        <v>-1086</v>
      </c>
      <c r="M85" s="937">
        <f t="shared" si="140"/>
        <v>-900</v>
      </c>
      <c r="N85" s="937">
        <f t="shared" si="140"/>
        <v>-963</v>
      </c>
      <c r="O85" s="253">
        <f t="shared" si="140"/>
        <v>-1135</v>
      </c>
      <c r="P85" s="253">
        <f t="shared" si="140"/>
        <v>-888</v>
      </c>
      <c r="Q85" s="253">
        <f t="shared" si="140"/>
        <v>-909</v>
      </c>
      <c r="R85" s="253">
        <f t="shared" si="140"/>
        <v>-957</v>
      </c>
      <c r="S85" s="253">
        <f t="shared" si="140"/>
        <v>-689</v>
      </c>
      <c r="T85" s="253">
        <f t="shared" si="140"/>
        <v>-710</v>
      </c>
      <c r="U85" s="253">
        <f t="shared" si="140"/>
        <v>-591</v>
      </c>
      <c r="V85" s="253">
        <f t="shared" si="140"/>
        <v>-588</v>
      </c>
      <c r="W85" s="253">
        <f t="shared" si="140"/>
        <v>-694</v>
      </c>
      <c r="X85" s="253">
        <f t="shared" si="140"/>
        <v>-771</v>
      </c>
      <c r="Y85" s="253">
        <f>Y83+Y84</f>
        <v>-551</v>
      </c>
      <c r="Z85" s="253">
        <f>Z83+Z84</f>
        <v>-417</v>
      </c>
      <c r="AA85" s="253">
        <f>AA83+AA84</f>
        <v>-529</v>
      </c>
      <c r="AB85" s="253">
        <f>AB83+AB84</f>
        <v>-584</v>
      </c>
      <c r="AC85" s="253">
        <f>AC83+AC84</f>
        <v>-639</v>
      </c>
      <c r="AD85" s="938">
        <f t="shared" si="140"/>
        <v>-633.90000000000009</v>
      </c>
      <c r="AE85" s="938">
        <f t="shared" si="140"/>
        <v>-663.90000000000009</v>
      </c>
      <c r="AF85" s="938">
        <f t="shared" si="140"/>
        <v>-693.90000000000009</v>
      </c>
      <c r="AG85" s="938">
        <f t="shared" si="140"/>
        <v>-723.90000000000009</v>
      </c>
      <c r="AH85" s="938">
        <f t="shared" si="140"/>
        <v>-753.90000000000009</v>
      </c>
      <c r="AI85" s="938">
        <f>AI83+AI84</f>
        <v>-783.90000000000009</v>
      </c>
      <c r="AJ85" s="938">
        <f t="shared" ref="AJ85:AK85" si="141">AJ83+AJ84</f>
        <v>-813.90000000000009</v>
      </c>
      <c r="AK85" s="938">
        <f t="shared" si="141"/>
        <v>-843.90000000000009</v>
      </c>
      <c r="AL85" s="938">
        <f t="shared" ref="AL85" si="142">AL83+AL84</f>
        <v>-873.90000000000009</v>
      </c>
      <c r="AP85" s="615">
        <v>-296</v>
      </c>
      <c r="AQ85" s="254">
        <f>+AR85-AP85</f>
        <v>-292</v>
      </c>
      <c r="AR85" s="254">
        <f t="shared" ref="AR85:AR91" si="143">V85</f>
        <v>-588</v>
      </c>
      <c r="AS85" s="615">
        <v>-320</v>
      </c>
      <c r="AT85" s="254">
        <f>+AU85-AS85</f>
        <v>-374</v>
      </c>
      <c r="AU85" s="254">
        <f t="shared" ref="AU85:AU91" si="144">W85</f>
        <v>-694</v>
      </c>
      <c r="AV85" s="615">
        <v>-375</v>
      </c>
      <c r="AW85" s="254">
        <f>+AX85-AV85</f>
        <v>-396</v>
      </c>
      <c r="AX85" s="254">
        <f t="shared" ref="AX85:AX91" si="145">X85</f>
        <v>-771</v>
      </c>
      <c r="AY85" s="615">
        <v>-307</v>
      </c>
      <c r="AZ85" s="425">
        <f>+BA85-AY85</f>
        <v>-244</v>
      </c>
      <c r="BA85" s="425">
        <f t="shared" si="130"/>
        <v>-551</v>
      </c>
      <c r="BB85" s="615">
        <v>-238</v>
      </c>
      <c r="BC85" s="425">
        <f>+BD85-BB85</f>
        <v>-179</v>
      </c>
      <c r="BD85" s="425">
        <f t="shared" si="131"/>
        <v>-417</v>
      </c>
      <c r="BE85" s="615">
        <v>-252</v>
      </c>
      <c r="BF85" s="425">
        <f>+BG85-BE85</f>
        <v>-277</v>
      </c>
      <c r="BG85" s="254">
        <f t="shared" si="132"/>
        <v>-529</v>
      </c>
      <c r="BH85" s="254">
        <f t="shared" si="133"/>
        <v>-584</v>
      </c>
      <c r="BI85" s="254">
        <f t="shared" si="134"/>
        <v>-639</v>
      </c>
      <c r="BJ85" s="254">
        <f t="shared" si="135"/>
        <v>-633.90000000000009</v>
      </c>
      <c r="BK85" s="254">
        <f t="shared" si="136"/>
        <v>-663.90000000000009</v>
      </c>
      <c r="BL85" s="254">
        <f t="shared" si="137"/>
        <v>-693.90000000000009</v>
      </c>
      <c r="BM85" s="254">
        <f t="shared" si="138"/>
        <v>-723.90000000000009</v>
      </c>
      <c r="BN85" s="254">
        <f t="shared" si="139"/>
        <v>-753.90000000000009</v>
      </c>
    </row>
    <row r="86" spans="1:69">
      <c r="A86" s="6"/>
      <c r="B86" s="6" t="s">
        <v>16</v>
      </c>
      <c r="C86" s="21" t="s">
        <v>732</v>
      </c>
      <c r="D86" s="939">
        <f t="shared" ref="D86:AH86" si="146">D80+D85</f>
        <v>5349</v>
      </c>
      <c r="E86" s="939">
        <f t="shared" si="146"/>
        <v>6297</v>
      </c>
      <c r="F86" s="939">
        <f t="shared" si="146"/>
        <v>5446</v>
      </c>
      <c r="G86" s="939">
        <f t="shared" si="146"/>
        <v>4928</v>
      </c>
      <c r="H86" s="939">
        <f t="shared" si="146"/>
        <v>5848</v>
      </c>
      <c r="I86" s="939">
        <f t="shared" si="146"/>
        <v>6054.9999999999982</v>
      </c>
      <c r="J86" s="939">
        <f t="shared" si="146"/>
        <v>4564</v>
      </c>
      <c r="K86" s="939">
        <f t="shared" si="146"/>
        <v>4691.9999999999982</v>
      </c>
      <c r="L86" s="939">
        <f t="shared" si="146"/>
        <v>5140</v>
      </c>
      <c r="M86" s="939">
        <f t="shared" si="146"/>
        <v>5658</v>
      </c>
      <c r="N86" s="939">
        <f t="shared" si="146"/>
        <v>5538</v>
      </c>
      <c r="O86" s="924">
        <f t="shared" si="146"/>
        <v>4557</v>
      </c>
      <c r="P86" s="924">
        <f t="shared" si="146"/>
        <v>5020.8172878999994</v>
      </c>
      <c r="Q86" s="924">
        <f t="shared" si="146"/>
        <v>5588.105465133809</v>
      </c>
      <c r="R86" s="924">
        <f t="shared" si="146"/>
        <v>6238</v>
      </c>
      <c r="S86" s="924">
        <f t="shared" si="146"/>
        <v>5870</v>
      </c>
      <c r="T86" s="924">
        <f t="shared" si="146"/>
        <v>5593.8976000000002</v>
      </c>
      <c r="U86" s="924">
        <f t="shared" si="146"/>
        <v>5202.6370000000006</v>
      </c>
      <c r="V86" s="924">
        <f t="shared" si="146"/>
        <v>5510</v>
      </c>
      <c r="W86" s="924">
        <f t="shared" si="146"/>
        <v>3008</v>
      </c>
      <c r="X86" s="924">
        <f t="shared" si="146"/>
        <v>2796</v>
      </c>
      <c r="Y86" s="924">
        <f>Y80+Y85</f>
        <v>2441</v>
      </c>
      <c r="Z86" s="924">
        <f>Z80+Z85</f>
        <v>2481</v>
      </c>
      <c r="AA86" s="924">
        <f>AA80+AA85</f>
        <v>2863</v>
      </c>
      <c r="AB86" s="924">
        <f>AB80+AB85</f>
        <v>2465</v>
      </c>
      <c r="AC86" s="924">
        <f>AC80+AC85</f>
        <v>3278</v>
      </c>
      <c r="AD86" s="940">
        <f t="shared" si="146"/>
        <v>3633.4859784593423</v>
      </c>
      <c r="AE86" s="940">
        <f t="shared" si="146"/>
        <v>3776.0689245662347</v>
      </c>
      <c r="AF86" s="940">
        <f t="shared" si="146"/>
        <v>3923.2439583173405</v>
      </c>
      <c r="AG86" s="940">
        <f t="shared" si="146"/>
        <v>4077.0354677128121</v>
      </c>
      <c r="AH86" s="940">
        <f t="shared" si="146"/>
        <v>4238.510327459031</v>
      </c>
      <c r="AI86" s="940">
        <f>AI80+AI85</f>
        <v>4408.603732555388</v>
      </c>
      <c r="AJ86" s="940">
        <f t="shared" ref="AJ86:AK86" si="147">AJ80+AJ85</f>
        <v>4588.1281429727114</v>
      </c>
      <c r="AK86" s="940">
        <f t="shared" si="147"/>
        <v>4777.7700651315263</v>
      </c>
      <c r="AL86" s="940">
        <f t="shared" ref="AL86" si="148">AL80+AL85</f>
        <v>4990.9182893330126</v>
      </c>
      <c r="AP86" s="259">
        <f>AP80+AP85</f>
        <v>2918</v>
      </c>
      <c r="AQ86" s="259">
        <f>AQ80+AQ85</f>
        <v>2592</v>
      </c>
      <c r="AR86" s="259">
        <f t="shared" si="143"/>
        <v>5510</v>
      </c>
      <c r="AS86" s="259">
        <f>AS80+AS85</f>
        <v>2022</v>
      </c>
      <c r="AT86" s="259">
        <f>AT80+AT85</f>
        <v>2017</v>
      </c>
      <c r="AU86" s="259">
        <f t="shared" si="144"/>
        <v>3008</v>
      </c>
      <c r="AV86" s="259">
        <f>AV80+AV85</f>
        <v>1382</v>
      </c>
      <c r="AW86" s="259">
        <f>AW80+AW85</f>
        <v>1208</v>
      </c>
      <c r="AX86" s="259">
        <f t="shared" si="145"/>
        <v>2796</v>
      </c>
      <c r="AY86" s="404">
        <f>AY80+AY85</f>
        <v>1334</v>
      </c>
      <c r="AZ86" s="404">
        <f>AZ80+AZ85</f>
        <v>1259</v>
      </c>
      <c r="BA86" s="404">
        <f t="shared" si="130"/>
        <v>2441</v>
      </c>
      <c r="BB86" s="404">
        <f>BB80+BB85</f>
        <v>1039</v>
      </c>
      <c r="BC86" s="404">
        <f>BC80+BC85</f>
        <v>1300</v>
      </c>
      <c r="BD86" s="404">
        <f t="shared" si="131"/>
        <v>2481</v>
      </c>
      <c r="BE86" s="404">
        <f>BE80+BE85</f>
        <v>1349</v>
      </c>
      <c r="BF86" s="404">
        <f>BF80+BF85</f>
        <v>1356</v>
      </c>
      <c r="BG86" s="259">
        <f t="shared" si="132"/>
        <v>2863</v>
      </c>
      <c r="BH86" s="259">
        <f t="shared" si="133"/>
        <v>2465</v>
      </c>
      <c r="BI86" s="259">
        <f t="shared" si="134"/>
        <v>3278</v>
      </c>
      <c r="BJ86" s="259">
        <f t="shared" si="135"/>
        <v>3633.4859784593423</v>
      </c>
      <c r="BK86" s="259">
        <f t="shared" si="136"/>
        <v>3776.0689245662347</v>
      </c>
      <c r="BL86" s="259">
        <f t="shared" si="137"/>
        <v>3923.2439583173405</v>
      </c>
      <c r="BM86" s="259">
        <f t="shared" si="138"/>
        <v>4077.0354677128121</v>
      </c>
      <c r="BN86" s="259">
        <f t="shared" si="139"/>
        <v>4238.510327459031</v>
      </c>
    </row>
    <row r="87" spans="1:69">
      <c r="A87" s="2"/>
      <c r="B87" s="36" t="s">
        <v>381</v>
      </c>
      <c r="C87" s="18" t="s">
        <v>732</v>
      </c>
      <c r="D87" s="599">
        <v>-1676</v>
      </c>
      <c r="E87" s="599">
        <v>-2236</v>
      </c>
      <c r="F87" s="599">
        <v>-1796</v>
      </c>
      <c r="G87" s="599">
        <v>-1534</v>
      </c>
      <c r="H87" s="599">
        <v>-1731</v>
      </c>
      <c r="I87" s="599">
        <v>-1746</v>
      </c>
      <c r="J87" s="599">
        <v>-1381</v>
      </c>
      <c r="K87" s="599">
        <v>-1417</v>
      </c>
      <c r="L87" s="599">
        <v>-1429</v>
      </c>
      <c r="M87" s="599">
        <v>-1582</v>
      </c>
      <c r="N87" s="599">
        <v>-1598</v>
      </c>
      <c r="O87" s="600">
        <v>-1307</v>
      </c>
      <c r="P87" s="615">
        <v>-1510</v>
      </c>
      <c r="Q87" s="615">
        <v>-1617</v>
      </c>
      <c r="R87" s="615">
        <v>-1680</v>
      </c>
      <c r="S87" s="615">
        <v>-1787</v>
      </c>
      <c r="T87" s="615">
        <v>-1768</v>
      </c>
      <c r="U87" s="615">
        <v>-1773</v>
      </c>
      <c r="V87" s="615">
        <v>-1582</v>
      </c>
      <c r="W87" s="615">
        <v>-903</v>
      </c>
      <c r="X87" s="615">
        <v>-957</v>
      </c>
      <c r="Y87" s="615">
        <v>-539</v>
      </c>
      <c r="Z87" s="615">
        <v>-667</v>
      </c>
      <c r="AA87" s="615">
        <v>-812</v>
      </c>
      <c r="AB87" s="615">
        <v>-677</v>
      </c>
      <c r="AC87" s="615">
        <v>-934</v>
      </c>
      <c r="AD87" s="254">
        <f>AD86*-'Cost + BS Assumptions'!AD153</f>
        <v>-1035.2885612815819</v>
      </c>
      <c r="AE87" s="254">
        <f>AE86*-'Cost + BS Assumptions'!AE153</f>
        <v>-1075.914696627475</v>
      </c>
      <c r="AF87" s="254">
        <f>AF86*-'Cost + BS Assumptions'!AF153</f>
        <v>-1117.8492547493581</v>
      </c>
      <c r="AG87" s="254">
        <f>AG86*-'Cost + BS Assumptions'!AG153</f>
        <v>-1161.6690441866278</v>
      </c>
      <c r="AH87" s="254">
        <f>AH86*-'Cost + BS Assumptions'!AH153</f>
        <v>-1207.6780493736226</v>
      </c>
      <c r="AI87" s="254">
        <f>AI86*-'Cost + BS Assumptions'!AI153</f>
        <v>-1256.1427352674596</v>
      </c>
      <c r="AJ87" s="254">
        <f>AJ86*-'Cost + BS Assumptions'!AJ153</f>
        <v>-1307.2945959537865</v>
      </c>
      <c r="AK87" s="254">
        <f>AK86*-'Cost + BS Assumptions'!AK153</f>
        <v>-1361.3292375939125</v>
      </c>
      <c r="AL87" s="254">
        <f>AL86*-'Cost + BS Assumptions'!AL153</f>
        <v>-1422.0615260027557</v>
      </c>
      <c r="AM87" s="1165"/>
      <c r="AP87" s="615">
        <v>-889</v>
      </c>
      <c r="AQ87" s="254">
        <f>+AR87-AP87</f>
        <v>-693</v>
      </c>
      <c r="AR87" s="254">
        <f t="shared" si="143"/>
        <v>-1582</v>
      </c>
      <c r="AS87" s="615">
        <v>-569</v>
      </c>
      <c r="AT87" s="254">
        <f>+AU87-AS87</f>
        <v>-334</v>
      </c>
      <c r="AU87" s="254">
        <f t="shared" si="144"/>
        <v>-903</v>
      </c>
      <c r="AV87" s="615">
        <v>-526</v>
      </c>
      <c r="AW87" s="254">
        <f>+AX87-AV87</f>
        <v>-431</v>
      </c>
      <c r="AX87" s="254">
        <f t="shared" si="145"/>
        <v>-957</v>
      </c>
      <c r="AY87" s="615">
        <v>-209</v>
      </c>
      <c r="AZ87" s="425">
        <f>+BA87-AY87</f>
        <v>-330</v>
      </c>
      <c r="BA87" s="425">
        <f t="shared" si="130"/>
        <v>-539</v>
      </c>
      <c r="BB87" s="615">
        <v>-296</v>
      </c>
      <c r="BC87" s="425">
        <f>+BD87-BB87</f>
        <v>-371</v>
      </c>
      <c r="BD87" s="425">
        <f t="shared" si="131"/>
        <v>-667</v>
      </c>
      <c r="BE87" s="615">
        <v>-415</v>
      </c>
      <c r="BF87" s="425">
        <f>+BG87-BE87</f>
        <v>-397</v>
      </c>
      <c r="BG87" s="254">
        <f t="shared" si="132"/>
        <v>-812</v>
      </c>
      <c r="BH87" s="254">
        <f t="shared" si="133"/>
        <v>-677</v>
      </c>
      <c r="BI87" s="254">
        <f t="shared" si="134"/>
        <v>-934</v>
      </c>
      <c r="BJ87" s="254">
        <f t="shared" si="135"/>
        <v>-1035.2885612815819</v>
      </c>
      <c r="BK87" s="254">
        <f t="shared" si="136"/>
        <v>-1075.914696627475</v>
      </c>
      <c r="BL87" s="254">
        <f t="shared" si="137"/>
        <v>-1117.8492547493581</v>
      </c>
      <c r="BM87" s="254">
        <f t="shared" si="138"/>
        <v>-1161.6690441866278</v>
      </c>
      <c r="BN87" s="254">
        <f t="shared" si="139"/>
        <v>-1207.6780493736226</v>
      </c>
    </row>
    <row r="88" spans="1:69">
      <c r="A88" s="6"/>
      <c r="B88" s="6" t="s">
        <v>348</v>
      </c>
      <c r="C88" s="21" t="s">
        <v>732</v>
      </c>
      <c r="D88" s="939">
        <f t="shared" ref="D88:AH88" si="149">D86+D87</f>
        <v>3673</v>
      </c>
      <c r="E88" s="939">
        <f t="shared" si="149"/>
        <v>4061</v>
      </c>
      <c r="F88" s="939">
        <f t="shared" si="149"/>
        <v>3650</v>
      </c>
      <c r="G88" s="939">
        <f t="shared" si="149"/>
        <v>3394</v>
      </c>
      <c r="H88" s="939">
        <f t="shared" si="149"/>
        <v>4117</v>
      </c>
      <c r="I88" s="939">
        <f t="shared" si="149"/>
        <v>4308.9999999999982</v>
      </c>
      <c r="J88" s="939">
        <f t="shared" si="149"/>
        <v>3183</v>
      </c>
      <c r="K88" s="939">
        <f t="shared" si="149"/>
        <v>3274.9999999999982</v>
      </c>
      <c r="L88" s="939">
        <f t="shared" si="149"/>
        <v>3711</v>
      </c>
      <c r="M88" s="939">
        <f t="shared" si="149"/>
        <v>4076</v>
      </c>
      <c r="N88" s="939">
        <f t="shared" si="149"/>
        <v>3940</v>
      </c>
      <c r="O88" s="924">
        <f t="shared" si="149"/>
        <v>3250</v>
      </c>
      <c r="P88" s="924">
        <f t="shared" si="149"/>
        <v>3510.8172878999994</v>
      </c>
      <c r="Q88" s="924">
        <f t="shared" si="149"/>
        <v>3971.105465133809</v>
      </c>
      <c r="R88" s="924">
        <f t="shared" si="149"/>
        <v>4558</v>
      </c>
      <c r="S88" s="924">
        <f t="shared" si="149"/>
        <v>4083</v>
      </c>
      <c r="T88" s="924">
        <f t="shared" si="149"/>
        <v>3825.8976000000002</v>
      </c>
      <c r="U88" s="924">
        <f t="shared" si="149"/>
        <v>3429.6370000000006</v>
      </c>
      <c r="V88" s="924">
        <f t="shared" si="149"/>
        <v>3928</v>
      </c>
      <c r="W88" s="924">
        <f t="shared" si="149"/>
        <v>2105</v>
      </c>
      <c r="X88" s="924">
        <f t="shared" si="149"/>
        <v>1839</v>
      </c>
      <c r="Y88" s="924">
        <f>Y86+Y87</f>
        <v>1902</v>
      </c>
      <c r="Z88" s="924">
        <f>Z86+Z87</f>
        <v>1814</v>
      </c>
      <c r="AA88" s="924">
        <f>AA86+AA87</f>
        <v>2051</v>
      </c>
      <c r="AB88" s="924">
        <f>AB86+AB87</f>
        <v>1788</v>
      </c>
      <c r="AC88" s="924">
        <f>AC86+AC87</f>
        <v>2344</v>
      </c>
      <c r="AD88" s="940">
        <f t="shared" si="149"/>
        <v>2598.1974171777601</v>
      </c>
      <c r="AE88" s="940">
        <f t="shared" si="149"/>
        <v>2700.1542279387595</v>
      </c>
      <c r="AF88" s="940">
        <f t="shared" si="149"/>
        <v>2805.3947035679821</v>
      </c>
      <c r="AG88" s="940">
        <f t="shared" si="149"/>
        <v>2915.366423526184</v>
      </c>
      <c r="AH88" s="940">
        <f t="shared" si="149"/>
        <v>3030.8322780854087</v>
      </c>
      <c r="AI88" s="940">
        <f>AI86+AI87</f>
        <v>3152.4609972879284</v>
      </c>
      <c r="AJ88" s="940">
        <f t="shared" ref="AJ88:AK88" si="150">AJ86+AJ87</f>
        <v>3280.8335470189249</v>
      </c>
      <c r="AK88" s="940">
        <f t="shared" si="150"/>
        <v>3416.4408275376136</v>
      </c>
      <c r="AL88" s="940">
        <f t="shared" ref="AL88" si="151">AL86+AL87</f>
        <v>3568.8567633302569</v>
      </c>
      <c r="AP88" s="259">
        <f>AP86+AP87</f>
        <v>2029</v>
      </c>
      <c r="AQ88" s="259">
        <f>AQ86+AQ87</f>
        <v>1899</v>
      </c>
      <c r="AR88" s="259">
        <f t="shared" si="143"/>
        <v>3928</v>
      </c>
      <c r="AS88" s="259">
        <f>AS86+AS87</f>
        <v>1453</v>
      </c>
      <c r="AT88" s="259">
        <f>AT86+AT87</f>
        <v>1683</v>
      </c>
      <c r="AU88" s="259">
        <f t="shared" si="144"/>
        <v>2105</v>
      </c>
      <c r="AV88" s="259">
        <f>AV86+AV87</f>
        <v>856</v>
      </c>
      <c r="AW88" s="259">
        <f>AW86+AW87</f>
        <v>777</v>
      </c>
      <c r="AX88" s="259">
        <f t="shared" si="145"/>
        <v>1839</v>
      </c>
      <c r="AY88" s="404">
        <f>AY86+AY87</f>
        <v>1125</v>
      </c>
      <c r="AZ88" s="404">
        <f>AZ86+AZ87</f>
        <v>929</v>
      </c>
      <c r="BA88" s="404">
        <f t="shared" si="130"/>
        <v>1902</v>
      </c>
      <c r="BB88" s="404">
        <f>BB86+BB87</f>
        <v>743</v>
      </c>
      <c r="BC88" s="404">
        <f>BC86+BC87</f>
        <v>929</v>
      </c>
      <c r="BD88" s="404">
        <f t="shared" si="131"/>
        <v>1814</v>
      </c>
      <c r="BE88" s="404">
        <f>BE86+BE87</f>
        <v>934</v>
      </c>
      <c r="BF88" s="404">
        <f>BF86+BF87</f>
        <v>959</v>
      </c>
      <c r="BG88" s="259">
        <f t="shared" si="132"/>
        <v>2051</v>
      </c>
      <c r="BH88" s="259">
        <f t="shared" si="133"/>
        <v>1788</v>
      </c>
      <c r="BI88" s="259">
        <f t="shared" si="134"/>
        <v>2344</v>
      </c>
      <c r="BJ88" s="259">
        <f t="shared" si="135"/>
        <v>2598.1974171777601</v>
      </c>
      <c r="BK88" s="259">
        <f t="shared" si="136"/>
        <v>2700.1542279387595</v>
      </c>
      <c r="BL88" s="259">
        <f t="shared" si="137"/>
        <v>2805.3947035679821</v>
      </c>
      <c r="BM88" s="259">
        <f t="shared" si="138"/>
        <v>2915.366423526184</v>
      </c>
      <c r="BN88" s="259">
        <f t="shared" si="139"/>
        <v>3030.8322780854087</v>
      </c>
    </row>
    <row r="89" spans="1:69">
      <c r="A89" s="2"/>
      <c r="B89" s="20" t="s">
        <v>542</v>
      </c>
      <c r="C89" s="18" t="s">
        <v>732</v>
      </c>
      <c r="D89" s="79"/>
      <c r="E89" s="79"/>
      <c r="F89" s="79"/>
      <c r="G89" s="79"/>
      <c r="H89" s="79"/>
      <c r="I89" s="79"/>
      <c r="J89" s="79"/>
      <c r="K89" s="79"/>
      <c r="L89" s="79"/>
      <c r="M89" s="79"/>
      <c r="N89" s="79"/>
      <c r="O89" s="255"/>
      <c r="P89" s="615">
        <v>0</v>
      </c>
      <c r="Q89" s="253">
        <f t="shared" ref="Q89:Y89" si="152">P89</f>
        <v>0</v>
      </c>
      <c r="R89" s="253">
        <f t="shared" si="152"/>
        <v>0</v>
      </c>
      <c r="S89" s="600">
        <f t="shared" si="152"/>
        <v>0</v>
      </c>
      <c r="T89" s="600">
        <f t="shared" si="152"/>
        <v>0</v>
      </c>
      <c r="U89" s="600">
        <f t="shared" si="152"/>
        <v>0</v>
      </c>
      <c r="V89" s="600">
        <f t="shared" si="152"/>
        <v>0</v>
      </c>
      <c r="W89" s="600">
        <f t="shared" si="152"/>
        <v>0</v>
      </c>
      <c r="X89" s="600">
        <f t="shared" si="152"/>
        <v>0</v>
      </c>
      <c r="Y89" s="600">
        <f t="shared" si="152"/>
        <v>0</v>
      </c>
      <c r="Z89" s="600">
        <f>Y89</f>
        <v>0</v>
      </c>
      <c r="AA89" s="600">
        <f>Z89</f>
        <v>0</v>
      </c>
      <c r="AB89" s="600">
        <v>-10</v>
      </c>
      <c r="AC89" s="600">
        <v>0</v>
      </c>
      <c r="AD89" s="254">
        <f t="shared" ref="AD89:AI89" si="153">AC89</f>
        <v>0</v>
      </c>
      <c r="AE89" s="254">
        <f t="shared" si="153"/>
        <v>0</v>
      </c>
      <c r="AF89" s="254">
        <f t="shared" si="153"/>
        <v>0</v>
      </c>
      <c r="AG89" s="254">
        <f t="shared" si="153"/>
        <v>0</v>
      </c>
      <c r="AH89" s="254">
        <f t="shared" si="153"/>
        <v>0</v>
      </c>
      <c r="AI89" s="254">
        <f t="shared" si="153"/>
        <v>0</v>
      </c>
      <c r="AJ89" s="254">
        <f t="shared" ref="AJ89" si="154">AI89</f>
        <v>0</v>
      </c>
      <c r="AK89" s="254">
        <f t="shared" ref="AK89:AL89" si="155">AJ89</f>
        <v>0</v>
      </c>
      <c r="AL89" s="254">
        <f t="shared" si="155"/>
        <v>0</v>
      </c>
      <c r="AP89" s="615"/>
      <c r="AQ89" s="254">
        <f>+AR89-AP89</f>
        <v>0</v>
      </c>
      <c r="AR89" s="254">
        <f t="shared" si="143"/>
        <v>0</v>
      </c>
      <c r="AS89" s="615"/>
      <c r="AT89" s="254">
        <f>+AU89-AS89</f>
        <v>0</v>
      </c>
      <c r="AU89" s="254">
        <f t="shared" si="144"/>
        <v>0</v>
      </c>
      <c r="AV89" s="206"/>
      <c r="AW89" s="254">
        <f>+AX89-AV89</f>
        <v>0</v>
      </c>
      <c r="AX89" s="254">
        <f t="shared" si="145"/>
        <v>0</v>
      </c>
      <c r="AY89" s="941"/>
      <c r="AZ89" s="425">
        <f>+BA89-AY89</f>
        <v>0</v>
      </c>
      <c r="BA89" s="425">
        <f t="shared" si="130"/>
        <v>0</v>
      </c>
      <c r="BB89" s="941"/>
      <c r="BC89" s="425">
        <f>+BD89-BB89</f>
        <v>0</v>
      </c>
      <c r="BD89" s="425">
        <f t="shared" si="131"/>
        <v>0</v>
      </c>
      <c r="BE89" s="941"/>
      <c r="BF89" s="425">
        <f>+BG89-BE89</f>
        <v>0</v>
      </c>
      <c r="BG89" s="254">
        <f t="shared" si="132"/>
        <v>0</v>
      </c>
      <c r="BH89" s="254">
        <f t="shared" si="133"/>
        <v>-10</v>
      </c>
      <c r="BI89" s="254">
        <f t="shared" si="134"/>
        <v>0</v>
      </c>
      <c r="BJ89" s="254">
        <f t="shared" si="135"/>
        <v>0</v>
      </c>
      <c r="BK89" s="254">
        <f t="shared" si="136"/>
        <v>0</v>
      </c>
      <c r="BL89" s="254">
        <f t="shared" si="137"/>
        <v>0</v>
      </c>
      <c r="BM89" s="254">
        <f t="shared" si="138"/>
        <v>0</v>
      </c>
      <c r="BN89" s="254">
        <f t="shared" si="139"/>
        <v>0</v>
      </c>
    </row>
    <row r="90" spans="1:69">
      <c r="A90" s="2"/>
      <c r="B90" s="20" t="s">
        <v>382</v>
      </c>
      <c r="C90" s="18" t="s">
        <v>732</v>
      </c>
      <c r="D90" s="599">
        <v>4</v>
      </c>
      <c r="E90" s="599">
        <v>-3</v>
      </c>
      <c r="F90" s="599">
        <v>11</v>
      </c>
      <c r="G90" s="599">
        <v>35</v>
      </c>
      <c r="H90" s="599">
        <v>1</v>
      </c>
      <c r="I90" s="566">
        <v>0</v>
      </c>
      <c r="J90" s="566">
        <v>0</v>
      </c>
      <c r="K90" s="599">
        <v>-22</v>
      </c>
      <c r="L90" s="599">
        <v>-19</v>
      </c>
      <c r="M90" s="599">
        <v>-3</v>
      </c>
      <c r="N90" s="599">
        <v>-57</v>
      </c>
      <c r="O90" s="600">
        <v>-19</v>
      </c>
      <c r="P90" s="600">
        <v>-19</v>
      </c>
      <c r="Q90" s="600">
        <v>-52</v>
      </c>
      <c r="R90" s="600">
        <v>-46</v>
      </c>
      <c r="S90" s="600">
        <v>-74</v>
      </c>
      <c r="T90" s="600">
        <v>0</v>
      </c>
      <c r="U90" s="600">
        <v>0</v>
      </c>
      <c r="V90" s="600">
        <f>U90*1.1</f>
        <v>0</v>
      </c>
      <c r="W90" s="600">
        <v>5</v>
      </c>
      <c r="X90" s="600">
        <v>-20</v>
      </c>
      <c r="Y90" s="600">
        <v>-45</v>
      </c>
      <c r="Z90" s="600">
        <v>-126</v>
      </c>
      <c r="AA90" s="600">
        <v>-123</v>
      </c>
      <c r="AB90" s="600">
        <v>-166</v>
      </c>
      <c r="AC90" s="600">
        <v>-171</v>
      </c>
      <c r="AD90" s="638">
        <v>-180</v>
      </c>
      <c r="AE90" s="638">
        <v>-180</v>
      </c>
      <c r="AF90" s="638">
        <v>-180</v>
      </c>
      <c r="AG90" s="638">
        <v>-180</v>
      </c>
      <c r="AH90" s="638">
        <v>-180</v>
      </c>
      <c r="AI90" s="638">
        <v>-180</v>
      </c>
      <c r="AJ90" s="638">
        <v>-180</v>
      </c>
      <c r="AK90" s="638">
        <v>-180</v>
      </c>
      <c r="AL90" s="638">
        <v>-180</v>
      </c>
      <c r="AP90" s="615"/>
      <c r="AQ90" s="254">
        <f>+AR90-AP90</f>
        <v>0</v>
      </c>
      <c r="AR90" s="254">
        <f t="shared" si="143"/>
        <v>0</v>
      </c>
      <c r="AS90" s="615"/>
      <c r="AT90" s="254">
        <f>+AU90-AS90</f>
        <v>5</v>
      </c>
      <c r="AU90" s="254">
        <f t="shared" si="144"/>
        <v>5</v>
      </c>
      <c r="AV90" s="206"/>
      <c r="AW90" s="254">
        <f>+AX90-AV90</f>
        <v>-20</v>
      </c>
      <c r="AX90" s="254">
        <f t="shared" si="145"/>
        <v>-20</v>
      </c>
      <c r="AY90" s="941"/>
      <c r="AZ90" s="425">
        <f>+BA90-AY90</f>
        <v>-45</v>
      </c>
      <c r="BA90" s="425">
        <f t="shared" si="130"/>
        <v>-45</v>
      </c>
      <c r="BB90" s="941"/>
      <c r="BC90" s="425">
        <f>+BD90-BB90</f>
        <v>-126</v>
      </c>
      <c r="BD90" s="425">
        <f t="shared" si="131"/>
        <v>-126</v>
      </c>
      <c r="BE90" s="941"/>
      <c r="BF90" s="425">
        <f>+BG90-BE90</f>
        <v>-123</v>
      </c>
      <c r="BG90" s="254">
        <f t="shared" si="132"/>
        <v>-123</v>
      </c>
      <c r="BH90" s="254">
        <f t="shared" si="133"/>
        <v>-166</v>
      </c>
      <c r="BI90" s="254">
        <f t="shared" si="134"/>
        <v>-171</v>
      </c>
      <c r="BJ90" s="254">
        <f t="shared" si="135"/>
        <v>-180</v>
      </c>
      <c r="BK90" s="254">
        <f t="shared" si="136"/>
        <v>-180</v>
      </c>
      <c r="BL90" s="254">
        <f t="shared" si="137"/>
        <v>-180</v>
      </c>
      <c r="BM90" s="254">
        <f t="shared" si="138"/>
        <v>-180</v>
      </c>
      <c r="BN90" s="254">
        <f t="shared" si="139"/>
        <v>-180</v>
      </c>
    </row>
    <row r="91" spans="1:69">
      <c r="A91" s="6"/>
      <c r="B91" s="1200" t="s">
        <v>1489</v>
      </c>
      <c r="C91" s="21" t="s">
        <v>732</v>
      </c>
      <c r="D91" s="939">
        <f t="shared" ref="D91:U91" si="156">SUM(D88:D90)</f>
        <v>3677</v>
      </c>
      <c r="E91" s="939">
        <f t="shared" si="156"/>
        <v>4058</v>
      </c>
      <c r="F91" s="939">
        <f t="shared" si="156"/>
        <v>3661</v>
      </c>
      <c r="G91" s="939">
        <f t="shared" si="156"/>
        <v>3429</v>
      </c>
      <c r="H91" s="939">
        <f t="shared" si="156"/>
        <v>4118</v>
      </c>
      <c r="I91" s="939">
        <f t="shared" si="156"/>
        <v>4308.9999999999982</v>
      </c>
      <c r="J91" s="939">
        <f t="shared" si="156"/>
        <v>3183</v>
      </c>
      <c r="K91" s="939">
        <f t="shared" si="156"/>
        <v>3252.9999999999982</v>
      </c>
      <c r="L91" s="939">
        <f t="shared" si="156"/>
        <v>3692</v>
      </c>
      <c r="M91" s="939">
        <f t="shared" si="156"/>
        <v>4073</v>
      </c>
      <c r="N91" s="939">
        <f t="shared" si="156"/>
        <v>3883</v>
      </c>
      <c r="O91" s="924">
        <f t="shared" si="156"/>
        <v>3231</v>
      </c>
      <c r="P91" s="924">
        <f t="shared" si="156"/>
        <v>3491.8172878999994</v>
      </c>
      <c r="Q91" s="924">
        <f t="shared" si="156"/>
        <v>3919.105465133809</v>
      </c>
      <c r="R91" s="924">
        <f t="shared" si="156"/>
        <v>4512</v>
      </c>
      <c r="S91" s="924">
        <f t="shared" si="156"/>
        <v>4009</v>
      </c>
      <c r="T91" s="924">
        <f>SUM(T88:T90)</f>
        <v>3825.8976000000002</v>
      </c>
      <c r="U91" s="924">
        <f t="shared" si="156"/>
        <v>3429.6370000000006</v>
      </c>
      <c r="V91" s="924">
        <f>SUM(V88:V90)</f>
        <v>3928</v>
      </c>
      <c r="W91" s="924">
        <f t="shared" ref="W91:X91" si="157">SUM(W88:W90)</f>
        <v>2110</v>
      </c>
      <c r="X91" s="924">
        <f t="shared" si="157"/>
        <v>1819</v>
      </c>
      <c r="Y91" s="924">
        <f>SUM(Y88:Y90)</f>
        <v>1857</v>
      </c>
      <c r="Z91" s="924">
        <f>SUM(Z88:Z90)</f>
        <v>1688</v>
      </c>
      <c r="AA91" s="924">
        <f>SUM(AA88:AA90)</f>
        <v>1928</v>
      </c>
      <c r="AB91" s="924">
        <f>SUM(AB88:AB90)</f>
        <v>1612</v>
      </c>
      <c r="AC91" s="924">
        <f>SUM(AC88:AC90)</f>
        <v>2173</v>
      </c>
      <c r="AD91" s="940">
        <f t="shared" ref="AD91:AH91" si="158">SUM(AD88:AD90)</f>
        <v>2418.1974171777601</v>
      </c>
      <c r="AE91" s="940">
        <f t="shared" si="158"/>
        <v>2520.1542279387595</v>
      </c>
      <c r="AF91" s="940">
        <f t="shared" si="158"/>
        <v>2625.3947035679821</v>
      </c>
      <c r="AG91" s="940">
        <f t="shared" si="158"/>
        <v>2735.366423526184</v>
      </c>
      <c r="AH91" s="940">
        <f t="shared" si="158"/>
        <v>2850.8322780854087</v>
      </c>
      <c r="AI91" s="940">
        <f>SUM(AI88:AI90)</f>
        <v>2972.4609972879284</v>
      </c>
      <c r="AJ91" s="940">
        <f t="shared" ref="AJ91:AK91" si="159">SUM(AJ88:AJ90)</f>
        <v>3100.8335470189249</v>
      </c>
      <c r="AK91" s="940">
        <f t="shared" si="159"/>
        <v>3236.4408275376136</v>
      </c>
      <c r="AL91" s="940">
        <f t="shared" ref="AL91" si="160">SUM(AL88:AL90)</f>
        <v>3388.8567633302569</v>
      </c>
      <c r="AP91" s="259">
        <f>SUM(AP88:AP90)</f>
        <v>2029</v>
      </c>
      <c r="AQ91" s="259">
        <f>SUM(AQ88:AQ90)</f>
        <v>1899</v>
      </c>
      <c r="AR91" s="259">
        <f t="shared" si="143"/>
        <v>3928</v>
      </c>
      <c r="AS91" s="259">
        <f>SUM(AS88:AS90)</f>
        <v>1453</v>
      </c>
      <c r="AT91" s="259">
        <f>SUM(AT88:AT90)</f>
        <v>1688</v>
      </c>
      <c r="AU91" s="259">
        <f t="shared" si="144"/>
        <v>2110</v>
      </c>
      <c r="AV91" s="259">
        <f>SUM(AV88:AV90)</f>
        <v>856</v>
      </c>
      <c r="AW91" s="259">
        <f>SUM(AW88:AW90)</f>
        <v>757</v>
      </c>
      <c r="AX91" s="259">
        <f t="shared" si="145"/>
        <v>1819</v>
      </c>
      <c r="AY91" s="404">
        <f>SUM(AY88:AY90)</f>
        <v>1125</v>
      </c>
      <c r="AZ91" s="404">
        <f>SUM(AZ88:AZ90)</f>
        <v>884</v>
      </c>
      <c r="BA91" s="404">
        <f t="shared" si="130"/>
        <v>1857</v>
      </c>
      <c r="BB91" s="404">
        <f>SUM(BB88:BB90)</f>
        <v>743</v>
      </c>
      <c r="BC91" s="404">
        <f>SUM(BC88:BC90)</f>
        <v>803</v>
      </c>
      <c r="BD91" s="404">
        <f t="shared" si="131"/>
        <v>1688</v>
      </c>
      <c r="BE91" s="404">
        <f>SUM(BE88:BE90)</f>
        <v>934</v>
      </c>
      <c r="BF91" s="404">
        <f>SUM(BF88:BF90)</f>
        <v>836</v>
      </c>
      <c r="BG91" s="259">
        <f t="shared" si="132"/>
        <v>1928</v>
      </c>
      <c r="BH91" s="259">
        <f t="shared" si="133"/>
        <v>1612</v>
      </c>
      <c r="BI91" s="259">
        <f t="shared" si="134"/>
        <v>2173</v>
      </c>
      <c r="BJ91" s="259">
        <f t="shared" si="135"/>
        <v>2418.1974171777601</v>
      </c>
      <c r="BK91" s="259">
        <f t="shared" si="136"/>
        <v>2520.1542279387595</v>
      </c>
      <c r="BL91" s="259">
        <f t="shared" si="137"/>
        <v>2625.3947035679821</v>
      </c>
      <c r="BM91" s="259">
        <f t="shared" si="138"/>
        <v>2735.366423526184</v>
      </c>
      <c r="BN91" s="259">
        <f t="shared" si="139"/>
        <v>2850.8322780854087</v>
      </c>
    </row>
    <row r="92" spans="1:69">
      <c r="A92" s="2"/>
      <c r="B92" s="20"/>
      <c r="C92" s="18"/>
      <c r="D92" s="172"/>
      <c r="E92" s="172"/>
      <c r="F92" s="172"/>
      <c r="G92" s="172"/>
      <c r="H92" s="172"/>
      <c r="I92" s="172"/>
      <c r="J92" s="172"/>
      <c r="K92" s="172"/>
      <c r="L92" s="172"/>
      <c r="M92" s="172"/>
      <c r="N92" s="172"/>
      <c r="O92" s="253"/>
      <c r="P92" s="253"/>
      <c r="Q92" s="253"/>
      <c r="R92" s="253"/>
      <c r="S92" s="253"/>
      <c r="T92" s="253"/>
      <c r="U92" s="253"/>
      <c r="V92" s="253"/>
      <c r="W92" s="253"/>
      <c r="X92" s="253"/>
      <c r="Y92" s="253"/>
      <c r="Z92" s="253"/>
      <c r="AA92" s="253"/>
      <c r="AB92" s="342"/>
      <c r="AC92" s="342"/>
      <c r="AD92" s="938"/>
      <c r="AE92" s="938"/>
      <c r="AF92" s="938"/>
      <c r="AG92" s="938"/>
      <c r="AH92" s="938"/>
      <c r="AI92" s="938"/>
      <c r="AJ92" s="938"/>
      <c r="AK92" s="938"/>
      <c r="AL92" s="938"/>
      <c r="AP92" s="254"/>
      <c r="AQ92" s="254"/>
      <c r="AR92" s="254"/>
      <c r="AS92" s="254"/>
      <c r="AT92" s="254"/>
      <c r="AU92" s="254"/>
      <c r="AV92" s="254"/>
      <c r="AW92" s="254"/>
      <c r="AX92" s="254"/>
      <c r="AY92" s="425"/>
      <c r="AZ92" s="425"/>
      <c r="BA92" s="425"/>
      <c r="BB92" s="425"/>
      <c r="BC92" s="425"/>
      <c r="BD92" s="425"/>
      <c r="BE92" s="425"/>
      <c r="BF92" s="425"/>
      <c r="BG92" s="254"/>
      <c r="BH92" s="254"/>
      <c r="BI92" s="254"/>
      <c r="BJ92" s="254"/>
      <c r="BK92" s="254"/>
      <c r="BL92" s="254"/>
      <c r="BM92" s="254"/>
      <c r="BN92" s="254"/>
    </row>
    <row r="93" spans="1:69">
      <c r="A93" s="2"/>
      <c r="B93" s="20" t="s">
        <v>393</v>
      </c>
      <c r="C93" s="18" t="s">
        <v>732</v>
      </c>
      <c r="D93" s="937">
        <f t="shared" ref="D93:P93" si="161">D218</f>
        <v>-703.5</v>
      </c>
      <c r="E93" s="937">
        <f t="shared" si="161"/>
        <v>-730.8</v>
      </c>
      <c r="F93" s="937">
        <f t="shared" si="161"/>
        <v>-291.2</v>
      </c>
      <c r="G93" s="937">
        <f t="shared" si="161"/>
        <v>-121.8</v>
      </c>
      <c r="H93" s="937">
        <f t="shared" si="161"/>
        <v>-216.29999999999998</v>
      </c>
      <c r="I93" s="937">
        <f t="shared" si="161"/>
        <v>-6.3</v>
      </c>
      <c r="J93" s="937">
        <f t="shared" si="161"/>
        <v>-482.99999999999994</v>
      </c>
      <c r="K93" s="937">
        <f t="shared" si="161"/>
        <v>-244.99999999999997</v>
      </c>
      <c r="L93" s="937">
        <f t="shared" si="161"/>
        <v>-155.39999999999998</v>
      </c>
      <c r="M93" s="937">
        <f t="shared" si="161"/>
        <v>-153.29999999999998</v>
      </c>
      <c r="N93" s="937">
        <f t="shared" si="161"/>
        <v>-89.6</v>
      </c>
      <c r="O93" s="253">
        <f t="shared" si="161"/>
        <v>-208.6</v>
      </c>
      <c r="P93" s="253">
        <f t="shared" si="161"/>
        <v>-91</v>
      </c>
      <c r="Q93" s="253"/>
      <c r="R93" s="254">
        <f>632-150+46</f>
        <v>528</v>
      </c>
      <c r="S93" s="615">
        <v>19</v>
      </c>
      <c r="T93" s="615">
        <v>11</v>
      </c>
      <c r="U93" s="615">
        <v>0</v>
      </c>
      <c r="V93" s="615">
        <v>0</v>
      </c>
      <c r="W93" s="615">
        <v>0</v>
      </c>
      <c r="X93" s="615">
        <v>0</v>
      </c>
      <c r="Y93" s="615">
        <v>0</v>
      </c>
      <c r="Z93" s="615">
        <v>0</v>
      </c>
      <c r="AA93" s="615">
        <f>2023-AA94</f>
        <v>95</v>
      </c>
      <c r="AB93" s="615">
        <f>2140-AB94</f>
        <v>528</v>
      </c>
      <c r="AC93" s="615">
        <f>2173-AC94</f>
        <v>132</v>
      </c>
      <c r="AD93" s="615">
        <v>0</v>
      </c>
      <c r="AE93" s="615">
        <v>0</v>
      </c>
      <c r="AF93" s="615">
        <v>0</v>
      </c>
      <c r="AG93" s="615">
        <v>0</v>
      </c>
      <c r="AH93" s="615">
        <v>0</v>
      </c>
      <c r="AI93" s="615">
        <v>0</v>
      </c>
      <c r="AJ93" s="615">
        <v>0</v>
      </c>
      <c r="AK93" s="615">
        <v>0</v>
      </c>
      <c r="AL93" s="615">
        <v>0</v>
      </c>
      <c r="AP93" s="615"/>
      <c r="AQ93" s="254">
        <f>+AR93-AP93</f>
        <v>0</v>
      </c>
      <c r="AR93" s="254">
        <f>V93</f>
        <v>0</v>
      </c>
      <c r="AS93" s="615"/>
      <c r="AT93" s="254">
        <f>+AU93-AS93</f>
        <v>0</v>
      </c>
      <c r="AU93" s="254">
        <f>W93</f>
        <v>0</v>
      </c>
      <c r="AV93" s="206"/>
      <c r="AW93" s="254">
        <f>+AX93-AV93</f>
        <v>0</v>
      </c>
      <c r="AX93" s="254">
        <f>X93</f>
        <v>0</v>
      </c>
      <c r="AY93" s="941"/>
      <c r="AZ93" s="425">
        <f>+BA93-AY93</f>
        <v>0</v>
      </c>
      <c r="BA93" s="425">
        <f>Y93</f>
        <v>0</v>
      </c>
      <c r="BB93" s="941"/>
      <c r="BC93" s="425">
        <f>+BD93-BB93</f>
        <v>0</v>
      </c>
      <c r="BD93" s="425">
        <f>Z93</f>
        <v>0</v>
      </c>
      <c r="BE93" s="941"/>
      <c r="BF93" s="425">
        <f>+BG93-BE93</f>
        <v>95</v>
      </c>
      <c r="BG93" s="254">
        <f t="shared" ref="BG93:BN95" si="162">AA93</f>
        <v>95</v>
      </c>
      <c r="BH93" s="254">
        <f t="shared" si="162"/>
        <v>528</v>
      </c>
      <c r="BI93" s="254">
        <f t="shared" si="162"/>
        <v>132</v>
      </c>
      <c r="BJ93" s="254">
        <f t="shared" si="162"/>
        <v>0</v>
      </c>
      <c r="BK93" s="254">
        <f t="shared" si="162"/>
        <v>0</v>
      </c>
      <c r="BL93" s="254">
        <f t="shared" si="162"/>
        <v>0</v>
      </c>
      <c r="BM93" s="254">
        <f t="shared" si="162"/>
        <v>0</v>
      </c>
      <c r="BN93" s="254">
        <f t="shared" si="162"/>
        <v>0</v>
      </c>
    </row>
    <row r="94" spans="1:69">
      <c r="A94" s="6"/>
      <c r="B94" s="6" t="s">
        <v>332</v>
      </c>
      <c r="C94" s="21" t="s">
        <v>732</v>
      </c>
      <c r="D94" s="70">
        <f t="shared" ref="D94:P94" si="163">D88+D89+D90</f>
        <v>3677</v>
      </c>
      <c r="E94" s="70">
        <f t="shared" si="163"/>
        <v>4058</v>
      </c>
      <c r="F94" s="70">
        <f t="shared" si="163"/>
        <v>3661</v>
      </c>
      <c r="G94" s="70">
        <f t="shared" si="163"/>
        <v>3429</v>
      </c>
      <c r="H94" s="70">
        <f t="shared" si="163"/>
        <v>4118</v>
      </c>
      <c r="I94" s="70">
        <f t="shared" si="163"/>
        <v>4308.9999999999982</v>
      </c>
      <c r="J94" s="70">
        <f t="shared" si="163"/>
        <v>3183</v>
      </c>
      <c r="K94" s="70">
        <f t="shared" si="163"/>
        <v>3252.9999999999982</v>
      </c>
      <c r="L94" s="70">
        <f t="shared" si="163"/>
        <v>3692</v>
      </c>
      <c r="M94" s="70">
        <f t="shared" si="163"/>
        <v>4073</v>
      </c>
      <c r="N94" s="70">
        <f t="shared" si="163"/>
        <v>3883</v>
      </c>
      <c r="O94" s="259">
        <f t="shared" si="163"/>
        <v>3231</v>
      </c>
      <c r="P94" s="259">
        <f t="shared" si="163"/>
        <v>3491.8172878999994</v>
      </c>
      <c r="Q94" s="259">
        <f t="shared" ref="Q94:X94" si="164">Q88+Q89+Q90+Q93</f>
        <v>3919.105465133809</v>
      </c>
      <c r="R94" s="259">
        <f t="shared" si="164"/>
        <v>5040</v>
      </c>
      <c r="S94" s="259">
        <f t="shared" si="164"/>
        <v>4028</v>
      </c>
      <c r="T94" s="259">
        <f t="shared" si="164"/>
        <v>3836.8976000000002</v>
      </c>
      <c r="U94" s="259">
        <f t="shared" si="164"/>
        <v>3429.6370000000006</v>
      </c>
      <c r="V94" s="259">
        <f t="shared" si="164"/>
        <v>3928</v>
      </c>
      <c r="W94" s="259">
        <f t="shared" si="164"/>
        <v>2110</v>
      </c>
      <c r="X94" s="259">
        <f t="shared" si="164"/>
        <v>1819</v>
      </c>
      <c r="Y94" s="259">
        <f>Y91</f>
        <v>1857</v>
      </c>
      <c r="Z94" s="259">
        <f t="shared" ref="Z94:AK94" si="165">Z91</f>
        <v>1688</v>
      </c>
      <c r="AA94" s="259">
        <f t="shared" si="165"/>
        <v>1928</v>
      </c>
      <c r="AB94" s="259">
        <f t="shared" si="165"/>
        <v>1612</v>
      </c>
      <c r="AC94" s="259">
        <v>2041</v>
      </c>
      <c r="AD94" s="259">
        <f t="shared" si="165"/>
        <v>2418.1974171777601</v>
      </c>
      <c r="AE94" s="259">
        <f t="shared" si="165"/>
        <v>2520.1542279387595</v>
      </c>
      <c r="AF94" s="259">
        <f t="shared" si="165"/>
        <v>2625.3947035679821</v>
      </c>
      <c r="AG94" s="259">
        <f t="shared" si="165"/>
        <v>2735.366423526184</v>
      </c>
      <c r="AH94" s="259">
        <f t="shared" si="165"/>
        <v>2850.8322780854087</v>
      </c>
      <c r="AI94" s="259">
        <f t="shared" si="165"/>
        <v>2972.4609972879284</v>
      </c>
      <c r="AJ94" s="259">
        <f t="shared" si="165"/>
        <v>3100.8335470189249</v>
      </c>
      <c r="AK94" s="259">
        <f t="shared" si="165"/>
        <v>3236.4408275376136</v>
      </c>
      <c r="AL94" s="259">
        <f t="shared" ref="AL94" si="166">AL91</f>
        <v>3388.8567633302569</v>
      </c>
      <c r="AP94" s="259">
        <f>AP88+AP89+AP90+AP93</f>
        <v>2029</v>
      </c>
      <c r="AQ94" s="259">
        <f>AQ88+AQ89+AQ90+AQ93</f>
        <v>1899</v>
      </c>
      <c r="AR94" s="259">
        <f>V94</f>
        <v>3928</v>
      </c>
      <c r="AS94" s="259">
        <f>AS88+AS89+AS90+AS93</f>
        <v>1453</v>
      </c>
      <c r="AT94" s="259">
        <f>AT88+AT89+AT90+AT93</f>
        <v>1688</v>
      </c>
      <c r="AU94" s="259">
        <f>W94</f>
        <v>2110</v>
      </c>
      <c r="AV94" s="259">
        <f>AV88+AV89+AV90+AV93</f>
        <v>856</v>
      </c>
      <c r="AW94" s="259">
        <f>AW88+AW89+AW90+AW93</f>
        <v>757</v>
      </c>
      <c r="AX94" s="259">
        <f>X94</f>
        <v>1819</v>
      </c>
      <c r="AY94" s="404">
        <f>AY88+AY89+AY90+AY93</f>
        <v>1125</v>
      </c>
      <c r="AZ94" s="404">
        <f>AZ88+AZ89+AZ90+AZ93</f>
        <v>884</v>
      </c>
      <c r="BA94" s="404">
        <f>Y94</f>
        <v>1857</v>
      </c>
      <c r="BB94" s="404">
        <f>BB88+BB89+BB90+BB93</f>
        <v>743</v>
      </c>
      <c r="BC94" s="404">
        <f>BC88+BC89+BC90+BC93</f>
        <v>803</v>
      </c>
      <c r="BD94" s="404">
        <f>Z94</f>
        <v>1688</v>
      </c>
      <c r="BE94" s="404">
        <f>BE88+BE89+BE90+BE93</f>
        <v>934</v>
      </c>
      <c r="BF94" s="404">
        <f>BF88+BF89+BF90+BF93</f>
        <v>931</v>
      </c>
      <c r="BG94" s="259">
        <f t="shared" si="162"/>
        <v>1928</v>
      </c>
      <c r="BH94" s="259">
        <f t="shared" si="162"/>
        <v>1612</v>
      </c>
      <c r="BI94" s="259">
        <f t="shared" si="162"/>
        <v>2041</v>
      </c>
      <c r="BJ94" s="259">
        <f t="shared" si="162"/>
        <v>2418.1974171777601</v>
      </c>
      <c r="BK94" s="259">
        <f t="shared" si="162"/>
        <v>2520.1542279387595</v>
      </c>
      <c r="BL94" s="259">
        <f t="shared" si="162"/>
        <v>2625.3947035679821</v>
      </c>
      <c r="BM94" s="259">
        <f t="shared" si="162"/>
        <v>2735.366423526184</v>
      </c>
      <c r="BN94" s="259">
        <f t="shared" si="162"/>
        <v>2850.8322780854087</v>
      </c>
      <c r="BQ94" s="942"/>
    </row>
    <row r="95" spans="1:69">
      <c r="A95" s="327"/>
      <c r="B95" s="325" t="s">
        <v>880</v>
      </c>
      <c r="C95" s="811" t="s">
        <v>733</v>
      </c>
      <c r="D95" s="311"/>
      <c r="E95" s="311">
        <f t="shared" ref="E95:U95" si="167">(E94/D94)-1</f>
        <v>0.1036170791406037</v>
      </c>
      <c r="F95" s="311">
        <f t="shared" si="167"/>
        <v>-9.7831444061113881E-2</v>
      </c>
      <c r="G95" s="311">
        <f t="shared" si="167"/>
        <v>-6.3370663753072876E-2</v>
      </c>
      <c r="H95" s="311">
        <f t="shared" si="167"/>
        <v>0.20093321668124808</v>
      </c>
      <c r="I95" s="311">
        <f t="shared" si="167"/>
        <v>4.6381738708110243E-2</v>
      </c>
      <c r="J95" s="311">
        <f t="shared" si="167"/>
        <v>-0.26131352982130396</v>
      </c>
      <c r="K95" s="311">
        <f t="shared" si="167"/>
        <v>2.1991831605403078E-2</v>
      </c>
      <c r="L95" s="311">
        <f t="shared" si="167"/>
        <v>0.13495235167537722</v>
      </c>
      <c r="M95" s="311">
        <f t="shared" si="167"/>
        <v>0.10319609967497301</v>
      </c>
      <c r="N95" s="311">
        <f t="shared" si="167"/>
        <v>-4.6648661919960754E-2</v>
      </c>
      <c r="O95" s="311">
        <f t="shared" si="167"/>
        <v>-0.16791140870460985</v>
      </c>
      <c r="P95" s="311">
        <f t="shared" si="167"/>
        <v>8.0723394583720021E-2</v>
      </c>
      <c r="Q95" s="311">
        <f t="shared" si="167"/>
        <v>0.12236842366136047</v>
      </c>
      <c r="R95" s="311">
        <f t="shared" si="167"/>
        <v>0.28600774968629739</v>
      </c>
      <c r="S95" s="311">
        <f t="shared" si="167"/>
        <v>-0.20079365079365075</v>
      </c>
      <c r="T95" s="311">
        <f t="shared" si="167"/>
        <v>-4.7443495531281021E-2</v>
      </c>
      <c r="U95" s="311">
        <f t="shared" si="167"/>
        <v>-0.10614320277924527</v>
      </c>
      <c r="V95" s="311">
        <f t="shared" ref="V95:AC95" si="168">(V94/U94)-1</f>
        <v>0.14531071364112269</v>
      </c>
      <c r="W95" s="311">
        <f t="shared" si="168"/>
        <v>-0.46283095723014256</v>
      </c>
      <c r="X95" s="311">
        <f t="shared" si="168"/>
        <v>-0.137914691943128</v>
      </c>
      <c r="Y95" s="311">
        <f t="shared" si="168"/>
        <v>2.0890599230346307E-2</v>
      </c>
      <c r="Z95" s="311">
        <f t="shared" si="168"/>
        <v>-9.1007000538502969E-2</v>
      </c>
      <c r="AA95" s="311">
        <f t="shared" si="168"/>
        <v>0.14218009478672977</v>
      </c>
      <c r="AB95" s="311">
        <f t="shared" si="168"/>
        <v>-0.16390041493775931</v>
      </c>
      <c r="AC95" s="311">
        <f t="shared" si="168"/>
        <v>0.2661290322580645</v>
      </c>
      <c r="AD95" s="312">
        <f t="shared" ref="AD95:AI95" si="169">(AD94/AC94)-1</f>
        <v>0.18481010150796684</v>
      </c>
      <c r="AE95" s="312">
        <f t="shared" si="169"/>
        <v>4.2162318939200416E-2</v>
      </c>
      <c r="AF95" s="312">
        <f t="shared" si="169"/>
        <v>4.175953775467911E-2</v>
      </c>
      <c r="AG95" s="312">
        <f t="shared" si="169"/>
        <v>4.1887690185687942E-2</v>
      </c>
      <c r="AH95" s="312">
        <f t="shared" si="169"/>
        <v>4.2212207317503303E-2</v>
      </c>
      <c r="AI95" s="312">
        <f t="shared" si="169"/>
        <v>4.2664284439842382E-2</v>
      </c>
      <c r="AJ95" s="312">
        <f t="shared" ref="AJ95" si="170">(AJ94/AI94)-1</f>
        <v>4.3187294920984165E-2</v>
      </c>
      <c r="AK95" s="312">
        <f t="shared" ref="AK95:AL95" si="171">(AK94/AJ94)-1</f>
        <v>4.3732524968667974E-2</v>
      </c>
      <c r="AL95" s="312">
        <f t="shared" si="171"/>
        <v>4.7093688380085874E-2</v>
      </c>
      <c r="AP95" s="312"/>
      <c r="AQ95" s="312"/>
      <c r="AR95" s="312">
        <f>V95</f>
        <v>0.14531071364112269</v>
      </c>
      <c r="AS95" s="312"/>
      <c r="AT95" s="312"/>
      <c r="AU95" s="312">
        <f>W95</f>
        <v>-0.46283095723014256</v>
      </c>
      <c r="AV95" s="312">
        <f>AV94/AS94-1</f>
        <v>-0.41087405368203711</v>
      </c>
      <c r="AW95" s="312">
        <f>AW94/AT94-1</f>
        <v>-0.55154028436018954</v>
      </c>
      <c r="AX95" s="312">
        <f>X95</f>
        <v>-0.137914691943128</v>
      </c>
      <c r="AY95" s="343">
        <f>AY94/AV94-1</f>
        <v>0.31425233644859807</v>
      </c>
      <c r="AZ95" s="343">
        <f>AZ94/AW94-1</f>
        <v>0.16776750330250989</v>
      </c>
      <c r="BA95" s="343">
        <f>Y95</f>
        <v>2.0890599230346307E-2</v>
      </c>
      <c r="BB95" s="343">
        <f>BB94/AY94-1</f>
        <v>-0.33955555555555561</v>
      </c>
      <c r="BC95" s="343">
        <f>BC94/AZ94-1</f>
        <v>-9.1628959276018107E-2</v>
      </c>
      <c r="BD95" s="343">
        <f>Z95</f>
        <v>-9.1007000538502969E-2</v>
      </c>
      <c r="BE95" s="343">
        <f>BE94/BB94-1</f>
        <v>0.25706594885598921</v>
      </c>
      <c r="BF95" s="343">
        <f>BF94/BC94-1</f>
        <v>0.15940224159402239</v>
      </c>
      <c r="BG95" s="312">
        <f t="shared" si="162"/>
        <v>0.14218009478672977</v>
      </c>
      <c r="BH95" s="312">
        <f t="shared" si="162"/>
        <v>-0.16390041493775931</v>
      </c>
      <c r="BI95" s="312">
        <f t="shared" si="162"/>
        <v>0.2661290322580645</v>
      </c>
      <c r="BJ95" s="312">
        <f t="shared" si="162"/>
        <v>0.18481010150796684</v>
      </c>
      <c r="BK95" s="312">
        <f t="shared" si="162"/>
        <v>4.2162318939200416E-2</v>
      </c>
      <c r="BL95" s="312">
        <f t="shared" si="162"/>
        <v>4.175953775467911E-2</v>
      </c>
      <c r="BM95" s="312">
        <f t="shared" si="162"/>
        <v>4.1887690185687942E-2</v>
      </c>
      <c r="BN95" s="312">
        <f t="shared" si="162"/>
        <v>4.2212207317503303E-2</v>
      </c>
    </row>
    <row r="97" spans="1:66">
      <c r="A97" s="657"/>
      <c r="B97" s="658" t="s">
        <v>500</v>
      </c>
      <c r="C97" s="659" t="s">
        <v>732</v>
      </c>
      <c r="D97" s="660">
        <f t="shared" ref="D97:Z97" si="172">D94-D93</f>
        <v>4380.5</v>
      </c>
      <c r="E97" s="660">
        <f t="shared" si="172"/>
        <v>4788.8</v>
      </c>
      <c r="F97" s="660">
        <f t="shared" si="172"/>
        <v>3952.2</v>
      </c>
      <c r="G97" s="660">
        <f t="shared" si="172"/>
        <v>3550.8</v>
      </c>
      <c r="H97" s="660">
        <f t="shared" si="172"/>
        <v>4334.3</v>
      </c>
      <c r="I97" s="660">
        <f t="shared" si="172"/>
        <v>4315.2999999999984</v>
      </c>
      <c r="J97" s="660">
        <f t="shared" si="172"/>
        <v>3666</v>
      </c>
      <c r="K97" s="660">
        <f t="shared" si="172"/>
        <v>3497.9999999999982</v>
      </c>
      <c r="L97" s="660">
        <f t="shared" si="172"/>
        <v>3847.4</v>
      </c>
      <c r="M97" s="660">
        <f t="shared" si="172"/>
        <v>4226.3</v>
      </c>
      <c r="N97" s="660">
        <f t="shared" si="172"/>
        <v>3972.6</v>
      </c>
      <c r="O97" s="661">
        <f t="shared" si="172"/>
        <v>3439.6</v>
      </c>
      <c r="P97" s="661">
        <f t="shared" si="172"/>
        <v>3582.8172878999994</v>
      </c>
      <c r="Q97" s="661">
        <f t="shared" si="172"/>
        <v>3919.105465133809</v>
      </c>
      <c r="R97" s="661">
        <f t="shared" si="172"/>
        <v>4512</v>
      </c>
      <c r="S97" s="661">
        <f t="shared" si="172"/>
        <v>4009</v>
      </c>
      <c r="T97" s="661">
        <f t="shared" si="172"/>
        <v>3825.8976000000002</v>
      </c>
      <c r="U97" s="661">
        <f t="shared" si="172"/>
        <v>3429.6370000000006</v>
      </c>
      <c r="V97" s="662">
        <f t="shared" si="172"/>
        <v>3928</v>
      </c>
      <c r="W97" s="662">
        <f t="shared" si="172"/>
        <v>2110</v>
      </c>
      <c r="X97" s="662">
        <f t="shared" si="172"/>
        <v>1819</v>
      </c>
      <c r="Y97" s="662">
        <f t="shared" si="172"/>
        <v>1857</v>
      </c>
      <c r="Z97" s="662">
        <f t="shared" si="172"/>
        <v>1688</v>
      </c>
      <c r="AA97" s="662">
        <f t="shared" ref="AA97:AK97" si="173">AA94+AA93</f>
        <v>2023</v>
      </c>
      <c r="AB97" s="662">
        <f t="shared" si="173"/>
        <v>2140</v>
      </c>
      <c r="AC97" s="662">
        <f t="shared" ref="AC97" si="174">AC94+AC93</f>
        <v>2173</v>
      </c>
      <c r="AD97" s="662">
        <f t="shared" si="173"/>
        <v>2418.1974171777601</v>
      </c>
      <c r="AE97" s="662">
        <f t="shared" si="173"/>
        <v>2520.1542279387595</v>
      </c>
      <c r="AF97" s="662">
        <f t="shared" si="173"/>
        <v>2625.3947035679821</v>
      </c>
      <c r="AG97" s="662">
        <f t="shared" si="173"/>
        <v>2735.366423526184</v>
      </c>
      <c r="AH97" s="662">
        <f t="shared" si="173"/>
        <v>2850.8322780854087</v>
      </c>
      <c r="AI97" s="662">
        <f t="shared" si="173"/>
        <v>2972.4609972879284</v>
      </c>
      <c r="AJ97" s="662">
        <f t="shared" si="173"/>
        <v>3100.8335470189249</v>
      </c>
      <c r="AK97" s="662">
        <f t="shared" si="173"/>
        <v>3236.4408275376136</v>
      </c>
      <c r="AL97" s="662">
        <f t="shared" ref="AL97" si="175">AL94+AL93</f>
        <v>3388.8567633302569</v>
      </c>
      <c r="AP97" s="661">
        <f>AP94-AP93</f>
        <v>2029</v>
      </c>
      <c r="AQ97" s="661">
        <f>AQ94-AQ93</f>
        <v>1899</v>
      </c>
      <c r="AR97" s="661">
        <f>V97</f>
        <v>3928</v>
      </c>
      <c r="AS97" s="661">
        <f>AS94-AS93</f>
        <v>1453</v>
      </c>
      <c r="AT97" s="661">
        <f>AT94-AT93</f>
        <v>1688</v>
      </c>
      <c r="AU97" s="661">
        <f>W97</f>
        <v>2110</v>
      </c>
      <c r="AV97" s="661">
        <f>AV94-AV93</f>
        <v>856</v>
      </c>
      <c r="AW97" s="661">
        <f>AW94-AW93</f>
        <v>757</v>
      </c>
      <c r="AX97" s="661">
        <f>X97</f>
        <v>1819</v>
      </c>
      <c r="AY97" s="661">
        <f>AY94-AY93</f>
        <v>1125</v>
      </c>
      <c r="AZ97" s="661">
        <f>AZ94-AZ93</f>
        <v>884</v>
      </c>
      <c r="BA97" s="661">
        <f>Y97</f>
        <v>1857</v>
      </c>
      <c r="BB97" s="661">
        <f>BB94-BB93</f>
        <v>743</v>
      </c>
      <c r="BC97" s="661">
        <f>BC94-BC93</f>
        <v>803</v>
      </c>
      <c r="BD97" s="661">
        <f>Z97</f>
        <v>1688</v>
      </c>
      <c r="BE97" s="661">
        <f>BE94-BE93</f>
        <v>934</v>
      </c>
      <c r="BF97" s="661">
        <f>BF94-BF93</f>
        <v>836</v>
      </c>
      <c r="BG97" s="661">
        <f t="shared" ref="BG97:BN98" si="176">AA97</f>
        <v>2023</v>
      </c>
      <c r="BH97" s="661">
        <f t="shared" si="176"/>
        <v>2140</v>
      </c>
      <c r="BI97" s="661">
        <f t="shared" si="176"/>
        <v>2173</v>
      </c>
      <c r="BJ97" s="661">
        <f t="shared" si="176"/>
        <v>2418.1974171777601</v>
      </c>
      <c r="BK97" s="661">
        <f t="shared" si="176"/>
        <v>2520.1542279387595</v>
      </c>
      <c r="BL97" s="661">
        <f t="shared" si="176"/>
        <v>2625.3947035679821</v>
      </c>
      <c r="BM97" s="661">
        <f t="shared" si="176"/>
        <v>2735.366423526184</v>
      </c>
      <c r="BN97" s="661">
        <f t="shared" si="176"/>
        <v>2850.8322780854087</v>
      </c>
    </row>
    <row r="98" spans="1:66">
      <c r="A98" s="327"/>
      <c r="B98" s="325" t="s">
        <v>880</v>
      </c>
      <c r="C98" s="811" t="s">
        <v>733</v>
      </c>
      <c r="D98" s="764"/>
      <c r="E98" s="313">
        <f t="shared" ref="E98:U98" si="177">E97/D97-1</f>
        <v>9.3208537838146421E-2</v>
      </c>
      <c r="F98" s="313">
        <f t="shared" si="177"/>
        <v>-0.1746992983628467</v>
      </c>
      <c r="G98" s="313">
        <f t="shared" si="177"/>
        <v>-0.10156368604827681</v>
      </c>
      <c r="H98" s="313">
        <f t="shared" si="177"/>
        <v>0.22065450039427725</v>
      </c>
      <c r="I98" s="313">
        <f t="shared" si="177"/>
        <v>-4.3836374962512581E-3</v>
      </c>
      <c r="J98" s="313">
        <f t="shared" si="177"/>
        <v>-0.15046462586610398</v>
      </c>
      <c r="K98" s="313">
        <f t="shared" si="177"/>
        <v>-4.5826513911620737E-2</v>
      </c>
      <c r="L98" s="313">
        <f t="shared" si="177"/>
        <v>9.9885648942253269E-2</v>
      </c>
      <c r="M98" s="313">
        <f t="shared" si="177"/>
        <v>9.84820918022562E-2</v>
      </c>
      <c r="N98" s="313">
        <f t="shared" si="177"/>
        <v>-6.0028866857535057E-2</v>
      </c>
      <c r="O98" s="313">
        <f t="shared" si="177"/>
        <v>-0.13416905804762624</v>
      </c>
      <c r="P98" s="313">
        <f t="shared" si="177"/>
        <v>4.163777413071279E-2</v>
      </c>
      <c r="Q98" s="313">
        <f t="shared" si="177"/>
        <v>9.3861380642974002E-2</v>
      </c>
      <c r="R98" s="313">
        <f t="shared" si="177"/>
        <v>0.15128312829059021</v>
      </c>
      <c r="S98" s="313">
        <f t="shared" si="177"/>
        <v>-0.11148049645390068</v>
      </c>
      <c r="T98" s="313">
        <f t="shared" si="177"/>
        <v>-4.567283611873274E-2</v>
      </c>
      <c r="U98" s="313">
        <f t="shared" si="177"/>
        <v>-0.10357323729730761</v>
      </c>
      <c r="V98" s="313">
        <f t="shared" ref="V98:AC98" si="178">V97/U97-1</f>
        <v>0.14531071364112269</v>
      </c>
      <c r="W98" s="313">
        <f t="shared" si="178"/>
        <v>-0.46283095723014256</v>
      </c>
      <c r="X98" s="313">
        <f t="shared" si="178"/>
        <v>-0.137914691943128</v>
      </c>
      <c r="Y98" s="313">
        <f t="shared" si="178"/>
        <v>2.0890599230346307E-2</v>
      </c>
      <c r="Z98" s="313">
        <f t="shared" si="178"/>
        <v>-9.1007000538502969E-2</v>
      </c>
      <c r="AA98" s="313">
        <f t="shared" si="178"/>
        <v>0.19845971563981046</v>
      </c>
      <c r="AB98" s="313">
        <f t="shared" si="178"/>
        <v>5.7834898665348522E-2</v>
      </c>
      <c r="AC98" s="313">
        <f t="shared" si="178"/>
        <v>1.5420560747663625E-2</v>
      </c>
      <c r="AD98" s="312">
        <f t="shared" ref="AD98:AI98" si="179">AD97/AC97-1</f>
        <v>0.11283820394742761</v>
      </c>
      <c r="AE98" s="312">
        <f t="shared" si="179"/>
        <v>4.2162318939200416E-2</v>
      </c>
      <c r="AF98" s="312">
        <f t="shared" si="179"/>
        <v>4.175953775467911E-2</v>
      </c>
      <c r="AG98" s="312">
        <f t="shared" si="179"/>
        <v>4.1887690185687942E-2</v>
      </c>
      <c r="AH98" s="312">
        <f t="shared" si="179"/>
        <v>4.2212207317503303E-2</v>
      </c>
      <c r="AI98" s="312">
        <f t="shared" si="179"/>
        <v>4.2664284439842382E-2</v>
      </c>
      <c r="AJ98" s="312">
        <f t="shared" ref="AJ98" si="180">AJ97/AI97-1</f>
        <v>4.3187294920984165E-2</v>
      </c>
      <c r="AK98" s="312">
        <f t="shared" ref="AK98:AL98" si="181">AK97/AJ97-1</f>
        <v>4.3732524968667974E-2</v>
      </c>
      <c r="AL98" s="312">
        <f t="shared" si="181"/>
        <v>4.7093688380085874E-2</v>
      </c>
      <c r="AP98" s="312"/>
      <c r="AQ98" s="312"/>
      <c r="AR98" s="312">
        <f>V98</f>
        <v>0.14531071364112269</v>
      </c>
      <c r="AS98" s="312"/>
      <c r="AT98" s="312"/>
      <c r="AU98" s="312">
        <f>W98</f>
        <v>-0.46283095723014256</v>
      </c>
      <c r="AV98" s="312">
        <f>AV97/AS97-1</f>
        <v>-0.41087405368203711</v>
      </c>
      <c r="AW98" s="312">
        <f>AW97/AT97-1</f>
        <v>-0.55154028436018954</v>
      </c>
      <c r="AX98" s="312">
        <f>X98</f>
        <v>-0.137914691943128</v>
      </c>
      <c r="AY98" s="312">
        <f>AY97/AV97-1</f>
        <v>0.31425233644859807</v>
      </c>
      <c r="AZ98" s="312">
        <f>AZ97/AW97-1</f>
        <v>0.16776750330250989</v>
      </c>
      <c r="BA98" s="312">
        <f>Y98</f>
        <v>2.0890599230346307E-2</v>
      </c>
      <c r="BB98" s="312">
        <f>BB97/AY97-1</f>
        <v>-0.33955555555555561</v>
      </c>
      <c r="BC98" s="312">
        <f>BC97/AZ97-1</f>
        <v>-9.1628959276018107E-2</v>
      </c>
      <c r="BD98" s="312">
        <f>Z98</f>
        <v>-9.1007000538502969E-2</v>
      </c>
      <c r="BE98" s="312">
        <f>BE97/BB97-1</f>
        <v>0.25706594885598921</v>
      </c>
      <c r="BF98" s="312">
        <f>BF97/BC97-1</f>
        <v>4.1095890410958846E-2</v>
      </c>
      <c r="BG98" s="312">
        <f t="shared" si="176"/>
        <v>0.19845971563981046</v>
      </c>
      <c r="BH98" s="312">
        <f t="shared" si="176"/>
        <v>5.7834898665348522E-2</v>
      </c>
      <c r="BI98" s="312">
        <f t="shared" si="176"/>
        <v>1.5420560747663625E-2</v>
      </c>
      <c r="BJ98" s="312">
        <f t="shared" si="176"/>
        <v>0.11283820394742761</v>
      </c>
      <c r="BK98" s="312">
        <f t="shared" si="176"/>
        <v>4.2162318939200416E-2</v>
      </c>
      <c r="BL98" s="312">
        <f t="shared" si="176"/>
        <v>4.175953775467911E-2</v>
      </c>
      <c r="BM98" s="312">
        <f t="shared" si="176"/>
        <v>4.1887690185687942E-2</v>
      </c>
      <c r="BN98" s="312">
        <f t="shared" si="176"/>
        <v>4.2212207317503303E-2</v>
      </c>
    </row>
    <row r="99" spans="1:66">
      <c r="A99" s="6"/>
      <c r="B99" s="36"/>
      <c r="C99" s="38"/>
      <c r="D99" s="7"/>
      <c r="E99" s="7"/>
      <c r="F99" s="7"/>
      <c r="G99" s="7"/>
      <c r="H99" s="7"/>
      <c r="I99" s="7"/>
      <c r="J99" s="7"/>
      <c r="K99" s="7"/>
      <c r="L99" s="7"/>
      <c r="M99" s="7"/>
      <c r="N99" s="7"/>
      <c r="O99" s="7"/>
      <c r="P99" s="7"/>
      <c r="Q99" s="7"/>
      <c r="R99" s="7"/>
      <c r="S99" s="7"/>
      <c r="T99" s="7"/>
      <c r="U99" s="7"/>
      <c r="V99" s="7"/>
      <c r="W99" s="7"/>
      <c r="X99" s="7"/>
      <c r="Y99" s="7"/>
      <c r="Z99" s="7"/>
      <c r="AA99" s="7"/>
      <c r="AB99" s="7"/>
      <c r="AC99" s="7"/>
      <c r="AD99" s="2"/>
      <c r="AE99" s="2"/>
      <c r="AF99" s="2"/>
      <c r="AG99" s="2"/>
      <c r="AH99" s="2"/>
      <c r="AI99" s="2"/>
      <c r="AJ99" s="2"/>
      <c r="AK99" s="2"/>
      <c r="AL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row>
    <row r="100" spans="1:66">
      <c r="A100" s="2"/>
      <c r="B100" s="3" t="s">
        <v>419</v>
      </c>
      <c r="C100" s="926" t="s">
        <v>945</v>
      </c>
      <c r="D100" s="943">
        <f>E100</f>
        <v>12867</v>
      </c>
      <c r="E100" s="943">
        <f>F100</f>
        <v>12867</v>
      </c>
      <c r="F100" s="944">
        <f>'Cost + BS Assumptions'!F164</f>
        <v>12867</v>
      </c>
      <c r="G100" s="944">
        <f>'Cost + BS Assumptions'!G164</f>
        <v>12867</v>
      </c>
      <c r="H100" s="944">
        <f>'Cost + BS Assumptions'!H164</f>
        <v>12723</v>
      </c>
      <c r="I100" s="944">
        <f>'Cost + BS Assumptions'!I164</f>
        <v>12513</v>
      </c>
      <c r="J100" s="944">
        <f>'Cost + BS Assumptions'!J164</f>
        <v>12366</v>
      </c>
      <c r="K100" s="944">
        <f>'Cost + BS Assumptions'!K164</f>
        <v>12375</v>
      </c>
      <c r="L100" s="944">
        <f>'Cost + BS Assumptions'!L164</f>
        <v>12365</v>
      </c>
      <c r="M100" s="944">
        <f>'Cost + BS Assumptions'!M164</f>
        <v>12368</v>
      </c>
      <c r="N100" s="944">
        <f>'Cost + BS Assumptions'!N164</f>
        <v>12373</v>
      </c>
      <c r="O100" s="451">
        <f>'Cost + BS Assumptions'!O164</f>
        <v>12382</v>
      </c>
      <c r="P100" s="451">
        <f>'Cost + BS Assumptions'!P164</f>
        <v>12398</v>
      </c>
      <c r="Q100" s="451">
        <f>'Cost + BS Assumptions'!Q164</f>
        <v>12406</v>
      </c>
      <c r="R100" s="451">
        <f>'Cost + BS Assumptions'!R164</f>
        <v>12418</v>
      </c>
      <c r="S100" s="451">
        <f>'Cost + BS Assumptions'!S164</f>
        <v>12264</v>
      </c>
      <c r="T100" s="451">
        <f>'Cost + BS Assumptions'!T164</f>
        <v>12202</v>
      </c>
      <c r="U100" s="451">
        <f>'Cost + BS Assumptions'!U164</f>
        <v>11968</v>
      </c>
      <c r="V100" s="467">
        <f>'Cost + BS Assumptions'!V164</f>
        <v>11880</v>
      </c>
      <c r="W100" s="467">
        <f>'Cost + BS Assumptions'!W164</f>
        <v>11880</v>
      </c>
      <c r="X100" s="467">
        <f>'Cost + BS Assumptions'!X164</f>
        <v>11880</v>
      </c>
      <c r="Y100" s="467">
        <f>'Cost + BS Assumptions'!Y164</f>
        <v>11875</v>
      </c>
      <c r="Z100" s="467">
        <f>'Cost + BS Assumptions'!Z164</f>
        <v>11755</v>
      </c>
      <c r="AA100" s="467">
        <f>'Cost + BS Assumptions'!AA164</f>
        <v>11543</v>
      </c>
      <c r="AB100" s="467">
        <f>'Cost + BS Assumptions'!AB164</f>
        <v>11543</v>
      </c>
      <c r="AC100" s="467">
        <f>'Cost + BS Assumptions'!AC164</f>
        <v>11514</v>
      </c>
      <c r="AD100" s="466">
        <f>'Cost + BS Assumptions'!AD164</f>
        <v>11254.9</v>
      </c>
      <c r="AE100" s="466">
        <f>'Cost + BS Assumptions'!AE164</f>
        <v>11203.879591836734</v>
      </c>
      <c r="AF100" s="466">
        <f>'Cost + BS Assumptions'!AF164</f>
        <v>11203.879591836734</v>
      </c>
      <c r="AG100" s="466">
        <f>'Cost + BS Assumptions'!AG164</f>
        <v>11203.879591836734</v>
      </c>
      <c r="AH100" s="466">
        <f>'Cost + BS Assumptions'!AH164</f>
        <v>11203.879591836734</v>
      </c>
      <c r="AI100" s="466">
        <f>'Cost + BS Assumptions'!AI164</f>
        <v>11203.879591836734</v>
      </c>
      <c r="AJ100" s="466">
        <f>'Cost + BS Assumptions'!AJ164</f>
        <v>11203.879591836734</v>
      </c>
      <c r="AK100" s="466">
        <f>'Cost + BS Assumptions'!AK164</f>
        <v>11203.879591836734</v>
      </c>
      <c r="AL100" s="466">
        <f>'Cost + BS Assumptions'!AL164</f>
        <v>11203.879591836734</v>
      </c>
      <c r="AP100" s="615"/>
      <c r="AQ100" s="254">
        <f>+AR100</f>
        <v>11880</v>
      </c>
      <c r="AR100" s="254">
        <f t="shared" ref="AR100:AR107" si="182">V100</f>
        <v>11880</v>
      </c>
      <c r="AS100" s="254"/>
      <c r="AT100" s="254">
        <f>+AU100</f>
        <v>11880</v>
      </c>
      <c r="AU100" s="254">
        <f t="shared" ref="AU100:AU107" si="183">W100</f>
        <v>11880</v>
      </c>
      <c r="AV100" s="254"/>
      <c r="AW100" s="254">
        <f>+AX100</f>
        <v>11880</v>
      </c>
      <c r="AX100" s="254">
        <f t="shared" ref="AX100:AX107" si="184">X100</f>
        <v>11880</v>
      </c>
      <c r="AY100" s="254"/>
      <c r="AZ100" s="254">
        <f>+BA100</f>
        <v>11875</v>
      </c>
      <c r="BA100" s="254">
        <f t="shared" ref="BA100:BA107" si="185">Y100</f>
        <v>11875</v>
      </c>
      <c r="BB100" s="254"/>
      <c r="BC100" s="254">
        <f>+BD100</f>
        <v>11755</v>
      </c>
      <c r="BD100" s="254">
        <f t="shared" ref="BD100:BD107" si="186">Z100</f>
        <v>11755</v>
      </c>
      <c r="BE100" s="254"/>
      <c r="BF100" s="254">
        <f>+BG100</f>
        <v>11543</v>
      </c>
      <c r="BG100" s="254">
        <f t="shared" ref="BG100:BH107" si="187">AA100</f>
        <v>11543</v>
      </c>
      <c r="BH100" s="254">
        <f t="shared" si="187"/>
        <v>11543</v>
      </c>
      <c r="BI100" s="254">
        <f t="shared" ref="BI100:BI107" si="188">AC100</f>
        <v>11514</v>
      </c>
      <c r="BJ100" s="254">
        <f t="shared" ref="BJ100:BJ107" si="189">AD100</f>
        <v>11254.9</v>
      </c>
      <c r="BK100" s="254">
        <f t="shared" ref="BK100:BK107" si="190">AE100</f>
        <v>11203.879591836734</v>
      </c>
      <c r="BL100" s="254">
        <f t="shared" ref="BL100:BL107" si="191">AF100</f>
        <v>11203.879591836734</v>
      </c>
      <c r="BM100" s="254">
        <f t="shared" ref="BM100:BM107" si="192">AG100</f>
        <v>11203.879591836734</v>
      </c>
      <c r="BN100" s="254">
        <f t="shared" ref="BN100:BN107" si="193">AH100</f>
        <v>11203.879591836734</v>
      </c>
    </row>
    <row r="101" spans="1:66">
      <c r="A101" s="2"/>
      <c r="B101" s="3" t="s">
        <v>25</v>
      </c>
      <c r="C101" s="926" t="s">
        <v>945</v>
      </c>
      <c r="D101" s="945">
        <f>E101</f>
        <v>12867</v>
      </c>
      <c r="E101" s="945">
        <f>F101</f>
        <v>12867</v>
      </c>
      <c r="F101" s="946">
        <f>'Cost + BS Assumptions'!F166</f>
        <v>12867</v>
      </c>
      <c r="G101" s="946">
        <f>'Cost + BS Assumptions'!G166</f>
        <v>12867</v>
      </c>
      <c r="H101" s="946">
        <f>'Cost + BS Assumptions'!H166</f>
        <v>12723</v>
      </c>
      <c r="I101" s="946">
        <f>'Cost + BS Assumptions'!I166</f>
        <v>12513</v>
      </c>
      <c r="J101" s="946">
        <f>'Cost + BS Assumptions'!J166</f>
        <v>12401</v>
      </c>
      <c r="K101" s="946">
        <f>'Cost + BS Assumptions'!K166</f>
        <v>12407</v>
      </c>
      <c r="L101" s="946">
        <f>'Cost + BS Assumptions'!L166</f>
        <v>12399</v>
      </c>
      <c r="M101" s="946">
        <f>'Cost + BS Assumptions'!M166</f>
        <v>12396</v>
      </c>
      <c r="N101" s="946">
        <f>'Cost + BS Assumptions'!N166</f>
        <v>12397</v>
      </c>
      <c r="O101" s="465">
        <f>'Cost + BS Assumptions'!O166</f>
        <v>12397</v>
      </c>
      <c r="P101" s="465">
        <f>'Cost + BS Assumptions'!P166</f>
        <v>12406</v>
      </c>
      <c r="Q101" s="465">
        <f>'Cost + BS Assumptions'!Q166</f>
        <v>12444</v>
      </c>
      <c r="R101" s="465">
        <f>'Cost + BS Assumptions'!R166</f>
        <v>12445</v>
      </c>
      <c r="S101" s="465">
        <f>'Cost + BS Assumptions'!S166</f>
        <v>12280</v>
      </c>
      <c r="T101" s="465">
        <f>'Cost + BS Assumptions'!T166</f>
        <v>12216</v>
      </c>
      <c r="U101" s="465">
        <f>'Cost + BS Assumptions'!U166</f>
        <v>11979</v>
      </c>
      <c r="V101" s="466">
        <f>'Cost + BS Assumptions'!V166</f>
        <v>11884</v>
      </c>
      <c r="W101" s="466">
        <f>'Cost + BS Assumptions'!W166</f>
        <v>11900</v>
      </c>
      <c r="X101" s="466">
        <f>'Cost + BS Assumptions'!X166</f>
        <v>11895</v>
      </c>
      <c r="Y101" s="466">
        <f>'Cost + BS Assumptions'!Y166</f>
        <v>11892</v>
      </c>
      <c r="Z101" s="466">
        <f>'Cost + BS Assumptions'!Z166</f>
        <v>11764</v>
      </c>
      <c r="AA101" s="466">
        <f>'Cost + BS Assumptions'!AA166</f>
        <v>11554</v>
      </c>
      <c r="AB101" s="466">
        <f>'Cost + BS Assumptions'!AB166</f>
        <v>11553</v>
      </c>
      <c r="AC101" s="466">
        <f>'Cost + BS Assumptions'!AC166</f>
        <v>11524</v>
      </c>
      <c r="AD101" s="466">
        <f>'Cost + BS Assumptions'!AD166</f>
        <v>11254.9</v>
      </c>
      <c r="AE101" s="466">
        <f>'Cost + BS Assumptions'!AE166</f>
        <v>11254.9</v>
      </c>
      <c r="AF101" s="466">
        <f>'Cost + BS Assumptions'!AF166</f>
        <v>11254.9</v>
      </c>
      <c r="AG101" s="466">
        <f>'Cost + BS Assumptions'!AG166</f>
        <v>11254.9</v>
      </c>
      <c r="AH101" s="466">
        <f>'Cost + BS Assumptions'!AH166</f>
        <v>11254.9</v>
      </c>
      <c r="AI101" s="466">
        <f>'Cost + BS Assumptions'!AI166</f>
        <v>11254.9</v>
      </c>
      <c r="AJ101" s="466">
        <f>'Cost + BS Assumptions'!AJ166</f>
        <v>11254.9</v>
      </c>
      <c r="AK101" s="466">
        <f>'Cost + BS Assumptions'!AK166</f>
        <v>11254.9</v>
      </c>
      <c r="AL101" s="466">
        <f>'Cost + BS Assumptions'!AL166</f>
        <v>11254.9</v>
      </c>
      <c r="AP101" s="615"/>
      <c r="AQ101" s="254">
        <f>+AR101</f>
        <v>11884</v>
      </c>
      <c r="AR101" s="254">
        <f t="shared" si="182"/>
        <v>11884</v>
      </c>
      <c r="AS101" s="615"/>
      <c r="AT101" s="254">
        <f>+AU101</f>
        <v>11900</v>
      </c>
      <c r="AU101" s="254">
        <f t="shared" si="183"/>
        <v>11900</v>
      </c>
      <c r="AV101" s="615"/>
      <c r="AW101" s="254">
        <f>+AX101</f>
        <v>11895</v>
      </c>
      <c r="AX101" s="254">
        <f t="shared" si="184"/>
        <v>11895</v>
      </c>
      <c r="AY101" s="615"/>
      <c r="AZ101" s="254">
        <f>+BA101</f>
        <v>11892</v>
      </c>
      <c r="BA101" s="254">
        <f t="shared" si="185"/>
        <v>11892</v>
      </c>
      <c r="BB101" s="615"/>
      <c r="BC101" s="254">
        <f>+BD101</f>
        <v>11764</v>
      </c>
      <c r="BD101" s="254">
        <f t="shared" si="186"/>
        <v>11764</v>
      </c>
      <c r="BE101" s="615"/>
      <c r="BF101" s="254">
        <f>+BG101</f>
        <v>11554</v>
      </c>
      <c r="BG101" s="254">
        <f t="shared" si="187"/>
        <v>11554</v>
      </c>
      <c r="BH101" s="254">
        <f t="shared" si="187"/>
        <v>11553</v>
      </c>
      <c r="BI101" s="254">
        <f t="shared" si="188"/>
        <v>11524</v>
      </c>
      <c r="BJ101" s="254">
        <f t="shared" si="189"/>
        <v>11254.9</v>
      </c>
      <c r="BK101" s="254">
        <f t="shared" si="190"/>
        <v>11254.9</v>
      </c>
      <c r="BL101" s="254">
        <f t="shared" si="191"/>
        <v>11254.9</v>
      </c>
      <c r="BM101" s="254">
        <f t="shared" si="192"/>
        <v>11254.9</v>
      </c>
      <c r="BN101" s="254">
        <f t="shared" si="193"/>
        <v>11254.9</v>
      </c>
    </row>
    <row r="102" spans="1:66">
      <c r="A102" s="6"/>
      <c r="B102" s="4" t="s">
        <v>946</v>
      </c>
      <c r="C102" s="947" t="s">
        <v>947</v>
      </c>
      <c r="D102" s="948">
        <f t="shared" ref="D102:AK102" si="194">D94/D100*100</f>
        <v>28.576979870987802</v>
      </c>
      <c r="E102" s="948">
        <f t="shared" si="194"/>
        <v>31.538043055879385</v>
      </c>
      <c r="F102" s="948">
        <f t="shared" si="194"/>
        <v>28.452630760861119</v>
      </c>
      <c r="G102" s="948">
        <f t="shared" si="194"/>
        <v>26.649568664024248</v>
      </c>
      <c r="H102" s="948">
        <f t="shared" si="194"/>
        <v>32.366580209070186</v>
      </c>
      <c r="I102" s="948">
        <f t="shared" si="194"/>
        <v>34.436186366179165</v>
      </c>
      <c r="J102" s="948">
        <f t="shared" si="194"/>
        <v>25.7399320718098</v>
      </c>
      <c r="K102" s="948">
        <f t="shared" si="194"/>
        <v>26.286868686868669</v>
      </c>
      <c r="L102" s="948">
        <f t="shared" si="194"/>
        <v>29.858471492114841</v>
      </c>
      <c r="M102" s="948">
        <f t="shared" si="194"/>
        <v>32.931759379042688</v>
      </c>
      <c r="N102" s="948">
        <f t="shared" si="194"/>
        <v>31.382849753495513</v>
      </c>
      <c r="O102" s="398">
        <f t="shared" si="194"/>
        <v>26.09433047972864</v>
      </c>
      <c r="P102" s="398">
        <f t="shared" si="194"/>
        <v>28.164359476528467</v>
      </c>
      <c r="Q102" s="398">
        <f t="shared" si="194"/>
        <v>31.590403555810166</v>
      </c>
      <c r="R102" s="398">
        <f t="shared" si="194"/>
        <v>40.586245772266068</v>
      </c>
      <c r="S102" s="398">
        <f t="shared" si="194"/>
        <v>32.844096542726682</v>
      </c>
      <c r="T102" s="398">
        <f t="shared" si="194"/>
        <v>31.444825438452717</v>
      </c>
      <c r="U102" s="398">
        <f t="shared" si="194"/>
        <v>28.656726270053479</v>
      </c>
      <c r="V102" s="398">
        <f t="shared" si="194"/>
        <v>33.063973063973066</v>
      </c>
      <c r="W102" s="398">
        <f t="shared" si="194"/>
        <v>17.760942760942761</v>
      </c>
      <c r="X102" s="398">
        <f t="shared" si="194"/>
        <v>15.311447811447811</v>
      </c>
      <c r="Y102" s="398">
        <f t="shared" si="194"/>
        <v>15.637894736842107</v>
      </c>
      <c r="Z102" s="398">
        <f t="shared" si="194"/>
        <v>14.359846873670779</v>
      </c>
      <c r="AA102" s="398">
        <f t="shared" si="194"/>
        <v>16.702763579658665</v>
      </c>
      <c r="AB102" s="398">
        <f t="shared" si="194"/>
        <v>13.965173698345318</v>
      </c>
      <c r="AC102" s="398">
        <f t="shared" ref="AC102" si="195">AC94/AC100*100</f>
        <v>17.726246308841411</v>
      </c>
      <c r="AD102" s="401">
        <f t="shared" si="194"/>
        <v>21.485729923657786</v>
      </c>
      <c r="AE102" s="401">
        <f t="shared" si="194"/>
        <v>22.493585434236284</v>
      </c>
      <c r="AF102" s="401">
        <f t="shared" si="194"/>
        <v>23.432907164415376</v>
      </c>
      <c r="AG102" s="401">
        <f t="shared" si="194"/>
        <v>24.414457519868396</v>
      </c>
      <c r="AH102" s="401">
        <f t="shared" si="194"/>
        <v>25.445045662241455</v>
      </c>
      <c r="AI102" s="401">
        <f t="shared" si="194"/>
        <v>26.530640327960104</v>
      </c>
      <c r="AJ102" s="401">
        <f t="shared" si="194"/>
        <v>27.676426916246271</v>
      </c>
      <c r="AK102" s="401">
        <f t="shared" si="194"/>
        <v>28.886786947404531</v>
      </c>
      <c r="AL102" s="401">
        <f t="shared" ref="AL102" si="196">AL94/AL100*100</f>
        <v>30.247172290207523</v>
      </c>
      <c r="AP102" s="925">
        <v>14.4</v>
      </c>
      <c r="AQ102" s="401">
        <f>AQ94/AQ100*100</f>
        <v>15.984848484848484</v>
      </c>
      <c r="AR102" s="6">
        <f t="shared" si="182"/>
        <v>33.063973063973066</v>
      </c>
      <c r="AS102" s="925">
        <v>10.4</v>
      </c>
      <c r="AT102" s="6">
        <f>AT94/AT100*100</f>
        <v>14.208754208754209</v>
      </c>
      <c r="AU102" s="6">
        <f t="shared" si="183"/>
        <v>17.760942760942761</v>
      </c>
      <c r="AV102" s="925">
        <v>9.6</v>
      </c>
      <c r="AW102" s="6">
        <f>AW94/AW100*100</f>
        <v>6.372053872053872</v>
      </c>
      <c r="AX102" s="6">
        <f t="shared" si="184"/>
        <v>15.311447811447811</v>
      </c>
      <c r="AY102" s="925">
        <v>9.1999999999999993</v>
      </c>
      <c r="AZ102" s="6">
        <f>AZ94/AZ100*100</f>
        <v>7.4442105263157892</v>
      </c>
      <c r="BA102" s="6">
        <f t="shared" si="185"/>
        <v>15.637894736842107</v>
      </c>
      <c r="BB102" s="925">
        <v>5.9</v>
      </c>
      <c r="BC102" s="6">
        <f>BC94/BC100*100</f>
        <v>6.8311356869417263</v>
      </c>
      <c r="BD102" s="6">
        <f t="shared" si="186"/>
        <v>14.359846873670779</v>
      </c>
      <c r="BE102" s="925">
        <v>7.5</v>
      </c>
      <c r="BF102" s="6">
        <f>BF94/BF100*100</f>
        <v>8.0654942389326862</v>
      </c>
      <c r="BG102" s="6">
        <f t="shared" si="187"/>
        <v>16.702763579658665</v>
      </c>
      <c r="BH102" s="6">
        <f t="shared" si="187"/>
        <v>13.965173698345318</v>
      </c>
      <c r="BI102" s="6">
        <f t="shared" si="188"/>
        <v>17.726246308841411</v>
      </c>
      <c r="BJ102" s="6">
        <f t="shared" si="189"/>
        <v>21.485729923657786</v>
      </c>
      <c r="BK102" s="6">
        <f t="shared" si="190"/>
        <v>22.493585434236284</v>
      </c>
      <c r="BL102" s="6">
        <f t="shared" si="191"/>
        <v>23.432907164415376</v>
      </c>
      <c r="BM102" s="6">
        <f t="shared" si="192"/>
        <v>24.414457519868396</v>
      </c>
      <c r="BN102" s="6">
        <f t="shared" si="193"/>
        <v>25.445045662241455</v>
      </c>
    </row>
    <row r="103" spans="1:66">
      <c r="A103" s="6"/>
      <c r="B103" s="4" t="s">
        <v>948</v>
      </c>
      <c r="C103" s="947" t="s">
        <v>947</v>
      </c>
      <c r="D103" s="948">
        <f t="shared" ref="D103:AK103" si="197">D94/D101*100</f>
        <v>28.576979870987802</v>
      </c>
      <c r="E103" s="948">
        <f t="shared" si="197"/>
        <v>31.538043055879385</v>
      </c>
      <c r="F103" s="948">
        <f t="shared" si="197"/>
        <v>28.452630760861119</v>
      </c>
      <c r="G103" s="948">
        <f t="shared" si="197"/>
        <v>26.649568664024248</v>
      </c>
      <c r="H103" s="948">
        <f t="shared" si="197"/>
        <v>32.366580209070186</v>
      </c>
      <c r="I103" s="948">
        <f t="shared" si="197"/>
        <v>34.436186366179165</v>
      </c>
      <c r="J103" s="948">
        <f t="shared" si="197"/>
        <v>25.667284896379321</v>
      </c>
      <c r="K103" s="948">
        <f t="shared" si="197"/>
        <v>26.219069879906488</v>
      </c>
      <c r="L103" s="948">
        <f t="shared" si="197"/>
        <v>29.776594886684411</v>
      </c>
      <c r="M103" s="948">
        <f t="shared" si="197"/>
        <v>32.85737334624072</v>
      </c>
      <c r="N103" s="948">
        <f t="shared" si="197"/>
        <v>31.322094055013309</v>
      </c>
      <c r="O103" s="398">
        <f t="shared" si="197"/>
        <v>26.062757118657743</v>
      </c>
      <c r="P103" s="398">
        <f t="shared" si="197"/>
        <v>28.146197709979038</v>
      </c>
      <c r="Q103" s="398">
        <f t="shared" si="197"/>
        <v>31.493936556845135</v>
      </c>
      <c r="R103" s="398">
        <f t="shared" si="197"/>
        <v>40.498192044997992</v>
      </c>
      <c r="S103" s="398">
        <f t="shared" si="197"/>
        <v>32.801302931596091</v>
      </c>
      <c r="T103" s="398">
        <f t="shared" si="197"/>
        <v>31.408788474132287</v>
      </c>
      <c r="U103" s="362">
        <f t="shared" si="197"/>
        <v>28.630411553552054</v>
      </c>
      <c r="V103" s="362">
        <f t="shared" si="197"/>
        <v>33.052844160215415</v>
      </c>
      <c r="W103" s="398">
        <f t="shared" si="197"/>
        <v>17.731092436974791</v>
      </c>
      <c r="X103" s="398">
        <f t="shared" si="197"/>
        <v>15.292139554434636</v>
      </c>
      <c r="Y103" s="398">
        <f t="shared" si="197"/>
        <v>15.615539858728559</v>
      </c>
      <c r="Z103" s="398">
        <f t="shared" si="197"/>
        <v>14.348860931655899</v>
      </c>
      <c r="AA103" s="398">
        <f t="shared" si="197"/>
        <v>16.686861692920203</v>
      </c>
      <c r="AB103" s="398">
        <f t="shared" si="197"/>
        <v>13.953085778585649</v>
      </c>
      <c r="AC103" s="398">
        <f t="shared" ref="AC103" si="198">AC94/AC101*100</f>
        <v>17.710864283234987</v>
      </c>
      <c r="AD103" s="401">
        <f t="shared" si="197"/>
        <v>21.485729923657786</v>
      </c>
      <c r="AE103" s="401">
        <f t="shared" si="197"/>
        <v>22.391618121340567</v>
      </c>
      <c r="AF103" s="401">
        <f t="shared" si="197"/>
        <v>23.326681743667045</v>
      </c>
      <c r="AG103" s="401">
        <f t="shared" si="197"/>
        <v>24.303782561605917</v>
      </c>
      <c r="AH103" s="401">
        <f t="shared" si="197"/>
        <v>25.329698869695942</v>
      </c>
      <c r="AI103" s="401">
        <f t="shared" si="197"/>
        <v>26.410372347048206</v>
      </c>
      <c r="AJ103" s="401">
        <f t="shared" si="197"/>
        <v>27.550964886573183</v>
      </c>
      <c r="AK103" s="401">
        <f t="shared" si="197"/>
        <v>28.755838146386143</v>
      </c>
      <c r="AL103" s="401">
        <f t="shared" ref="AL103" si="199">AL94/AL101*100</f>
        <v>30.11005662716023</v>
      </c>
      <c r="AP103" s="925">
        <v>14.4</v>
      </c>
      <c r="AQ103" s="6">
        <f>AQ94/AQ101*100</f>
        <v>15.979468192527769</v>
      </c>
      <c r="AR103" s="6">
        <f t="shared" si="182"/>
        <v>33.052844160215415</v>
      </c>
      <c r="AS103" s="925">
        <v>10.4</v>
      </c>
      <c r="AT103" s="6">
        <f>AT94/AT101*100</f>
        <v>14.184873949579831</v>
      </c>
      <c r="AU103" s="6">
        <f t="shared" si="183"/>
        <v>17.731092436974791</v>
      </c>
      <c r="AV103" s="925">
        <v>9.6</v>
      </c>
      <c r="AW103" s="6">
        <f>AW94/AW101*100</f>
        <v>6.3640184951660368</v>
      </c>
      <c r="AX103" s="6">
        <f t="shared" si="184"/>
        <v>15.292139554434636</v>
      </c>
      <c r="AY103" s="925">
        <v>9.1999999999999993</v>
      </c>
      <c r="AZ103" s="6">
        <f>AZ94/AZ101*100</f>
        <v>7.4335687857383119</v>
      </c>
      <c r="BA103" s="6">
        <f t="shared" si="185"/>
        <v>15.615539858728559</v>
      </c>
      <c r="BB103" s="925">
        <v>5.9</v>
      </c>
      <c r="BC103" s="6">
        <f>BC94/BC101*100</f>
        <v>6.8259095545732746</v>
      </c>
      <c r="BD103" s="6">
        <f t="shared" si="186"/>
        <v>14.348860931655899</v>
      </c>
      <c r="BE103" s="925">
        <v>7.5</v>
      </c>
      <c r="BF103" s="6">
        <f>BF94/BF101*100</f>
        <v>8.057815475160119</v>
      </c>
      <c r="BG103" s="6">
        <f t="shared" si="187"/>
        <v>16.686861692920203</v>
      </c>
      <c r="BH103" s="6">
        <f t="shared" si="187"/>
        <v>13.953085778585649</v>
      </c>
      <c r="BI103" s="6">
        <f t="shared" si="188"/>
        <v>17.710864283234987</v>
      </c>
      <c r="BJ103" s="6">
        <f t="shared" si="189"/>
        <v>21.485729923657786</v>
      </c>
      <c r="BK103" s="6">
        <f t="shared" si="190"/>
        <v>22.391618121340567</v>
      </c>
      <c r="BL103" s="6">
        <f t="shared" si="191"/>
        <v>23.326681743667045</v>
      </c>
      <c r="BM103" s="6">
        <f t="shared" si="192"/>
        <v>24.303782561605917</v>
      </c>
      <c r="BN103" s="6">
        <f t="shared" si="193"/>
        <v>25.329698869695942</v>
      </c>
    </row>
    <row r="104" spans="1:66">
      <c r="A104" s="657"/>
      <c r="B104" s="689" t="s">
        <v>1479</v>
      </c>
      <c r="C104" s="663" t="s">
        <v>947</v>
      </c>
      <c r="D104" s="664">
        <f t="shared" ref="D104:U104" si="200">D97/D101*100</f>
        <v>34.044454806870291</v>
      </c>
      <c r="E104" s="664">
        <f t="shared" si="200"/>
        <v>37.21768866091552</v>
      </c>
      <c r="F104" s="664">
        <f t="shared" si="200"/>
        <v>30.715784565166704</v>
      </c>
      <c r="G104" s="664">
        <f t="shared" si="200"/>
        <v>27.596176264863605</v>
      </c>
      <c r="H104" s="664">
        <f t="shared" si="200"/>
        <v>34.066650947103675</v>
      </c>
      <c r="I104" s="664">
        <f t="shared" si="200"/>
        <v>34.486534004635168</v>
      </c>
      <c r="J104" s="664">
        <f t="shared" si="200"/>
        <v>29.562132086122091</v>
      </c>
      <c r="K104" s="664">
        <f t="shared" si="200"/>
        <v>28.193761586201322</v>
      </c>
      <c r="L104" s="664">
        <f t="shared" si="200"/>
        <v>31.029921767884506</v>
      </c>
      <c r="M104" s="664">
        <f t="shared" si="200"/>
        <v>34.094062600838981</v>
      </c>
      <c r="N104" s="664">
        <f t="shared" si="200"/>
        <v>32.044849560377507</v>
      </c>
      <c r="O104" s="665">
        <f t="shared" si="200"/>
        <v>27.745422279583771</v>
      </c>
      <c r="P104" s="665">
        <f t="shared" si="200"/>
        <v>28.879713750604541</v>
      </c>
      <c r="Q104" s="665">
        <f t="shared" si="200"/>
        <v>31.493936556845135</v>
      </c>
      <c r="R104" s="665">
        <f t="shared" si="200"/>
        <v>36.255524306950583</v>
      </c>
      <c r="S104" s="665">
        <f t="shared" si="200"/>
        <v>32.646579804560261</v>
      </c>
      <c r="T104" s="665">
        <f t="shared" si="200"/>
        <v>31.318742632612967</v>
      </c>
      <c r="U104" s="666">
        <f t="shared" si="200"/>
        <v>28.630411553552054</v>
      </c>
      <c r="V104" s="666">
        <f>V97/V101*100</f>
        <v>33.052844160215415</v>
      </c>
      <c r="W104" s="665">
        <f t="shared" ref="W104:AB104" si="201">W97/W101*100</f>
        <v>17.731092436974791</v>
      </c>
      <c r="X104" s="665">
        <f t="shared" si="201"/>
        <v>15.292139554434636</v>
      </c>
      <c r="Y104" s="665">
        <f t="shared" si="201"/>
        <v>15.615539858728559</v>
      </c>
      <c r="Z104" s="665">
        <f t="shared" si="201"/>
        <v>14.348860931655899</v>
      </c>
      <c r="AA104" s="665">
        <f t="shared" si="201"/>
        <v>17.50908776181409</v>
      </c>
      <c r="AB104" s="665">
        <f t="shared" si="201"/>
        <v>18.523327274301046</v>
      </c>
      <c r="AC104" s="665">
        <f t="shared" ref="AC104" si="202">AC97/AC101*100</f>
        <v>18.856299895869491</v>
      </c>
      <c r="AD104" s="702">
        <f t="shared" ref="AD104:AH104" si="203">AD97/AD101*100</f>
        <v>21.485729923657786</v>
      </c>
      <c r="AE104" s="702">
        <f t="shared" si="203"/>
        <v>22.391618121340567</v>
      </c>
      <c r="AF104" s="702">
        <f t="shared" si="203"/>
        <v>23.326681743667045</v>
      </c>
      <c r="AG104" s="702">
        <f t="shared" si="203"/>
        <v>24.303782561605917</v>
      </c>
      <c r="AH104" s="702">
        <f t="shared" si="203"/>
        <v>25.329698869695942</v>
      </c>
      <c r="AI104" s="702">
        <f>AI97/AI101*100</f>
        <v>26.410372347048206</v>
      </c>
      <c r="AJ104" s="702">
        <f t="shared" ref="AJ104:AK104" si="204">AJ97/AJ101*100</f>
        <v>27.550964886573183</v>
      </c>
      <c r="AK104" s="702">
        <f t="shared" si="204"/>
        <v>28.755838146386143</v>
      </c>
      <c r="AL104" s="702">
        <f t="shared" ref="AL104" si="205">AL97/AL101*100</f>
        <v>30.11005662716023</v>
      </c>
      <c r="AP104" s="657"/>
      <c r="AQ104" s="657">
        <f>AQ97/AQ101*100</f>
        <v>15.979468192527769</v>
      </c>
      <c r="AR104" s="657">
        <f t="shared" si="182"/>
        <v>33.052844160215415</v>
      </c>
      <c r="AS104" s="657"/>
      <c r="AT104" s="657">
        <f>AT97/AT101*100</f>
        <v>14.184873949579831</v>
      </c>
      <c r="AU104" s="657">
        <f t="shared" si="183"/>
        <v>17.731092436974791</v>
      </c>
      <c r="AV104" s="657"/>
      <c r="AW104" s="657">
        <f>AW97/AW101*100</f>
        <v>6.3640184951660368</v>
      </c>
      <c r="AX104" s="657">
        <f t="shared" si="184"/>
        <v>15.292139554434636</v>
      </c>
      <c r="AY104" s="667"/>
      <c r="AZ104" s="657">
        <f>AZ97/AZ101*100</f>
        <v>7.4335687857383119</v>
      </c>
      <c r="BA104" s="657">
        <f t="shared" si="185"/>
        <v>15.615539858728559</v>
      </c>
      <c r="BB104" s="667"/>
      <c r="BC104" s="657">
        <f>BC97/BC101*100</f>
        <v>6.8259095545732746</v>
      </c>
      <c r="BD104" s="657">
        <f t="shared" si="186"/>
        <v>14.348860931655899</v>
      </c>
      <c r="BE104" s="667"/>
      <c r="BF104" s="657">
        <f>BF97/BF101*100</f>
        <v>7.2355894062662278</v>
      </c>
      <c r="BG104" s="657">
        <f t="shared" si="187"/>
        <v>17.50908776181409</v>
      </c>
      <c r="BH104" s="657">
        <f t="shared" si="187"/>
        <v>18.523327274301046</v>
      </c>
      <c r="BI104" s="657">
        <f t="shared" si="188"/>
        <v>18.856299895869491</v>
      </c>
      <c r="BJ104" s="657">
        <f t="shared" si="189"/>
        <v>21.485729923657786</v>
      </c>
      <c r="BK104" s="657">
        <f t="shared" si="190"/>
        <v>22.391618121340567</v>
      </c>
      <c r="BL104" s="657">
        <f t="shared" si="191"/>
        <v>23.326681743667045</v>
      </c>
      <c r="BM104" s="657">
        <f t="shared" si="192"/>
        <v>24.303782561605917</v>
      </c>
      <c r="BN104" s="657">
        <f t="shared" si="193"/>
        <v>25.329698869695942</v>
      </c>
    </row>
    <row r="105" spans="1:66">
      <c r="A105" s="327"/>
      <c r="B105" s="325" t="s">
        <v>880</v>
      </c>
      <c r="C105" s="811" t="s">
        <v>733</v>
      </c>
      <c r="D105" s="311"/>
      <c r="E105" s="311">
        <f t="shared" ref="E105:U105" si="206">(E104/D104)-1</f>
        <v>9.3208537838146199E-2</v>
      </c>
      <c r="F105" s="311">
        <f t="shared" si="206"/>
        <v>-0.1746992983628467</v>
      </c>
      <c r="G105" s="311">
        <f t="shared" si="206"/>
        <v>-0.10156368604827681</v>
      </c>
      <c r="H105" s="311">
        <f t="shared" si="206"/>
        <v>0.23446997222142318</v>
      </c>
      <c r="I105" s="311">
        <f t="shared" si="206"/>
        <v>1.2325340057156131E-2</v>
      </c>
      <c r="J105" s="311">
        <f t="shared" si="206"/>
        <v>-0.14279202189037643</v>
      </c>
      <c r="K105" s="311">
        <f t="shared" si="206"/>
        <v>-4.6287950271460598E-2</v>
      </c>
      <c r="L105" s="311">
        <f t="shared" si="206"/>
        <v>0.10059530981744791</v>
      </c>
      <c r="M105" s="311">
        <f t="shared" si="206"/>
        <v>9.8747939355935177E-2</v>
      </c>
      <c r="N105" s="311">
        <f t="shared" si="206"/>
        <v>-6.0104689325321092E-2</v>
      </c>
      <c r="O105" s="311">
        <f t="shared" si="206"/>
        <v>-0.13416905804762613</v>
      </c>
      <c r="P105" s="311">
        <f t="shared" si="206"/>
        <v>4.0882112356798617E-2</v>
      </c>
      <c r="Q105" s="311">
        <f t="shared" si="206"/>
        <v>9.0521077487683455E-2</v>
      </c>
      <c r="R105" s="311">
        <f t="shared" si="206"/>
        <v>0.15119061859767813</v>
      </c>
      <c r="S105" s="311">
        <f t="shared" si="206"/>
        <v>-9.9541920062605427E-2</v>
      </c>
      <c r="T105" s="311">
        <f t="shared" si="206"/>
        <v>-4.0673086733631236E-2</v>
      </c>
      <c r="U105" s="311">
        <f t="shared" si="206"/>
        <v>-8.5837771669080021E-2</v>
      </c>
      <c r="V105" s="311">
        <f t="shared" ref="V105:AC105" si="207">(V104/U104)-1</f>
        <v>0.15446626040954303</v>
      </c>
      <c r="W105" s="311">
        <f t="shared" si="207"/>
        <v>-0.46355320132126165</v>
      </c>
      <c r="X105" s="311">
        <f t="shared" si="207"/>
        <v>-0.13755231896790443</v>
      </c>
      <c r="Y105" s="311">
        <f t="shared" si="207"/>
        <v>2.1148139744783911E-2</v>
      </c>
      <c r="Z105" s="311">
        <f t="shared" si="207"/>
        <v>-8.111656327812633E-2</v>
      </c>
      <c r="AA105" s="311">
        <f t="shared" si="207"/>
        <v>0.2202423485188445</v>
      </c>
      <c r="AB105" s="311">
        <f t="shared" si="207"/>
        <v>5.7926462319694894E-2</v>
      </c>
      <c r="AC105" s="311">
        <f t="shared" si="207"/>
        <v>1.7975853724206736E-2</v>
      </c>
      <c r="AD105" s="312">
        <f t="shared" ref="AD105:AI105" si="208">(AD104/AC104)-1</f>
        <v>0.13944570474105999</v>
      </c>
      <c r="AE105" s="312">
        <f t="shared" si="208"/>
        <v>4.2162318939200416E-2</v>
      </c>
      <c r="AF105" s="312">
        <f t="shared" si="208"/>
        <v>4.175953775467911E-2</v>
      </c>
      <c r="AG105" s="312">
        <f t="shared" si="208"/>
        <v>4.1887690185688164E-2</v>
      </c>
      <c r="AH105" s="312">
        <f t="shared" si="208"/>
        <v>4.2212207317503081E-2</v>
      </c>
      <c r="AI105" s="312">
        <f t="shared" si="208"/>
        <v>4.2664284439842382E-2</v>
      </c>
      <c r="AJ105" s="312">
        <f t="shared" ref="AJ105" si="209">(AJ104/AI104)-1</f>
        <v>4.3187294920984165E-2</v>
      </c>
      <c r="AK105" s="312">
        <f t="shared" ref="AK105:AL105" si="210">(AK104/AJ104)-1</f>
        <v>4.3732524968668196E-2</v>
      </c>
      <c r="AL105" s="312">
        <f t="shared" si="210"/>
        <v>4.7093688380085652E-2</v>
      </c>
      <c r="AP105" s="312"/>
      <c r="AQ105" s="312"/>
      <c r="AR105" s="312">
        <f t="shared" si="182"/>
        <v>0.15446626040954303</v>
      </c>
      <c r="AS105" s="312"/>
      <c r="AT105" s="312"/>
      <c r="AU105" s="312">
        <f t="shared" si="183"/>
        <v>-0.46355320132126165</v>
      </c>
      <c r="AV105" s="312"/>
      <c r="AW105" s="312"/>
      <c r="AX105" s="312">
        <f t="shared" si="184"/>
        <v>-0.13755231896790443</v>
      </c>
      <c r="AY105" s="312"/>
      <c r="AZ105" s="312"/>
      <c r="BA105" s="312">
        <f t="shared" si="185"/>
        <v>2.1148139744783911E-2</v>
      </c>
      <c r="BB105" s="312"/>
      <c r="BC105" s="312"/>
      <c r="BD105" s="312">
        <f t="shared" si="186"/>
        <v>-8.111656327812633E-2</v>
      </c>
      <c r="BE105" s="312"/>
      <c r="BF105" s="312"/>
      <c r="BG105" s="312">
        <f t="shared" si="187"/>
        <v>0.2202423485188445</v>
      </c>
      <c r="BH105" s="312">
        <f t="shared" si="187"/>
        <v>5.7926462319694894E-2</v>
      </c>
      <c r="BI105" s="312">
        <f t="shared" si="188"/>
        <v>1.7975853724206736E-2</v>
      </c>
      <c r="BJ105" s="312">
        <f t="shared" si="189"/>
        <v>0.13944570474105999</v>
      </c>
      <c r="BK105" s="312">
        <f t="shared" si="190"/>
        <v>4.2162318939200416E-2</v>
      </c>
      <c r="BL105" s="312">
        <f t="shared" si="191"/>
        <v>4.175953775467911E-2</v>
      </c>
      <c r="BM105" s="312">
        <f t="shared" si="192"/>
        <v>4.1887690185688164E-2</v>
      </c>
      <c r="BN105" s="312">
        <f t="shared" si="193"/>
        <v>4.2212207317503081E-2</v>
      </c>
    </row>
    <row r="106" spans="1:66">
      <c r="A106" s="6"/>
      <c r="B106" s="418" t="s">
        <v>1480</v>
      </c>
      <c r="C106" s="947" t="s">
        <v>947</v>
      </c>
      <c r="D106" s="34"/>
      <c r="E106" s="34"/>
      <c r="F106" s="34"/>
      <c r="G106" s="34"/>
      <c r="H106" s="34"/>
      <c r="I106" s="34"/>
      <c r="J106" s="948">
        <f t="shared" ref="J106:AK106" si="211">(J97-J215)/J101*100</f>
        <v>29.562132086122091</v>
      </c>
      <c r="K106" s="948">
        <f t="shared" si="211"/>
        <v>28.193761586201322</v>
      </c>
      <c r="L106" s="948">
        <f t="shared" si="211"/>
        <v>31.029921767884506</v>
      </c>
      <c r="M106" s="948">
        <f t="shared" si="211"/>
        <v>34.094062600838981</v>
      </c>
      <c r="N106" s="948">
        <f t="shared" si="211"/>
        <v>32.044849560377507</v>
      </c>
      <c r="O106" s="398">
        <f t="shared" si="211"/>
        <v>27.745422279583771</v>
      </c>
      <c r="P106" s="398">
        <f t="shared" si="211"/>
        <v>28.879713750604541</v>
      </c>
      <c r="Q106" s="398">
        <f t="shared" si="211"/>
        <v>31.493936556845135</v>
      </c>
      <c r="R106" s="398">
        <f t="shared" si="211"/>
        <v>36.255524306950583</v>
      </c>
      <c r="S106" s="398">
        <f t="shared" si="211"/>
        <v>32.646579804560261</v>
      </c>
      <c r="T106" s="398">
        <f t="shared" si="211"/>
        <v>28.453647675180093</v>
      </c>
      <c r="U106" s="398">
        <f t="shared" si="211"/>
        <v>20.554612238083315</v>
      </c>
      <c r="V106" s="398">
        <f t="shared" si="211"/>
        <v>22.238303601480986</v>
      </c>
      <c r="W106" s="398">
        <f t="shared" si="211"/>
        <v>8.2428571428571438</v>
      </c>
      <c r="X106" s="398">
        <f t="shared" si="211"/>
        <v>6.2530474989491394</v>
      </c>
      <c r="Y106" s="398">
        <f t="shared" si="211"/>
        <v>10.775379645478246</v>
      </c>
      <c r="Z106" s="398">
        <f t="shared" si="211"/>
        <v>12.814107675138548</v>
      </c>
      <c r="AA106" s="398">
        <f t="shared" si="211"/>
        <v>16.876782475494043</v>
      </c>
      <c r="AB106" s="398">
        <f t="shared" si="211"/>
        <v>17.911458993060279</v>
      </c>
      <c r="AC106" s="398">
        <f t="shared" ref="AC106" si="212">(AC97-AC215)/AC101*100</f>
        <v>18.856299895869491</v>
      </c>
      <c r="AD106" s="6">
        <f t="shared" si="211"/>
        <v>21.485729923657786</v>
      </c>
      <c r="AE106" s="6">
        <f t="shared" si="211"/>
        <v>22.391618121340567</v>
      </c>
      <c r="AF106" s="6">
        <f t="shared" si="211"/>
        <v>23.326681743667045</v>
      </c>
      <c r="AG106" s="6">
        <f t="shared" si="211"/>
        <v>24.303782561605917</v>
      </c>
      <c r="AH106" s="6">
        <f t="shared" si="211"/>
        <v>25.329698869695942</v>
      </c>
      <c r="AI106" s="6">
        <f t="shared" si="211"/>
        <v>26.410372347048206</v>
      </c>
      <c r="AJ106" s="6">
        <f t="shared" si="211"/>
        <v>27.550964886573183</v>
      </c>
      <c r="AK106" s="6">
        <f t="shared" si="211"/>
        <v>28.755838146386143</v>
      </c>
      <c r="AL106" s="6">
        <f t="shared" ref="AL106" si="213">(AL97-AL215)/AL101*100</f>
        <v>30.11005662716023</v>
      </c>
      <c r="AP106" s="6"/>
      <c r="AQ106" s="6">
        <f>(AQ97-AQ215)/AQ101*100</f>
        <v>5.1649276337933365</v>
      </c>
      <c r="AR106" s="6">
        <f t="shared" si="182"/>
        <v>22.238303601480986</v>
      </c>
      <c r="AS106" s="6"/>
      <c r="AT106" s="6">
        <f>(AT97-AT215)/AT101*100</f>
        <v>4.6966386554621851</v>
      </c>
      <c r="AU106" s="6">
        <f t="shared" si="183"/>
        <v>8.2428571428571438</v>
      </c>
      <c r="AV106" s="393"/>
      <c r="AW106" s="6">
        <f>AX106-AV106</f>
        <v>6.2530474989491394</v>
      </c>
      <c r="AX106" s="6">
        <f t="shared" si="184"/>
        <v>6.2530474989491394</v>
      </c>
      <c r="AY106" s="393"/>
      <c r="AZ106" s="6">
        <f>BA106-AY106</f>
        <v>10.775379645478246</v>
      </c>
      <c r="BA106" s="6">
        <f t="shared" si="185"/>
        <v>10.775379645478246</v>
      </c>
      <c r="BB106" s="393"/>
      <c r="BC106" s="6">
        <f>BD106-BB106</f>
        <v>12.814107675138548</v>
      </c>
      <c r="BD106" s="6">
        <f t="shared" si="186"/>
        <v>12.814107675138548</v>
      </c>
      <c r="BE106" s="393"/>
      <c r="BF106" s="6">
        <f>BG106-BE106</f>
        <v>16.876782475494043</v>
      </c>
      <c r="BG106" s="6">
        <f t="shared" si="187"/>
        <v>16.876782475494043</v>
      </c>
      <c r="BH106" s="6">
        <f t="shared" si="187"/>
        <v>17.911458993060279</v>
      </c>
      <c r="BI106" s="6">
        <f t="shared" si="188"/>
        <v>18.856299895869491</v>
      </c>
      <c r="BJ106" s="6">
        <f t="shared" si="189"/>
        <v>21.485729923657786</v>
      </c>
      <c r="BK106" s="6">
        <f t="shared" si="190"/>
        <v>22.391618121340567</v>
      </c>
      <c r="BL106" s="6">
        <f t="shared" si="191"/>
        <v>23.326681743667045</v>
      </c>
      <c r="BM106" s="6">
        <f t="shared" si="192"/>
        <v>24.303782561605917</v>
      </c>
      <c r="BN106" s="6">
        <f t="shared" si="193"/>
        <v>25.329698869695942</v>
      </c>
    </row>
    <row r="107" spans="1:66">
      <c r="A107" s="629"/>
      <c r="B107" s="629" t="s">
        <v>650</v>
      </c>
      <c r="C107" s="668" t="s">
        <v>947</v>
      </c>
      <c r="D107" s="669">
        <f>'Cost + BS Assumptions'!D157</f>
        <v>18</v>
      </c>
      <c r="E107" s="669">
        <f>'Cost + BS Assumptions'!E157</f>
        <v>19</v>
      </c>
      <c r="F107" s="669">
        <f>'Cost + BS Assumptions'!F157</f>
        <v>22</v>
      </c>
      <c r="G107" s="669">
        <f>'Cost + BS Assumptions'!G157</f>
        <v>24</v>
      </c>
      <c r="H107" s="669">
        <f>'Cost + BS Assumptions'!H157</f>
        <v>26</v>
      </c>
      <c r="I107" s="669">
        <f>'Cost + BS Assumptions'!I157</f>
        <v>28</v>
      </c>
      <c r="J107" s="669">
        <f>'Cost + BS Assumptions'!J157</f>
        <v>28</v>
      </c>
      <c r="K107" s="669">
        <f>'Cost + BS Assumptions'!K157</f>
        <v>28</v>
      </c>
      <c r="L107" s="669">
        <f>'Cost + BS Assumptions'!L157</f>
        <v>28</v>
      </c>
      <c r="M107" s="669">
        <f>'Cost + BS Assumptions'!M157</f>
        <v>28</v>
      </c>
      <c r="N107" s="669">
        <f>'Cost + BS Assumptions'!N157</f>
        <v>28</v>
      </c>
      <c r="O107" s="670">
        <f>'Cost + BS Assumptions'!O157</f>
        <v>28</v>
      </c>
      <c r="P107" s="670">
        <f>'Cost + BS Assumptions'!P157</f>
        <v>28</v>
      </c>
      <c r="Q107" s="670">
        <f>'Cost + BS Assumptions'!Q157</f>
        <v>28</v>
      </c>
      <c r="R107" s="670">
        <f>'Cost + BS Assumptions'!R157</f>
        <v>29.5</v>
      </c>
      <c r="S107" s="670">
        <f>'Cost + BS Assumptions'!S157</f>
        <v>30.5</v>
      </c>
      <c r="T107" s="670">
        <f>'Cost + BS Assumptions'!T157</f>
        <v>31</v>
      </c>
      <c r="U107" s="670">
        <f>'Cost + BS Assumptions'!U157</f>
        <v>31</v>
      </c>
      <c r="V107" s="670">
        <f>'Cost + BS Assumptions'!V157</f>
        <v>22</v>
      </c>
      <c r="W107" s="670">
        <f>'Cost + BS Assumptions'!W157</f>
        <v>16</v>
      </c>
      <c r="X107" s="670">
        <f>'Cost + BS Assumptions'!X157</f>
        <v>16</v>
      </c>
      <c r="Y107" s="670">
        <f>'Cost + BS Assumptions'!Y157</f>
        <v>16</v>
      </c>
      <c r="Z107" s="670">
        <f>'Cost + BS Assumptions'!Z157</f>
        <v>16.5</v>
      </c>
      <c r="AA107" s="670">
        <f>'Cost + BS Assumptions'!AA157</f>
        <v>17</v>
      </c>
      <c r="AB107" s="670">
        <f>'Cost + BS Assumptions'!AB157</f>
        <v>18</v>
      </c>
      <c r="AC107" s="670">
        <f>'Cost + BS Assumptions'!AC157</f>
        <v>19</v>
      </c>
      <c r="AD107" s="671">
        <f>'Cost + BS Assumptions'!AD157</f>
        <v>21</v>
      </c>
      <c r="AE107" s="671">
        <f>'Cost + BS Assumptions'!AE157</f>
        <v>22</v>
      </c>
      <c r="AF107" s="671">
        <f>'Cost + BS Assumptions'!AF157</f>
        <v>23</v>
      </c>
      <c r="AG107" s="671">
        <f>'Cost + BS Assumptions'!AG157</f>
        <v>24</v>
      </c>
      <c r="AH107" s="671">
        <f>'Cost + BS Assumptions'!AH157</f>
        <v>25</v>
      </c>
      <c r="AI107" s="671">
        <f>'Cost + BS Assumptions'!AI157</f>
        <v>26</v>
      </c>
      <c r="AJ107" s="671">
        <f>'Cost + BS Assumptions'!AJ157</f>
        <v>27</v>
      </c>
      <c r="AK107" s="671">
        <f>'Cost + BS Assumptions'!AK157</f>
        <v>28</v>
      </c>
      <c r="AL107" s="671">
        <f>'Cost + BS Assumptions'!AL157</f>
        <v>29</v>
      </c>
      <c r="AP107" s="667">
        <v>11</v>
      </c>
      <c r="AQ107" s="629">
        <f>AR107-AP107</f>
        <v>11</v>
      </c>
      <c r="AR107" s="629">
        <f t="shared" si="182"/>
        <v>22</v>
      </c>
      <c r="AS107" s="667">
        <v>8</v>
      </c>
      <c r="AT107" s="629">
        <f>AU107-AS107</f>
        <v>8</v>
      </c>
      <c r="AU107" s="629">
        <f t="shared" si="183"/>
        <v>16</v>
      </c>
      <c r="AV107" s="667">
        <v>8</v>
      </c>
      <c r="AW107" s="629">
        <f>AX107-AV107</f>
        <v>8</v>
      </c>
      <c r="AX107" s="629">
        <f t="shared" si="184"/>
        <v>16</v>
      </c>
      <c r="AY107" s="667">
        <v>8</v>
      </c>
      <c r="AZ107" s="629">
        <f>BA107-AY107</f>
        <v>8</v>
      </c>
      <c r="BA107" s="629">
        <f t="shared" si="185"/>
        <v>16</v>
      </c>
      <c r="BB107" s="667">
        <v>8</v>
      </c>
      <c r="BC107" s="629">
        <f>BD107-BB107</f>
        <v>8.5</v>
      </c>
      <c r="BD107" s="629">
        <f t="shared" si="186"/>
        <v>16.5</v>
      </c>
      <c r="BE107" s="667">
        <v>8.5</v>
      </c>
      <c r="BF107" s="629">
        <f>BG107-BE107</f>
        <v>8.5</v>
      </c>
      <c r="BG107" s="629">
        <f t="shared" si="187"/>
        <v>17</v>
      </c>
      <c r="BH107" s="629">
        <f t="shared" si="187"/>
        <v>18</v>
      </c>
      <c r="BI107" s="629">
        <f t="shared" si="188"/>
        <v>19</v>
      </c>
      <c r="BJ107" s="629">
        <f t="shared" si="189"/>
        <v>21</v>
      </c>
      <c r="BK107" s="629">
        <f t="shared" si="190"/>
        <v>22</v>
      </c>
      <c r="BL107" s="629">
        <f t="shared" si="191"/>
        <v>23</v>
      </c>
      <c r="BM107" s="629">
        <f t="shared" si="192"/>
        <v>24</v>
      </c>
      <c r="BN107" s="629">
        <f t="shared" si="193"/>
        <v>25</v>
      </c>
    </row>
    <row r="108" spans="1:66" collapsed="1">
      <c r="A108" s="2"/>
      <c r="B108" s="2"/>
      <c r="C108" s="950"/>
      <c r="D108" s="7"/>
      <c r="E108" s="7"/>
      <c r="F108" s="7"/>
      <c r="G108" s="7"/>
      <c r="H108" s="951"/>
      <c r="I108" s="952"/>
      <c r="J108" s="952"/>
      <c r="K108" s="952"/>
      <c r="L108" s="42"/>
      <c r="M108" s="952"/>
      <c r="N108" s="952"/>
      <c r="O108" s="952"/>
      <c r="P108" s="952"/>
      <c r="Q108" s="952"/>
      <c r="R108" s="952"/>
      <c r="S108" s="952"/>
      <c r="T108" s="952"/>
      <c r="U108" s="111"/>
      <c r="V108" s="42"/>
      <c r="W108" s="42"/>
      <c r="X108" s="42"/>
      <c r="Y108" s="42"/>
      <c r="Z108" s="42"/>
      <c r="AA108" s="42"/>
      <c r="AB108" s="42"/>
      <c r="AC108" s="42"/>
      <c r="AD108" s="42"/>
      <c r="AE108" s="42"/>
      <c r="AF108" s="42"/>
      <c r="AG108" s="42"/>
      <c r="AH108" s="42"/>
      <c r="AI108" s="42"/>
      <c r="AJ108" s="42"/>
      <c r="AK108" s="42"/>
      <c r="AL108" s="4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row>
    <row r="109" spans="1:66" hidden="1" outlineLevel="1">
      <c r="A109" s="2"/>
      <c r="B109" s="2"/>
      <c r="C109" s="950"/>
      <c r="D109" s="7"/>
      <c r="E109" s="7"/>
      <c r="F109" s="7"/>
      <c r="G109" s="7"/>
      <c r="H109" s="951"/>
      <c r="I109" s="952"/>
      <c r="J109" s="952"/>
      <c r="K109" s="952"/>
      <c r="L109" s="42"/>
      <c r="M109" s="952"/>
      <c r="N109" s="952"/>
      <c r="O109" s="952"/>
      <c r="P109" s="952"/>
      <c r="Q109" s="952"/>
      <c r="R109" s="952"/>
      <c r="S109" s="952"/>
      <c r="T109" s="952"/>
      <c r="U109" s="111"/>
      <c r="V109" s="42"/>
      <c r="W109" s="42"/>
      <c r="X109" s="42"/>
      <c r="Y109" s="42"/>
      <c r="Z109" s="42"/>
      <c r="AA109" s="42"/>
      <c r="AB109" s="42"/>
      <c r="AC109" s="42"/>
      <c r="AD109" s="42"/>
      <c r="AE109" s="42"/>
      <c r="AF109" s="42"/>
      <c r="AG109" s="42"/>
      <c r="AH109" s="42"/>
      <c r="AI109" s="42"/>
      <c r="AJ109" s="42"/>
      <c r="AK109" s="42"/>
      <c r="AL109" s="4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row>
    <row r="110" spans="1:66" hidden="1" outlineLevel="1">
      <c r="A110" s="2"/>
      <c r="B110" s="388" t="s">
        <v>15</v>
      </c>
      <c r="C110" s="389"/>
      <c r="D110" s="385"/>
      <c r="E110" s="385"/>
      <c r="F110" s="385"/>
      <c r="G110" s="385"/>
      <c r="H110" s="385"/>
      <c r="I110" s="385"/>
      <c r="J110" s="385"/>
      <c r="K110" s="385"/>
      <c r="L110" s="385"/>
      <c r="M110" s="385"/>
      <c r="N110" s="385"/>
      <c r="O110" s="385"/>
      <c r="P110" s="385"/>
      <c r="Q110" s="385"/>
      <c r="R110" s="385"/>
      <c r="S110" s="385"/>
      <c r="T110" s="385"/>
      <c r="U110" s="385"/>
      <c r="V110" s="385"/>
      <c r="W110" s="385"/>
      <c r="X110" s="385"/>
      <c r="Y110" s="385"/>
      <c r="Z110" s="385"/>
      <c r="AA110" s="385"/>
      <c r="AB110" s="385"/>
      <c r="AC110" s="385"/>
      <c r="AD110" s="385"/>
      <c r="AE110" s="385"/>
      <c r="AF110" s="385"/>
      <c r="AG110" s="385"/>
      <c r="AH110" s="385"/>
      <c r="AI110" s="385"/>
      <c r="AJ110" s="385"/>
      <c r="AK110" s="385"/>
      <c r="AL110" s="385"/>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row>
    <row r="111" spans="1:66" hidden="1" outlineLevel="1">
      <c r="A111" s="2"/>
      <c r="B111" s="2"/>
      <c r="C111" s="18"/>
      <c r="D111" s="34"/>
      <c r="E111" s="34"/>
      <c r="F111" s="34"/>
      <c r="G111" s="34"/>
      <c r="H111" s="34"/>
      <c r="I111" s="34"/>
      <c r="J111" s="34"/>
      <c r="K111" s="34"/>
      <c r="L111" s="43"/>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row>
    <row r="112" spans="1:66" hidden="1" outlineLevel="1">
      <c r="A112" s="2"/>
      <c r="B112" s="8" t="s">
        <v>1375</v>
      </c>
      <c r="C112" s="719" t="s">
        <v>1374</v>
      </c>
      <c r="D112" s="42">
        <f t="shared" ref="D112:AH112" si="214">D102</f>
        <v>28.576979870987802</v>
      </c>
      <c r="E112" s="42">
        <f t="shared" si="214"/>
        <v>31.538043055879385</v>
      </c>
      <c r="F112" s="42">
        <f t="shared" si="214"/>
        <v>28.452630760861119</v>
      </c>
      <c r="G112" s="42">
        <f t="shared" si="214"/>
        <v>26.649568664024248</v>
      </c>
      <c r="H112" s="42">
        <f t="shared" si="214"/>
        <v>32.366580209070186</v>
      </c>
      <c r="I112" s="42">
        <f t="shared" si="214"/>
        <v>34.436186366179165</v>
      </c>
      <c r="J112" s="42">
        <f t="shared" si="214"/>
        <v>25.7399320718098</v>
      </c>
      <c r="K112" s="42">
        <f t="shared" si="214"/>
        <v>26.286868686868669</v>
      </c>
      <c r="L112" s="42">
        <f t="shared" si="214"/>
        <v>29.858471492114841</v>
      </c>
      <c r="M112" s="42">
        <f t="shared" si="214"/>
        <v>32.931759379042688</v>
      </c>
      <c r="N112" s="42">
        <f t="shared" si="214"/>
        <v>31.382849753495513</v>
      </c>
      <c r="O112" s="277">
        <f t="shared" si="214"/>
        <v>26.09433047972864</v>
      </c>
      <c r="P112" s="277">
        <f t="shared" si="214"/>
        <v>28.164359476528467</v>
      </c>
      <c r="Q112" s="277">
        <f t="shared" si="214"/>
        <v>31.590403555810166</v>
      </c>
      <c r="R112" s="277">
        <f t="shared" si="214"/>
        <v>40.586245772266068</v>
      </c>
      <c r="S112" s="277">
        <f t="shared" si="214"/>
        <v>32.844096542726682</v>
      </c>
      <c r="T112" s="277">
        <f t="shared" si="214"/>
        <v>31.444825438452717</v>
      </c>
      <c r="U112" s="277">
        <f t="shared" si="214"/>
        <v>28.656726270053479</v>
      </c>
      <c r="V112" s="277">
        <f t="shared" si="214"/>
        <v>33.063973063973066</v>
      </c>
      <c r="W112" s="277">
        <f t="shared" si="214"/>
        <v>17.760942760942761</v>
      </c>
      <c r="X112" s="277">
        <f t="shared" si="214"/>
        <v>15.311447811447811</v>
      </c>
      <c r="Y112" s="277">
        <f t="shared" si="214"/>
        <v>15.637894736842107</v>
      </c>
      <c r="Z112" s="277">
        <f t="shared" si="214"/>
        <v>14.359846873670779</v>
      </c>
      <c r="AA112" s="277">
        <f t="shared" si="214"/>
        <v>16.702763579658665</v>
      </c>
      <c r="AB112" s="277">
        <f t="shared" si="214"/>
        <v>13.965173698345318</v>
      </c>
      <c r="AC112" s="277">
        <f t="shared" si="214"/>
        <v>17.726246308841411</v>
      </c>
      <c r="AD112" s="277">
        <f t="shared" si="214"/>
        <v>21.485729923657786</v>
      </c>
      <c r="AE112" s="277">
        <f t="shared" si="214"/>
        <v>22.493585434236284</v>
      </c>
      <c r="AF112" s="277">
        <f t="shared" si="214"/>
        <v>23.432907164415376</v>
      </c>
      <c r="AG112" s="277">
        <f t="shared" si="214"/>
        <v>24.414457519868396</v>
      </c>
      <c r="AH112" s="277">
        <f t="shared" si="214"/>
        <v>25.445045662241455</v>
      </c>
      <c r="AI112" s="277">
        <f>AI102</f>
        <v>26.530640327960104</v>
      </c>
      <c r="AJ112" s="277">
        <f t="shared" ref="AJ112:AK112" si="215">AJ102</f>
        <v>27.676426916246271</v>
      </c>
      <c r="AK112" s="277">
        <f t="shared" si="215"/>
        <v>28.886786947404531</v>
      </c>
      <c r="AL112" s="277">
        <f t="shared" ref="AL112" si="216">AL102</f>
        <v>30.247172290207523</v>
      </c>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row>
    <row r="113" spans="1:72" hidden="1" outlineLevel="1">
      <c r="A113" s="2"/>
      <c r="B113" s="8" t="s">
        <v>1376</v>
      </c>
      <c r="C113" s="719" t="s">
        <v>1374</v>
      </c>
      <c r="D113" s="42">
        <f t="shared" ref="D113:AH113" si="217">D103</f>
        <v>28.576979870987802</v>
      </c>
      <c r="E113" s="42">
        <f t="shared" si="217"/>
        <v>31.538043055879385</v>
      </c>
      <c r="F113" s="42">
        <f t="shared" si="217"/>
        <v>28.452630760861119</v>
      </c>
      <c r="G113" s="42">
        <f t="shared" si="217"/>
        <v>26.649568664024248</v>
      </c>
      <c r="H113" s="42">
        <f t="shared" si="217"/>
        <v>32.366580209070186</v>
      </c>
      <c r="I113" s="42">
        <f t="shared" si="217"/>
        <v>34.436186366179165</v>
      </c>
      <c r="J113" s="42">
        <f t="shared" si="217"/>
        <v>25.667284896379321</v>
      </c>
      <c r="K113" s="42">
        <f t="shared" si="217"/>
        <v>26.219069879906488</v>
      </c>
      <c r="L113" s="42">
        <f t="shared" si="217"/>
        <v>29.776594886684411</v>
      </c>
      <c r="M113" s="42">
        <f t="shared" si="217"/>
        <v>32.85737334624072</v>
      </c>
      <c r="N113" s="42">
        <f t="shared" si="217"/>
        <v>31.322094055013309</v>
      </c>
      <c r="O113" s="277">
        <f t="shared" si="217"/>
        <v>26.062757118657743</v>
      </c>
      <c r="P113" s="277">
        <f t="shared" si="217"/>
        <v>28.146197709979038</v>
      </c>
      <c r="Q113" s="277">
        <f t="shared" si="217"/>
        <v>31.493936556845135</v>
      </c>
      <c r="R113" s="277">
        <f t="shared" si="217"/>
        <v>40.498192044997992</v>
      </c>
      <c r="S113" s="277">
        <f t="shared" si="217"/>
        <v>32.801302931596091</v>
      </c>
      <c r="T113" s="277">
        <f t="shared" si="217"/>
        <v>31.408788474132287</v>
      </c>
      <c r="U113" s="277">
        <f t="shared" si="217"/>
        <v>28.630411553552054</v>
      </c>
      <c r="V113" s="277">
        <f t="shared" si="217"/>
        <v>33.052844160215415</v>
      </c>
      <c r="W113" s="277">
        <f t="shared" si="217"/>
        <v>17.731092436974791</v>
      </c>
      <c r="X113" s="277">
        <f t="shared" si="217"/>
        <v>15.292139554434636</v>
      </c>
      <c r="Y113" s="277">
        <f t="shared" si="217"/>
        <v>15.615539858728559</v>
      </c>
      <c r="Z113" s="277">
        <f t="shared" si="217"/>
        <v>14.348860931655899</v>
      </c>
      <c r="AA113" s="277">
        <f t="shared" si="217"/>
        <v>16.686861692920203</v>
      </c>
      <c r="AB113" s="277">
        <f t="shared" si="217"/>
        <v>13.953085778585649</v>
      </c>
      <c r="AC113" s="277">
        <f t="shared" si="217"/>
        <v>17.710864283234987</v>
      </c>
      <c r="AD113" s="277">
        <f t="shared" si="217"/>
        <v>21.485729923657786</v>
      </c>
      <c r="AE113" s="277">
        <f t="shared" si="217"/>
        <v>22.391618121340567</v>
      </c>
      <c r="AF113" s="277">
        <f t="shared" si="217"/>
        <v>23.326681743667045</v>
      </c>
      <c r="AG113" s="277">
        <f t="shared" si="217"/>
        <v>24.303782561605917</v>
      </c>
      <c r="AH113" s="277">
        <f t="shared" si="217"/>
        <v>25.329698869695942</v>
      </c>
      <c r="AI113" s="277">
        <f>AI103</f>
        <v>26.410372347048206</v>
      </c>
      <c r="AJ113" s="277">
        <f t="shared" ref="AJ113:AK113" si="218">AJ103</f>
        <v>27.550964886573183</v>
      </c>
      <c r="AK113" s="277">
        <f t="shared" si="218"/>
        <v>28.755838146386143</v>
      </c>
      <c r="AL113" s="277">
        <f t="shared" ref="AL113" si="219">AL103</f>
        <v>30.11005662716023</v>
      </c>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row>
    <row r="114" spans="1:72" hidden="1" outlineLevel="1">
      <c r="A114" s="2"/>
      <c r="B114" s="8" t="s">
        <v>1377</v>
      </c>
      <c r="C114" s="14" t="s">
        <v>733</v>
      </c>
      <c r="D114" s="821">
        <f t="shared" ref="D114:AB114" si="220">IF(ISNUMBER((D112-C112)/C112),(D112-C112)/C112,0)</f>
        <v>0</v>
      </c>
      <c r="E114" s="821">
        <f t="shared" si="220"/>
        <v>0.10361707914060371</v>
      </c>
      <c r="F114" s="821">
        <f t="shared" si="220"/>
        <v>-9.7831444061113895E-2</v>
      </c>
      <c r="G114" s="821">
        <f t="shared" si="220"/>
        <v>-6.3370663753073E-2</v>
      </c>
      <c r="H114" s="821">
        <f t="shared" si="220"/>
        <v>0.21452548133597577</v>
      </c>
      <c r="I114" s="821">
        <f t="shared" si="220"/>
        <v>6.3942688530591388E-2</v>
      </c>
      <c r="J114" s="821">
        <f t="shared" si="220"/>
        <v>-0.25253244368866068</v>
      </c>
      <c r="K114" s="821">
        <f t="shared" si="220"/>
        <v>2.1248564818780919E-2</v>
      </c>
      <c r="L114" s="821">
        <f t="shared" si="220"/>
        <v>0.13587022660596806</v>
      </c>
      <c r="M114" s="821">
        <f t="shared" si="220"/>
        <v>0.10292850683061439</v>
      </c>
      <c r="N114" s="821">
        <f t="shared" si="220"/>
        <v>-4.7033916643180608E-2</v>
      </c>
      <c r="O114" s="821">
        <f t="shared" si="220"/>
        <v>-0.16851622192716334</v>
      </c>
      <c r="P114" s="821">
        <f t="shared" si="220"/>
        <v>7.9328687831555125E-2</v>
      </c>
      <c r="Q114" s="821">
        <f t="shared" si="220"/>
        <v>0.12164466520663768</v>
      </c>
      <c r="R114" s="821">
        <f t="shared" si="220"/>
        <v>0.28476503000549258</v>
      </c>
      <c r="S114" s="821">
        <f t="shared" si="220"/>
        <v>-0.19075795462781764</v>
      </c>
      <c r="T114" s="821">
        <f t="shared" si="220"/>
        <v>-4.2603428060615435E-2</v>
      </c>
      <c r="U114" s="821">
        <f t="shared" si="220"/>
        <v>-8.8666390400430548E-2</v>
      </c>
      <c r="V114" s="821">
        <f t="shared" si="220"/>
        <v>0.15379449670513121</v>
      </c>
      <c r="W114" s="821">
        <f t="shared" si="220"/>
        <v>-0.46283095723014256</v>
      </c>
      <c r="X114" s="821">
        <f t="shared" si="220"/>
        <v>-0.13791469194312797</v>
      </c>
      <c r="Y114" s="821">
        <f t="shared" si="220"/>
        <v>2.1320447903706581E-2</v>
      </c>
      <c r="Z114" s="821">
        <f t="shared" si="220"/>
        <v>-8.1727616452124452E-2</v>
      </c>
      <c r="AA114" s="821">
        <f t="shared" si="220"/>
        <v>0.16315749928250944</v>
      </c>
      <c r="AB114" s="821">
        <f t="shared" si="220"/>
        <v>-0.1639004149377592</v>
      </c>
      <c r="AC114" s="821">
        <f t="shared" ref="AC114:AI115" si="221">IF(ISNUMBER((AC112-AB112)/AB112),(AC112-AB112)/AB112,0)</f>
        <v>0.26931799716474197</v>
      </c>
      <c r="AD114" s="821">
        <f t="shared" si="221"/>
        <v>0.21208571455656905</v>
      </c>
      <c r="AE114" s="821">
        <f t="shared" si="221"/>
        <v>4.6908134569296399E-2</v>
      </c>
      <c r="AF114" s="821">
        <f t="shared" si="221"/>
        <v>4.1759537754679187E-2</v>
      </c>
      <c r="AG114" s="821">
        <f t="shared" si="221"/>
        <v>4.1887690185688012E-2</v>
      </c>
      <c r="AH114" s="821">
        <f t="shared" si="221"/>
        <v>4.2212207317503171E-2</v>
      </c>
      <c r="AI114" s="821">
        <f t="shared" si="221"/>
        <v>4.2664284439842444E-2</v>
      </c>
      <c r="AJ114" s="821">
        <f t="shared" ref="AJ114:AJ115" si="222">IF(ISNUMBER((AJ112-AI112)/AI112),(AJ112-AI112)/AI112,0)</f>
        <v>4.3187294920984109E-2</v>
      </c>
      <c r="AK114" s="821">
        <f t="shared" ref="AK114:AL115" si="223">IF(ISNUMBER((AK112-AJ112)/AJ112),(AK112-AJ112)/AJ112,0)</f>
        <v>4.3732524968668161E-2</v>
      </c>
      <c r="AL114" s="821">
        <f t="shared" si="223"/>
        <v>4.7093688380085569E-2</v>
      </c>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row>
    <row r="115" spans="1:72" hidden="1" outlineLevel="1">
      <c r="A115" s="2"/>
      <c r="B115" s="8" t="s">
        <v>1378</v>
      </c>
      <c r="C115" s="14" t="s">
        <v>733</v>
      </c>
      <c r="D115" s="821">
        <f t="shared" ref="D115:AB115" si="224">IF(ISNUMBER((D113-C113)/C113),(D113-C113)/C113,0)</f>
        <v>0</v>
      </c>
      <c r="E115" s="821">
        <f t="shared" si="224"/>
        <v>0.10361707914060371</v>
      </c>
      <c r="F115" s="821">
        <f t="shared" si="224"/>
        <v>-9.7831444061113895E-2</v>
      </c>
      <c r="G115" s="821">
        <f t="shared" si="224"/>
        <v>-6.3370663753073E-2</v>
      </c>
      <c r="H115" s="821">
        <f t="shared" si="224"/>
        <v>0.21452548133597577</v>
      </c>
      <c r="I115" s="821">
        <f t="shared" si="224"/>
        <v>6.3942688530591388E-2</v>
      </c>
      <c r="J115" s="821">
        <f t="shared" si="224"/>
        <v>-0.25464206101556153</v>
      </c>
      <c r="K115" s="821">
        <f t="shared" si="224"/>
        <v>2.1497598431418151E-2</v>
      </c>
      <c r="L115" s="821">
        <f t="shared" si="224"/>
        <v>0.13568463805439196</v>
      </c>
      <c r="M115" s="821">
        <f t="shared" si="224"/>
        <v>0.10346308808244498</v>
      </c>
      <c r="N115" s="821">
        <f t="shared" si="224"/>
        <v>-4.6725563697655265E-2</v>
      </c>
      <c r="O115" s="821">
        <f t="shared" si="224"/>
        <v>-0.16791140870460974</v>
      </c>
      <c r="P115" s="821">
        <f t="shared" si="224"/>
        <v>7.9939377934416883E-2</v>
      </c>
      <c r="Q115" s="821">
        <f t="shared" si="224"/>
        <v>0.11894106910501731</v>
      </c>
      <c r="R115" s="821">
        <f t="shared" si="224"/>
        <v>0.28590441439102354</v>
      </c>
      <c r="S115" s="821">
        <f t="shared" si="224"/>
        <v>-0.19005512900056878</v>
      </c>
      <c r="T115" s="821">
        <f t="shared" si="224"/>
        <v>-4.2453022685341395E-2</v>
      </c>
      <c r="U115" s="821">
        <f t="shared" si="224"/>
        <v>-8.8458582949433193E-2</v>
      </c>
      <c r="V115" s="821">
        <f t="shared" si="224"/>
        <v>0.154466260409543</v>
      </c>
      <c r="W115" s="821">
        <f t="shared" si="224"/>
        <v>-0.46355320132126165</v>
      </c>
      <c r="X115" s="821">
        <f t="shared" si="224"/>
        <v>-0.13755231896790449</v>
      </c>
      <c r="Y115" s="821">
        <f t="shared" si="224"/>
        <v>2.1148139744784016E-2</v>
      </c>
      <c r="Z115" s="821">
        <f t="shared" si="224"/>
        <v>-8.1116563278126344E-2</v>
      </c>
      <c r="AA115" s="821">
        <f t="shared" si="224"/>
        <v>0.16293981608716396</v>
      </c>
      <c r="AB115" s="821">
        <f t="shared" si="224"/>
        <v>-0.16382804416089958</v>
      </c>
      <c r="AC115" s="821">
        <f t="shared" si="221"/>
        <v>0.26931522992688456</v>
      </c>
      <c r="AD115" s="821">
        <f t="shared" si="221"/>
        <v>0.21313842057928634</v>
      </c>
      <c r="AE115" s="821">
        <f t="shared" si="221"/>
        <v>4.2162318939200395E-2</v>
      </c>
      <c r="AF115" s="821">
        <f t="shared" si="221"/>
        <v>4.1759537754679089E-2</v>
      </c>
      <c r="AG115" s="821">
        <f t="shared" si="221"/>
        <v>4.1887690185688116E-2</v>
      </c>
      <c r="AH115" s="821">
        <f t="shared" si="221"/>
        <v>4.2212207317503081E-2</v>
      </c>
      <c r="AI115" s="821">
        <f t="shared" si="221"/>
        <v>4.2664284439842451E-2</v>
      </c>
      <c r="AJ115" s="821">
        <f t="shared" si="222"/>
        <v>4.3187294920984234E-2</v>
      </c>
      <c r="AK115" s="821">
        <f t="shared" si="223"/>
        <v>4.3732524968668092E-2</v>
      </c>
      <c r="AL115" s="821">
        <f t="shared" si="223"/>
        <v>4.7093688380085576E-2</v>
      </c>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row>
    <row r="116" spans="1:72" hidden="1" outlineLevel="1">
      <c r="A116" s="2"/>
      <c r="B116" s="2"/>
      <c r="C116" s="18"/>
      <c r="D116" s="7"/>
      <c r="E116" s="7"/>
      <c r="F116" s="7"/>
      <c r="G116" s="7"/>
      <c r="H116" s="7"/>
      <c r="I116" s="7"/>
      <c r="J116" s="7"/>
      <c r="K116" s="7"/>
      <c r="L116" s="4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row>
    <row r="117" spans="1:72" hidden="1" outlineLevel="1">
      <c r="A117" s="2"/>
      <c r="B117" s="3" t="str">
        <f>B104</f>
        <v>EPS for consensus (pre NRI, diluted share count)</v>
      </c>
      <c r="C117" s="719" t="s">
        <v>1374</v>
      </c>
      <c r="D117" s="3">
        <f t="shared" ref="D117:AH117" si="225">D104</f>
        <v>34.044454806870291</v>
      </c>
      <c r="E117" s="3">
        <f t="shared" si="225"/>
        <v>37.21768866091552</v>
      </c>
      <c r="F117" s="3">
        <f t="shared" si="225"/>
        <v>30.715784565166704</v>
      </c>
      <c r="G117" s="3">
        <f t="shared" si="225"/>
        <v>27.596176264863605</v>
      </c>
      <c r="H117" s="3">
        <f t="shared" si="225"/>
        <v>34.066650947103675</v>
      </c>
      <c r="I117" s="3">
        <f t="shared" si="225"/>
        <v>34.486534004635168</v>
      </c>
      <c r="J117" s="3">
        <f t="shared" si="225"/>
        <v>29.562132086122091</v>
      </c>
      <c r="K117" s="3">
        <f t="shared" si="225"/>
        <v>28.193761586201322</v>
      </c>
      <c r="L117" s="3">
        <f t="shared" si="225"/>
        <v>31.029921767884506</v>
      </c>
      <c r="M117" s="3">
        <f t="shared" si="225"/>
        <v>34.094062600838981</v>
      </c>
      <c r="N117" s="3">
        <f t="shared" si="225"/>
        <v>32.044849560377507</v>
      </c>
      <c r="O117" s="399">
        <f t="shared" si="225"/>
        <v>27.745422279583771</v>
      </c>
      <c r="P117" s="399">
        <f t="shared" si="225"/>
        <v>28.879713750604541</v>
      </c>
      <c r="Q117" s="399">
        <f t="shared" si="225"/>
        <v>31.493936556845135</v>
      </c>
      <c r="R117" s="399">
        <f t="shared" si="225"/>
        <v>36.255524306950583</v>
      </c>
      <c r="S117" s="399">
        <f t="shared" si="225"/>
        <v>32.646579804560261</v>
      </c>
      <c r="T117" s="399">
        <f t="shared" si="225"/>
        <v>31.318742632612967</v>
      </c>
      <c r="U117" s="399">
        <f t="shared" si="225"/>
        <v>28.630411553552054</v>
      </c>
      <c r="V117" s="399">
        <f t="shared" si="225"/>
        <v>33.052844160215415</v>
      </c>
      <c r="W117" s="399">
        <f t="shared" si="225"/>
        <v>17.731092436974791</v>
      </c>
      <c r="X117" s="399">
        <f t="shared" si="225"/>
        <v>15.292139554434636</v>
      </c>
      <c r="Y117" s="399">
        <f t="shared" si="225"/>
        <v>15.615539858728559</v>
      </c>
      <c r="Z117" s="399">
        <f t="shared" si="225"/>
        <v>14.348860931655899</v>
      </c>
      <c r="AA117" s="399">
        <f t="shared" si="225"/>
        <v>17.50908776181409</v>
      </c>
      <c r="AB117" s="399">
        <f t="shared" si="225"/>
        <v>18.523327274301046</v>
      </c>
      <c r="AC117" s="399">
        <f t="shared" si="225"/>
        <v>18.856299895869491</v>
      </c>
      <c r="AD117" s="399">
        <f t="shared" si="225"/>
        <v>21.485729923657786</v>
      </c>
      <c r="AE117" s="399">
        <f t="shared" si="225"/>
        <v>22.391618121340567</v>
      </c>
      <c r="AF117" s="399">
        <f t="shared" si="225"/>
        <v>23.326681743667045</v>
      </c>
      <c r="AG117" s="399">
        <f t="shared" si="225"/>
        <v>24.303782561605917</v>
      </c>
      <c r="AH117" s="399">
        <f t="shared" si="225"/>
        <v>25.329698869695942</v>
      </c>
      <c r="AI117" s="399">
        <f>AI104</f>
        <v>26.410372347048206</v>
      </c>
      <c r="AJ117" s="399">
        <f t="shared" ref="AJ117:AK117" si="226">AJ104</f>
        <v>27.550964886573183</v>
      </c>
      <c r="AK117" s="399">
        <f t="shared" si="226"/>
        <v>28.755838146386143</v>
      </c>
      <c r="AL117" s="399">
        <f t="shared" ref="AL117" si="227">AL104</f>
        <v>30.11005662716023</v>
      </c>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row>
    <row r="118" spans="1:72" hidden="1" outlineLevel="1">
      <c r="A118" s="2"/>
      <c r="B118" s="3" t="str">
        <f>B106</f>
        <v>EPS for consensus (pre NRI, ex NBN discon payments)</v>
      </c>
      <c r="C118" s="719" t="s">
        <v>1374</v>
      </c>
      <c r="D118" s="3">
        <f t="shared" ref="D118:AH118" si="228">D106</f>
        <v>0</v>
      </c>
      <c r="E118" s="3">
        <f t="shared" si="228"/>
        <v>0</v>
      </c>
      <c r="F118" s="3">
        <f t="shared" si="228"/>
        <v>0</v>
      </c>
      <c r="G118" s="3">
        <f t="shared" si="228"/>
        <v>0</v>
      </c>
      <c r="H118" s="3">
        <f t="shared" si="228"/>
        <v>0</v>
      </c>
      <c r="I118" s="3">
        <f t="shared" si="228"/>
        <v>0</v>
      </c>
      <c r="J118" s="3">
        <f t="shared" si="228"/>
        <v>29.562132086122091</v>
      </c>
      <c r="K118" s="3">
        <f t="shared" si="228"/>
        <v>28.193761586201322</v>
      </c>
      <c r="L118" s="3">
        <f t="shared" si="228"/>
        <v>31.029921767884506</v>
      </c>
      <c r="M118" s="3">
        <f t="shared" si="228"/>
        <v>34.094062600838981</v>
      </c>
      <c r="N118" s="3">
        <f t="shared" si="228"/>
        <v>32.044849560377507</v>
      </c>
      <c r="O118" s="399">
        <f t="shared" si="228"/>
        <v>27.745422279583771</v>
      </c>
      <c r="P118" s="399">
        <f t="shared" si="228"/>
        <v>28.879713750604541</v>
      </c>
      <c r="Q118" s="399">
        <f t="shared" si="228"/>
        <v>31.493936556845135</v>
      </c>
      <c r="R118" s="399">
        <f t="shared" si="228"/>
        <v>36.255524306950583</v>
      </c>
      <c r="S118" s="399">
        <f t="shared" si="228"/>
        <v>32.646579804560261</v>
      </c>
      <c r="T118" s="399">
        <f t="shared" si="228"/>
        <v>28.453647675180093</v>
      </c>
      <c r="U118" s="399">
        <f t="shared" si="228"/>
        <v>20.554612238083315</v>
      </c>
      <c r="V118" s="399">
        <f t="shared" si="228"/>
        <v>22.238303601480986</v>
      </c>
      <c r="W118" s="399">
        <f t="shared" si="228"/>
        <v>8.2428571428571438</v>
      </c>
      <c r="X118" s="399">
        <f t="shared" si="228"/>
        <v>6.2530474989491394</v>
      </c>
      <c r="Y118" s="399">
        <f t="shared" si="228"/>
        <v>10.775379645478246</v>
      </c>
      <c r="Z118" s="399">
        <f t="shared" si="228"/>
        <v>12.814107675138548</v>
      </c>
      <c r="AA118" s="399">
        <f t="shared" si="228"/>
        <v>16.876782475494043</v>
      </c>
      <c r="AB118" s="399">
        <f t="shared" si="228"/>
        <v>17.911458993060279</v>
      </c>
      <c r="AC118" s="399">
        <f t="shared" si="228"/>
        <v>18.856299895869491</v>
      </c>
      <c r="AD118" s="399">
        <f t="shared" si="228"/>
        <v>21.485729923657786</v>
      </c>
      <c r="AE118" s="399">
        <f t="shared" si="228"/>
        <v>22.391618121340567</v>
      </c>
      <c r="AF118" s="399">
        <f t="shared" si="228"/>
        <v>23.326681743667045</v>
      </c>
      <c r="AG118" s="399">
        <f t="shared" si="228"/>
        <v>24.303782561605917</v>
      </c>
      <c r="AH118" s="399">
        <f t="shared" si="228"/>
        <v>25.329698869695942</v>
      </c>
      <c r="AI118" s="399">
        <f>AI106</f>
        <v>26.410372347048206</v>
      </c>
      <c r="AJ118" s="399">
        <f t="shared" ref="AJ118:AK118" si="229">AJ106</f>
        <v>27.550964886573183</v>
      </c>
      <c r="AK118" s="399">
        <f t="shared" si="229"/>
        <v>28.755838146386143</v>
      </c>
      <c r="AL118" s="399">
        <f t="shared" ref="AL118" si="230">AL106</f>
        <v>30.11005662716023</v>
      </c>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row>
    <row r="119" spans="1:72" hidden="1" outlineLevel="1">
      <c r="A119" s="2"/>
      <c r="B119" s="2" t="s">
        <v>1041</v>
      </c>
      <c r="C119" s="719" t="s">
        <v>1374</v>
      </c>
      <c r="D119" s="42"/>
      <c r="E119" s="42"/>
      <c r="F119" s="42"/>
      <c r="G119" s="42"/>
      <c r="H119" s="42"/>
      <c r="I119" s="42"/>
      <c r="J119" s="42"/>
      <c r="K119" s="42"/>
      <c r="L119" s="42"/>
      <c r="M119" s="42"/>
      <c r="N119" s="42"/>
      <c r="O119" s="277"/>
      <c r="P119" s="277"/>
      <c r="Q119" s="277"/>
      <c r="R119" s="277"/>
      <c r="S119" s="277"/>
      <c r="T119" s="277"/>
      <c r="U119" s="277">
        <f t="shared" ref="U119:AK119" si="231">(U97-U215-U216)/U101*100</f>
        <v>18.100317221804829</v>
      </c>
      <c r="V119" s="277">
        <f t="shared" si="231"/>
        <v>18.827835745540224</v>
      </c>
      <c r="W119" s="277">
        <f t="shared" si="231"/>
        <v>3.9428571428571439</v>
      </c>
      <c r="X119" s="277">
        <f t="shared" si="231"/>
        <v>1.427490542244642</v>
      </c>
      <c r="Y119" s="277">
        <f t="shared" si="231"/>
        <v>5.8047439239848053</v>
      </c>
      <c r="Z119" s="277">
        <f t="shared" si="231"/>
        <v>7.667643887311276</v>
      </c>
      <c r="AA119" s="277">
        <f t="shared" si="231"/>
        <v>11.449168859430342</v>
      </c>
      <c r="AB119" s="277">
        <f t="shared" si="231"/>
        <v>12.320533073247244</v>
      </c>
      <c r="AC119" s="277">
        <f t="shared" si="231"/>
        <v>12.631013536966332</v>
      </c>
      <c r="AD119" s="277">
        <f t="shared" si="231"/>
        <v>14.920375633526376</v>
      </c>
      <c r="AE119" s="277">
        <f t="shared" si="231"/>
        <v>15.629303202505215</v>
      </c>
      <c r="AF119" s="277">
        <f t="shared" si="231"/>
        <v>16.36149737726663</v>
      </c>
      <c r="AG119" s="277">
        <f t="shared" si="231"/>
        <v>17.129642664213492</v>
      </c>
      <c r="AH119" s="277">
        <f t="shared" si="231"/>
        <v>17.940334775381743</v>
      </c>
      <c r="AI119" s="277">
        <f t="shared" si="231"/>
        <v>18.799327329904582</v>
      </c>
      <c r="AJ119" s="277">
        <f t="shared" si="231"/>
        <v>19.711588518915249</v>
      </c>
      <c r="AK119" s="277">
        <f t="shared" si="231"/>
        <v>20.681280487698466</v>
      </c>
      <c r="AL119" s="277">
        <f t="shared" ref="AL119" si="232">(AL97-AL215-AL216)/AL101*100</f>
        <v>30.11005662716023</v>
      </c>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row>
    <row r="120" spans="1:72" hidden="1" outlineLevel="1">
      <c r="A120" s="2"/>
      <c r="B120" s="2"/>
      <c r="C120" s="18"/>
      <c r="D120" s="42"/>
      <c r="E120" s="42"/>
      <c r="F120" s="42"/>
      <c r="G120" s="42"/>
      <c r="H120" s="42"/>
      <c r="I120" s="42"/>
      <c r="J120" s="42"/>
      <c r="K120" s="42"/>
      <c r="L120" s="42"/>
      <c r="M120" s="42"/>
      <c r="N120" s="42"/>
      <c r="O120" s="42"/>
      <c r="P120" s="42"/>
      <c r="Q120" s="42"/>
      <c r="R120" s="42"/>
      <c r="S120" s="42"/>
      <c r="T120" s="42"/>
      <c r="U120" s="42"/>
      <c r="V120" s="42"/>
      <c r="W120" s="42"/>
      <c r="X120" s="42"/>
      <c r="Y120" s="42"/>
      <c r="Z120" s="42"/>
      <c r="AA120" s="42"/>
      <c r="AB120" s="42"/>
      <c r="AC120" s="42"/>
      <c r="AD120" s="42"/>
      <c r="AE120" s="42"/>
      <c r="AF120" s="42"/>
      <c r="AG120" s="42"/>
      <c r="AH120" s="42"/>
      <c r="AI120" s="42"/>
      <c r="AJ120" s="42"/>
      <c r="AK120" s="42"/>
      <c r="AL120" s="4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row>
    <row r="121" spans="1:72" hidden="1" outlineLevel="1">
      <c r="A121" s="2"/>
      <c r="B121" s="8" t="s">
        <v>1379</v>
      </c>
      <c r="C121" s="14" t="s">
        <v>521</v>
      </c>
      <c r="D121" s="42">
        <f>MENU!$H$33/D112*100</f>
        <v>16.971702474843621</v>
      </c>
      <c r="E121" s="42">
        <f>MENU!$H$33/E112*100</f>
        <v>15.378252833908327</v>
      </c>
      <c r="F121" s="42">
        <f>MENU!$H$33/F112*100</f>
        <v>17.045875443867793</v>
      </c>
      <c r="G121" s="42">
        <f>MENU!$H$33/G112*100</f>
        <v>18.199168853893262</v>
      </c>
      <c r="H121" s="42">
        <f>MENU!$H$33/H112*100</f>
        <v>14.984592034968431</v>
      </c>
      <c r="I121" s="42">
        <f>MENU!$H$33/I112*100</f>
        <v>14.084021814806222</v>
      </c>
      <c r="J121" s="42">
        <f>MENU!$H$33/J112*100</f>
        <v>18.842318567389256</v>
      </c>
      <c r="K121" s="42">
        <f>MENU!$H$33/K112*100</f>
        <v>18.450276667691373</v>
      </c>
      <c r="L121" s="42">
        <f>MENU!$H$33/L112*100</f>
        <v>16.243296316359697</v>
      </c>
      <c r="M121" s="42">
        <f>MENU!$H$33/M112*100</f>
        <v>14.727424502823471</v>
      </c>
      <c r="N121" s="42">
        <f>MENU!$H$33/N112*100</f>
        <v>15.454300798351788</v>
      </c>
      <c r="O121" s="277">
        <f>MENU!$H$33/O112*100</f>
        <v>18.58641287527081</v>
      </c>
      <c r="P121" s="277">
        <f>MENU!$H$33/P112*100</f>
        <v>17.220345465487611</v>
      </c>
      <c r="Q121" s="277">
        <f>MENU!$H$33/Q112*100</f>
        <v>15.352763668978135</v>
      </c>
      <c r="R121" s="277">
        <f>MENU!$H$33/R112*100</f>
        <v>11.94986111111111</v>
      </c>
      <c r="S121" s="277">
        <f>MENU!$H$33/S112*100</f>
        <v>14.766732869910623</v>
      </c>
      <c r="T121" s="277">
        <f>MENU!$H$33/T112*100</f>
        <v>15.423841386853793</v>
      </c>
      <c r="U121" s="277">
        <f>MENU!$H$33/U112*100</f>
        <v>16.924473348054033</v>
      </c>
      <c r="V121" s="277">
        <f>MENU!$H$33/V112*100</f>
        <v>14.668533604887982</v>
      </c>
      <c r="W121" s="277">
        <f>MENU!$H$33/W112*100</f>
        <v>27.307109004739331</v>
      </c>
      <c r="X121" s="277">
        <f>MENU!$H$33/X112*100</f>
        <v>31.675645959318306</v>
      </c>
      <c r="Y121" s="277">
        <f>MENU!$H$33/Y112*100</f>
        <v>31.014404954227242</v>
      </c>
      <c r="Z121" s="277">
        <f>MENU!$H$33/Z112*100</f>
        <v>33.77473341232227</v>
      </c>
      <c r="AA121" s="277">
        <f>MENU!$H$33/AA112*100</f>
        <v>29.037110995850625</v>
      </c>
      <c r="AB121" s="277">
        <f>MENU!$H$33/AB112*100</f>
        <v>34.729249379652607</v>
      </c>
      <c r="AC121" s="277">
        <f>MENU!$H$33/AC112*100</f>
        <v>27.360558549730523</v>
      </c>
      <c r="AD121" s="277">
        <f>MENU!$H$33/AD112*100</f>
        <v>22.573121868481177</v>
      </c>
      <c r="AE121" s="277">
        <f>MENU!$H$33/AE112*100</f>
        <v>21.561702620419393</v>
      </c>
      <c r="AF121" s="277">
        <f>MENU!$H$33/AF112*100</f>
        <v>20.697389214109496</v>
      </c>
      <c r="AG121" s="277">
        <f>MENU!$H$33/AG112*100</f>
        <v>19.865278579518254</v>
      </c>
      <c r="AH121" s="277">
        <f>MENU!$H$33/AH112*100</f>
        <v>19.060684992980921</v>
      </c>
      <c r="AI121" s="277">
        <f>MENU!$H$33/AI112*100</f>
        <v>18.280749880313603</v>
      </c>
      <c r="AJ121" s="277">
        <f>MENU!$H$33/AJ112*100</f>
        <v>17.523938385099171</v>
      </c>
      <c r="AK121" s="277">
        <f>MENU!$H$33/AK112*100</f>
        <v>16.789683147629443</v>
      </c>
      <c r="AL121" s="277">
        <f>MENU!$H$33/AL112*100</f>
        <v>16.034556729688678</v>
      </c>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row>
    <row r="122" spans="1:72" hidden="1" outlineLevel="1">
      <c r="A122" s="2"/>
      <c r="B122" s="8" t="s">
        <v>1380</v>
      </c>
      <c r="C122" s="508" t="s">
        <v>521</v>
      </c>
      <c r="D122" s="149">
        <f>MENU!$H$33/D113*100</f>
        <v>16.971702474843621</v>
      </c>
      <c r="E122" s="149">
        <f>MENU!$H$33/E113*100</f>
        <v>15.378252833908327</v>
      </c>
      <c r="F122" s="149">
        <f>MENU!$H$33/F113*100</f>
        <v>17.045875443867793</v>
      </c>
      <c r="G122" s="149">
        <f>MENU!$H$33/G113*100</f>
        <v>18.199168853893262</v>
      </c>
      <c r="H122" s="149">
        <f>MENU!$H$33/H113*100</f>
        <v>14.984592034968431</v>
      </c>
      <c r="I122" s="149">
        <f>MENU!$H$33/I113*100</f>
        <v>14.084021814806222</v>
      </c>
      <c r="J122" s="149">
        <f>MENU!$H$33/J113*100</f>
        <v>18.895648759032362</v>
      </c>
      <c r="K122" s="149">
        <f>MENU!$H$33/K113*100</f>
        <v>18.497986474023989</v>
      </c>
      <c r="L122" s="149">
        <f>MENU!$H$33/L113*100</f>
        <v>16.287960455037918</v>
      </c>
      <c r="M122" s="149">
        <f>MENU!$H$33/M113*100</f>
        <v>14.760766020132579</v>
      </c>
      <c r="N122" s="149">
        <f>MENU!$H$33/N113*100</f>
        <v>15.4842776203966</v>
      </c>
      <c r="O122" s="256">
        <f>MENU!$H$33/O113*100</f>
        <v>18.60892912411018</v>
      </c>
      <c r="P122" s="256">
        <f>MENU!$H$33/P113*100</f>
        <v>17.231457157996395</v>
      </c>
      <c r="Q122" s="256">
        <f>MENU!$H$33/Q113*100</f>
        <v>15.399789706332736</v>
      </c>
      <c r="R122" s="256">
        <f>MENU!$H$33/R113*100</f>
        <v>11.975843253968254</v>
      </c>
      <c r="S122" s="256">
        <f>MENU!$H$33/S113*100</f>
        <v>14.785998013902679</v>
      </c>
      <c r="T122" s="256">
        <f>MENU!$H$33/T113*100</f>
        <v>15.441537975889686</v>
      </c>
      <c r="U122" s="256">
        <f>MENU!$H$33/U113*100</f>
        <v>16.940028930175405</v>
      </c>
      <c r="V122" s="256">
        <f>MENU!$H$33/V113*100</f>
        <v>14.673472505091651</v>
      </c>
      <c r="W122" s="256">
        <f>MENU!$H$33/W113*100</f>
        <v>27.35308056872038</v>
      </c>
      <c r="X122" s="256">
        <f>MENU!$H$33/X113*100</f>
        <v>31.715640461792194</v>
      </c>
      <c r="Y122" s="256">
        <f>MENU!$H$33/Y113*100</f>
        <v>31.058804523424872</v>
      </c>
      <c r="Z122" s="256">
        <f>MENU!$H$33/Z113*100</f>
        <v>33.800592417061608</v>
      </c>
      <c r="AA122" s="256">
        <f>MENU!$H$33/AA113*100</f>
        <v>29.064782157676344</v>
      </c>
      <c r="AB122" s="256">
        <f>MENU!$H$33/AB113*100</f>
        <v>34.759336228287843</v>
      </c>
      <c r="AC122" s="256">
        <f>MENU!$H$33/AC113*100</f>
        <v>27.384321411073003</v>
      </c>
      <c r="AD122" s="256">
        <f>MENU!$H$33/AD113*100</f>
        <v>22.573121868481177</v>
      </c>
      <c r="AE122" s="256">
        <f>MENU!$H$33/AE113*100</f>
        <v>21.659890650679042</v>
      </c>
      <c r="AF122" s="256">
        <f>MENU!$H$33/AF113*100</f>
        <v>20.791641319994966</v>
      </c>
      <c r="AG122" s="256">
        <f>MENU!$H$33/AG113*100</f>
        <v>19.955741406532429</v>
      </c>
      <c r="AH122" s="256">
        <f>MENU!$H$33/AH113*100</f>
        <v>19.147483848702457</v>
      </c>
      <c r="AI122" s="256">
        <f>MENU!$H$33/AI113*100</f>
        <v>18.363997054899784</v>
      </c>
      <c r="AJ122" s="256">
        <f>MENU!$H$33/AJ113*100</f>
        <v>17.603739179253289</v>
      </c>
      <c r="AK122" s="256">
        <f>MENU!$H$33/AK113*100</f>
        <v>16.866140278402973</v>
      </c>
      <c r="AL122" s="256">
        <f>MENU!$H$33/AL113*100</f>
        <v>16.107575153562298</v>
      </c>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row>
    <row r="123" spans="1:72" hidden="1" outlineLevel="1">
      <c r="A123" s="2"/>
      <c r="B123" s="164" t="s">
        <v>208</v>
      </c>
      <c r="C123" s="508" t="s">
        <v>772</v>
      </c>
      <c r="D123" s="953">
        <f>MENU!$H$33</f>
        <v>4.8499999999999996</v>
      </c>
      <c r="E123" s="953">
        <f>MENU!$H$33</f>
        <v>4.8499999999999996</v>
      </c>
      <c r="F123" s="953">
        <f>MENU!$H$33</f>
        <v>4.8499999999999996</v>
      </c>
      <c r="G123" s="953">
        <f>MENU!$H$33</f>
        <v>4.8499999999999996</v>
      </c>
      <c r="H123" s="953">
        <f>MENU!$H$33</f>
        <v>4.8499999999999996</v>
      </c>
      <c r="I123" s="953">
        <f>MENU!$H$33</f>
        <v>4.8499999999999996</v>
      </c>
      <c r="J123" s="953">
        <f>MENU!$H$33</f>
        <v>4.8499999999999996</v>
      </c>
      <c r="K123" s="953">
        <f>MENU!$H$33</f>
        <v>4.8499999999999996</v>
      </c>
      <c r="L123" s="953">
        <f>MENU!$H$33</f>
        <v>4.8499999999999996</v>
      </c>
      <c r="M123" s="953">
        <f>MENU!$H$33</f>
        <v>4.8499999999999996</v>
      </c>
      <c r="N123" s="953">
        <f>MENU!$H$33</f>
        <v>4.8499999999999996</v>
      </c>
      <c r="O123" s="256">
        <f>MENU!$H$33</f>
        <v>4.8499999999999996</v>
      </c>
      <c r="P123" s="256">
        <f>MENU!$H$33</f>
        <v>4.8499999999999996</v>
      </c>
      <c r="Q123" s="256">
        <f>MENU!$H$33</f>
        <v>4.8499999999999996</v>
      </c>
      <c r="R123" s="256">
        <f>MENU!$H$33</f>
        <v>4.8499999999999996</v>
      </c>
      <c r="S123" s="256">
        <f>MENU!$H$33</f>
        <v>4.8499999999999996</v>
      </c>
      <c r="T123" s="256">
        <f>MENU!$H$33</f>
        <v>4.8499999999999996</v>
      </c>
      <c r="U123" s="256">
        <f>MENU!$H$33</f>
        <v>4.8499999999999996</v>
      </c>
      <c r="V123" s="256">
        <f>MENU!$H$33</f>
        <v>4.8499999999999996</v>
      </c>
      <c r="W123" s="256">
        <f>MENU!$H$33</f>
        <v>4.8499999999999996</v>
      </c>
      <c r="X123" s="256">
        <f>MENU!$H$33</f>
        <v>4.8499999999999996</v>
      </c>
      <c r="Y123" s="256">
        <f>MENU!$H$33</f>
        <v>4.8499999999999996</v>
      </c>
      <c r="Z123" s="256">
        <f>MENU!$H$33</f>
        <v>4.8499999999999996</v>
      </c>
      <c r="AA123" s="256">
        <f>MENU!$H$33</f>
        <v>4.8499999999999996</v>
      </c>
      <c r="AB123" s="256">
        <f>MENU!$H$33</f>
        <v>4.8499999999999996</v>
      </c>
      <c r="AC123" s="256">
        <f>MENU!$H$33</f>
        <v>4.8499999999999996</v>
      </c>
      <c r="AD123" s="256">
        <f>MENU!$H$33</f>
        <v>4.8499999999999996</v>
      </c>
      <c r="AE123" s="256">
        <f>MENU!$H$33</f>
        <v>4.8499999999999996</v>
      </c>
      <c r="AF123" s="256">
        <f>MENU!$H$33</f>
        <v>4.8499999999999996</v>
      </c>
      <c r="AG123" s="256">
        <f>MENU!$H$33</f>
        <v>4.8499999999999996</v>
      </c>
      <c r="AH123" s="256">
        <f>MENU!$H$33</f>
        <v>4.8499999999999996</v>
      </c>
      <c r="AI123" s="256">
        <f>MENU!$H$33</f>
        <v>4.8499999999999996</v>
      </c>
      <c r="AJ123" s="256">
        <f>MENU!$H$33</f>
        <v>4.8499999999999996</v>
      </c>
      <c r="AK123" s="256">
        <f>MENU!$H$33</f>
        <v>4.8499999999999996</v>
      </c>
      <c r="AL123" s="256">
        <f>MENU!$H$33</f>
        <v>4.8499999999999996</v>
      </c>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S123">
        <v>65</v>
      </c>
      <c r="BT123">
        <v>70</v>
      </c>
    </row>
    <row r="124" spans="1:72" hidden="1" outlineLevel="1">
      <c r="A124" s="2"/>
      <c r="B124" s="510" t="s">
        <v>1381</v>
      </c>
      <c r="C124" s="508" t="s">
        <v>521</v>
      </c>
      <c r="D124" s="149">
        <f t="shared" ref="D124:AB124" si="233">D123/D112*100</f>
        <v>16.971702474843621</v>
      </c>
      <c r="E124" s="149">
        <f t="shared" si="233"/>
        <v>15.378252833908327</v>
      </c>
      <c r="F124" s="149">
        <f t="shared" si="233"/>
        <v>17.045875443867793</v>
      </c>
      <c r="G124" s="149">
        <f t="shared" si="233"/>
        <v>18.199168853893262</v>
      </c>
      <c r="H124" s="149">
        <f t="shared" si="233"/>
        <v>14.984592034968431</v>
      </c>
      <c r="I124" s="149">
        <f t="shared" si="233"/>
        <v>14.084021814806222</v>
      </c>
      <c r="J124" s="149">
        <f t="shared" si="233"/>
        <v>18.842318567389256</v>
      </c>
      <c r="K124" s="149">
        <f t="shared" si="233"/>
        <v>18.450276667691373</v>
      </c>
      <c r="L124" s="149">
        <f t="shared" si="233"/>
        <v>16.243296316359697</v>
      </c>
      <c r="M124" s="149">
        <f t="shared" si="233"/>
        <v>14.727424502823471</v>
      </c>
      <c r="N124" s="149">
        <f t="shared" si="233"/>
        <v>15.454300798351788</v>
      </c>
      <c r="O124" s="256">
        <f t="shared" si="233"/>
        <v>18.58641287527081</v>
      </c>
      <c r="P124" s="256">
        <f t="shared" si="233"/>
        <v>17.220345465487611</v>
      </c>
      <c r="Q124" s="256">
        <f t="shared" si="233"/>
        <v>15.352763668978135</v>
      </c>
      <c r="R124" s="256">
        <f t="shared" si="233"/>
        <v>11.94986111111111</v>
      </c>
      <c r="S124" s="256">
        <f t="shared" si="233"/>
        <v>14.766732869910623</v>
      </c>
      <c r="T124" s="256">
        <f t="shared" si="233"/>
        <v>15.423841386853793</v>
      </c>
      <c r="U124" s="256">
        <f t="shared" si="233"/>
        <v>16.924473348054033</v>
      </c>
      <c r="V124" s="256">
        <f t="shared" si="233"/>
        <v>14.668533604887982</v>
      </c>
      <c r="W124" s="256">
        <f t="shared" si="233"/>
        <v>27.307109004739331</v>
      </c>
      <c r="X124" s="256">
        <f t="shared" si="233"/>
        <v>31.675645959318306</v>
      </c>
      <c r="Y124" s="256">
        <f t="shared" si="233"/>
        <v>31.014404954227242</v>
      </c>
      <c r="Z124" s="256">
        <f t="shared" si="233"/>
        <v>33.77473341232227</v>
      </c>
      <c r="AA124" s="256">
        <f t="shared" si="233"/>
        <v>29.037110995850625</v>
      </c>
      <c r="AB124" s="256">
        <f t="shared" si="233"/>
        <v>34.729249379652607</v>
      </c>
      <c r="AC124" s="256">
        <f t="shared" ref="AC124:AH124" si="234">AC123/AC112*100</f>
        <v>27.360558549730523</v>
      </c>
      <c r="AD124" s="256">
        <f t="shared" si="234"/>
        <v>22.573121868481177</v>
      </c>
      <c r="AE124" s="256">
        <f t="shared" si="234"/>
        <v>21.561702620419393</v>
      </c>
      <c r="AF124" s="256">
        <f t="shared" si="234"/>
        <v>20.697389214109496</v>
      </c>
      <c r="AG124" s="256">
        <f t="shared" si="234"/>
        <v>19.865278579518254</v>
      </c>
      <c r="AH124" s="256">
        <f t="shared" si="234"/>
        <v>19.060684992980921</v>
      </c>
      <c r="AI124" s="256">
        <f>AI123/AI112*100</f>
        <v>18.280749880313603</v>
      </c>
      <c r="AJ124" s="256">
        <f t="shared" ref="AJ124:AK124" si="235">AJ123/AJ112*100</f>
        <v>17.523938385099171</v>
      </c>
      <c r="AK124" s="256">
        <f t="shared" si="235"/>
        <v>16.789683147629443</v>
      </c>
      <c r="AL124" s="256">
        <f t="shared" ref="AL124" si="236">AL123/AL112*100</f>
        <v>16.034556729688678</v>
      </c>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row>
    <row r="125" spans="1:72" hidden="1" outlineLevel="1">
      <c r="A125" s="2"/>
      <c r="B125" s="510" t="s">
        <v>1382</v>
      </c>
      <c r="C125" s="508" t="s">
        <v>521</v>
      </c>
      <c r="D125" s="149">
        <f t="shared" ref="D125:AB125" si="237">D123/D113*100</f>
        <v>16.971702474843621</v>
      </c>
      <c r="E125" s="149">
        <f t="shared" si="237"/>
        <v>15.378252833908327</v>
      </c>
      <c r="F125" s="149">
        <f t="shared" si="237"/>
        <v>17.045875443867793</v>
      </c>
      <c r="G125" s="149">
        <f t="shared" si="237"/>
        <v>18.199168853893262</v>
      </c>
      <c r="H125" s="149">
        <f t="shared" si="237"/>
        <v>14.984592034968431</v>
      </c>
      <c r="I125" s="149">
        <f t="shared" si="237"/>
        <v>14.084021814806222</v>
      </c>
      <c r="J125" s="149">
        <f t="shared" si="237"/>
        <v>18.895648759032362</v>
      </c>
      <c r="K125" s="149">
        <f t="shared" si="237"/>
        <v>18.497986474023989</v>
      </c>
      <c r="L125" s="149">
        <f t="shared" si="237"/>
        <v>16.287960455037918</v>
      </c>
      <c r="M125" s="149">
        <f t="shared" si="237"/>
        <v>14.760766020132579</v>
      </c>
      <c r="N125" s="149">
        <f t="shared" si="237"/>
        <v>15.4842776203966</v>
      </c>
      <c r="O125" s="256">
        <f t="shared" si="237"/>
        <v>18.60892912411018</v>
      </c>
      <c r="P125" s="256">
        <f t="shared" si="237"/>
        <v>17.231457157996395</v>
      </c>
      <c r="Q125" s="256">
        <f t="shared" si="237"/>
        <v>15.399789706332736</v>
      </c>
      <c r="R125" s="256">
        <f t="shared" si="237"/>
        <v>11.975843253968254</v>
      </c>
      <c r="S125" s="256">
        <f t="shared" si="237"/>
        <v>14.785998013902679</v>
      </c>
      <c r="T125" s="256">
        <f t="shared" si="237"/>
        <v>15.441537975889686</v>
      </c>
      <c r="U125" s="256">
        <f t="shared" si="237"/>
        <v>16.940028930175405</v>
      </c>
      <c r="V125" s="256">
        <f t="shared" si="237"/>
        <v>14.673472505091651</v>
      </c>
      <c r="W125" s="256">
        <f t="shared" si="237"/>
        <v>27.35308056872038</v>
      </c>
      <c r="X125" s="256">
        <f t="shared" si="237"/>
        <v>31.715640461792194</v>
      </c>
      <c r="Y125" s="256">
        <f t="shared" si="237"/>
        <v>31.058804523424872</v>
      </c>
      <c r="Z125" s="256">
        <f t="shared" si="237"/>
        <v>33.800592417061608</v>
      </c>
      <c r="AA125" s="256">
        <f t="shared" si="237"/>
        <v>29.064782157676344</v>
      </c>
      <c r="AB125" s="256">
        <f t="shared" si="237"/>
        <v>34.759336228287843</v>
      </c>
      <c r="AC125" s="256">
        <f t="shared" ref="AC125:AH125" si="238">AC123/AC113*100</f>
        <v>27.384321411073003</v>
      </c>
      <c r="AD125" s="256">
        <f t="shared" si="238"/>
        <v>22.573121868481177</v>
      </c>
      <c r="AE125" s="256">
        <f t="shared" si="238"/>
        <v>21.659890650679042</v>
      </c>
      <c r="AF125" s="256">
        <f t="shared" si="238"/>
        <v>20.791641319994966</v>
      </c>
      <c r="AG125" s="256">
        <f t="shared" si="238"/>
        <v>19.955741406532429</v>
      </c>
      <c r="AH125" s="256">
        <f t="shared" si="238"/>
        <v>19.147483848702457</v>
      </c>
      <c r="AI125" s="256">
        <f>AI123/AI113*100</f>
        <v>18.363997054899784</v>
      </c>
      <c r="AJ125" s="256">
        <f t="shared" ref="AJ125:AK125" si="239">AJ123/AJ113*100</f>
        <v>17.603739179253289</v>
      </c>
      <c r="AK125" s="256">
        <f t="shared" si="239"/>
        <v>16.866140278402973</v>
      </c>
      <c r="AL125" s="256">
        <f t="shared" ref="AL125" si="240">AL123/AL113*100</f>
        <v>16.107575153562298</v>
      </c>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S125">
        <f>BS123+BT123</f>
        <v>135</v>
      </c>
    </row>
    <row r="126" spans="1:72" hidden="1" outlineLevel="1">
      <c r="A126" s="2"/>
      <c r="B126" s="164"/>
      <c r="C126" s="926"/>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149"/>
      <c r="AL126" s="149"/>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S126">
        <f>BS125/2</f>
        <v>67.5</v>
      </c>
    </row>
    <row r="127" spans="1:72" hidden="1" outlineLevel="1">
      <c r="A127" s="2"/>
      <c r="B127" s="164" t="s">
        <v>412</v>
      </c>
      <c r="C127" s="508" t="s">
        <v>732</v>
      </c>
      <c r="D127" s="158">
        <f>D101*MENU!$H$33</f>
        <v>62404.95</v>
      </c>
      <c r="E127" s="158">
        <f>E101*MENU!$H$33</f>
        <v>62404.95</v>
      </c>
      <c r="F127" s="158">
        <f>F101*MENU!$H$33</f>
        <v>62404.95</v>
      </c>
      <c r="G127" s="158">
        <f>G101*MENU!$H$33</f>
        <v>62404.95</v>
      </c>
      <c r="H127" s="158">
        <f>H101*MENU!$H$33</f>
        <v>61706.549999999996</v>
      </c>
      <c r="I127" s="158">
        <f>I101*MENU!$H$33</f>
        <v>60688.049999999996</v>
      </c>
      <c r="J127" s="158">
        <f>J101*MENU!$H$33</f>
        <v>60144.85</v>
      </c>
      <c r="K127" s="158">
        <f>K101*MENU!$H$33</f>
        <v>60173.95</v>
      </c>
      <c r="L127" s="158">
        <f>L101*MENU!$H$33</f>
        <v>60135.149999999994</v>
      </c>
      <c r="M127" s="158">
        <f>M101*MENU!$H$33</f>
        <v>60120.6</v>
      </c>
      <c r="N127" s="158">
        <f>N101*MENU!$H$33</f>
        <v>60125.45</v>
      </c>
      <c r="O127" s="248">
        <f>O101*MENU!$H$33</f>
        <v>60125.45</v>
      </c>
      <c r="P127" s="248">
        <f>P101*MENU!$H$33</f>
        <v>60169.1</v>
      </c>
      <c r="Q127" s="248">
        <f>Q101*MENU!$H$33</f>
        <v>60353.399999999994</v>
      </c>
      <c r="R127" s="248">
        <f>R101*MENU!$H$33</f>
        <v>60358.249999999993</v>
      </c>
      <c r="S127" s="248">
        <f>S101*MENU!$H$33</f>
        <v>59557.999999999993</v>
      </c>
      <c r="T127" s="248">
        <f>T101*MENU!$H$33</f>
        <v>59247.6</v>
      </c>
      <c r="U127" s="248">
        <f>U101*MENU!$H$33</f>
        <v>58098.149999999994</v>
      </c>
      <c r="V127" s="248">
        <f>V101*MENU!$H$33</f>
        <v>57637.399999999994</v>
      </c>
      <c r="W127" s="248">
        <f>W101*MENU!$H$33</f>
        <v>57714.999999999993</v>
      </c>
      <c r="X127" s="248">
        <f>X101*MENU!$H$33</f>
        <v>57690.749999999993</v>
      </c>
      <c r="Y127" s="248">
        <f>Y101*MENU!$H$33</f>
        <v>57676.2</v>
      </c>
      <c r="Z127" s="248">
        <f>Z101*MENU!$H$33</f>
        <v>57055.399999999994</v>
      </c>
      <c r="AA127" s="248">
        <f>AA101*MENU!$H$33</f>
        <v>56036.899999999994</v>
      </c>
      <c r="AB127" s="248">
        <f>AB101*MENU!$H$33</f>
        <v>56032.049999999996</v>
      </c>
      <c r="AC127" s="248">
        <f>AC101*MENU!$H$33</f>
        <v>55891.399999999994</v>
      </c>
      <c r="AD127" s="248">
        <f>AD101*MENU!$H$33</f>
        <v>54586.264999999992</v>
      </c>
      <c r="AE127" s="248">
        <f>AE101*MENU!$H$33</f>
        <v>54586.264999999992</v>
      </c>
      <c r="AF127" s="248">
        <f>AF101*MENU!$H$33</f>
        <v>54586.264999999992</v>
      </c>
      <c r="AG127" s="248">
        <f>AG101*MENU!$H$33</f>
        <v>54586.264999999992</v>
      </c>
      <c r="AH127" s="248">
        <f>AH101*MENU!$H$33</f>
        <v>54586.264999999992</v>
      </c>
      <c r="AI127" s="248">
        <f>AI101*MENU!$H$33</f>
        <v>54586.264999999992</v>
      </c>
      <c r="AJ127" s="248">
        <f>AJ101*MENU!$H$33</f>
        <v>54586.264999999992</v>
      </c>
      <c r="AK127" s="248">
        <f>AK101*MENU!$H$33</f>
        <v>54586.264999999992</v>
      </c>
      <c r="AL127" s="248">
        <f>AL101*MENU!$H$33</f>
        <v>54586.264999999992</v>
      </c>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row>
    <row r="128" spans="1:72" hidden="1" outlineLevel="1">
      <c r="A128" s="2"/>
      <c r="B128" s="164" t="s">
        <v>346</v>
      </c>
      <c r="C128" s="508" t="s">
        <v>732</v>
      </c>
      <c r="D128" s="452">
        <f>'Balance Sheet'!D70</f>
        <v>9070</v>
      </c>
      <c r="E128" s="452">
        <f>'Balance Sheet'!E70</f>
        <v>12913</v>
      </c>
      <c r="F128" s="452">
        <f>'Balance Sheet'!F70</f>
        <v>13307</v>
      </c>
      <c r="G128" s="452">
        <f>'Balance Sheet'!G70</f>
        <v>11255</v>
      </c>
      <c r="H128" s="452">
        <f>'Balance Sheet'!H70</f>
        <v>11573</v>
      </c>
      <c r="I128" s="452">
        <f>'Balance Sheet'!I70</f>
        <v>11771</v>
      </c>
      <c r="J128" s="452">
        <f>'Balance Sheet'!J70</f>
        <v>13103</v>
      </c>
      <c r="K128" s="452">
        <f>'Balance Sheet'!K70</f>
        <v>14754</v>
      </c>
      <c r="L128" s="452">
        <f>'Balance Sheet'!L70</f>
        <v>15406</v>
      </c>
      <c r="M128" s="452">
        <f>'Balance Sheet'!M70</f>
        <v>15671</v>
      </c>
      <c r="N128" s="452">
        <f>'Balance Sheet'!N70</f>
        <v>14111</v>
      </c>
      <c r="O128" s="451">
        <f>'Balance Sheet'!O70</f>
        <v>13603</v>
      </c>
      <c r="P128" s="451">
        <f>'Balance Sheet'!P70</f>
        <v>13277</v>
      </c>
      <c r="Q128" s="451">
        <f>'Balance Sheet'!Q70</f>
        <v>13149</v>
      </c>
      <c r="R128" s="451">
        <f>'Balance Sheet'!R70</f>
        <v>10521</v>
      </c>
      <c r="S128" s="451">
        <f>'Balance Sheet'!S70</f>
        <v>13566</v>
      </c>
      <c r="T128" s="451">
        <f>'Balance Sheet'!T70</f>
        <v>12459.008596325</v>
      </c>
      <c r="U128" s="451">
        <f>'Balance Sheet'!U70</f>
        <v>15280</v>
      </c>
      <c r="V128" s="451">
        <f>'Balance Sheet'!V70</f>
        <v>14739</v>
      </c>
      <c r="W128" s="451">
        <f>'Balance Sheet'!W70</f>
        <v>14727</v>
      </c>
      <c r="X128" s="451">
        <f>'Balance Sheet'!X70</f>
        <v>13546</v>
      </c>
      <c r="Y128" s="451">
        <f>'Balance Sheet'!Y70</f>
        <v>11958</v>
      </c>
      <c r="Z128" s="451">
        <f>'Balance Sheet'!Z70</f>
        <v>9433</v>
      </c>
      <c r="AA128" s="451">
        <f>'Balance Sheet'!AA70</f>
        <v>11602</v>
      </c>
      <c r="AB128" s="451">
        <f>'Balance Sheet'!AB70</f>
        <v>13077</v>
      </c>
      <c r="AC128" s="451">
        <f>'Balance Sheet'!AC70</f>
        <v>13766</v>
      </c>
      <c r="AD128" s="451">
        <f>'Balance Sheet'!AD70</f>
        <v>14745.034413037571</v>
      </c>
      <c r="AE128" s="451">
        <f>'Balance Sheet'!AE70</f>
        <v>15094.209102262736</v>
      </c>
      <c r="AF128" s="451">
        <f>'Balance Sheet'!AF70</f>
        <v>15182.412023839803</v>
      </c>
      <c r="AG128" s="451">
        <f>'Balance Sheet'!AG70</f>
        <v>15252.252040153677</v>
      </c>
      <c r="AH128" s="451">
        <f>'Balance Sheet'!AH70</f>
        <v>15291.645188125329</v>
      </c>
      <c r="AI128" s="451">
        <f>'Balance Sheet'!AI70</f>
        <v>15294.944716154643</v>
      </c>
      <c r="AJ128" s="451">
        <f>'Balance Sheet'!AJ70</f>
        <v>14949.738332978581</v>
      </c>
      <c r="AK128" s="451">
        <f>'Balance Sheet'!AK70</f>
        <v>14216.559011758127</v>
      </c>
      <c r="AL128" s="451">
        <f>'Balance Sheet'!AL70</f>
        <v>13215.320016577167</v>
      </c>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S128">
        <v>414</v>
      </c>
    </row>
    <row r="129" spans="1:71" hidden="1" outlineLevel="1">
      <c r="A129" s="2"/>
      <c r="B129" s="164" t="s">
        <v>276</v>
      </c>
      <c r="C129" s="508" t="s">
        <v>732</v>
      </c>
      <c r="D129" s="158">
        <f t="shared" ref="D129:W129" si="241">D127+D128</f>
        <v>71474.95</v>
      </c>
      <c r="E129" s="158">
        <f t="shared" si="241"/>
        <v>75317.95</v>
      </c>
      <c r="F129" s="158">
        <f t="shared" si="241"/>
        <v>75711.95</v>
      </c>
      <c r="G129" s="158">
        <f t="shared" si="241"/>
        <v>73659.95</v>
      </c>
      <c r="H129" s="158">
        <f t="shared" si="241"/>
        <v>73279.549999999988</v>
      </c>
      <c r="I129" s="158">
        <f t="shared" si="241"/>
        <v>72459.049999999988</v>
      </c>
      <c r="J129" s="158">
        <f t="shared" si="241"/>
        <v>73247.850000000006</v>
      </c>
      <c r="K129" s="158">
        <f t="shared" si="241"/>
        <v>74927.95</v>
      </c>
      <c r="L129" s="158">
        <f t="shared" si="241"/>
        <v>75541.149999999994</v>
      </c>
      <c r="M129" s="158">
        <f t="shared" si="241"/>
        <v>75791.600000000006</v>
      </c>
      <c r="N129" s="158">
        <f t="shared" si="241"/>
        <v>74236.45</v>
      </c>
      <c r="O129" s="248">
        <f t="shared" si="241"/>
        <v>73728.45</v>
      </c>
      <c r="P129" s="248">
        <f t="shared" si="241"/>
        <v>73446.100000000006</v>
      </c>
      <c r="Q129" s="248">
        <f t="shared" si="241"/>
        <v>73502.399999999994</v>
      </c>
      <c r="R129" s="248">
        <f t="shared" si="241"/>
        <v>70879.25</v>
      </c>
      <c r="S129" s="248">
        <f t="shared" si="241"/>
        <v>73124</v>
      </c>
      <c r="T129" s="248">
        <f t="shared" si="241"/>
        <v>71706.608596324993</v>
      </c>
      <c r="U129" s="248">
        <f t="shared" si="241"/>
        <v>73378.149999999994</v>
      </c>
      <c r="V129" s="248">
        <f t="shared" si="241"/>
        <v>72376.399999999994</v>
      </c>
      <c r="W129" s="248">
        <f t="shared" si="241"/>
        <v>72442</v>
      </c>
      <c r="X129" s="248">
        <f t="shared" ref="X129:AH129" si="242">X127+X128</f>
        <v>71236.75</v>
      </c>
      <c r="Y129" s="248">
        <f t="shared" si="242"/>
        <v>69634.2</v>
      </c>
      <c r="Z129" s="248">
        <f t="shared" si="242"/>
        <v>66488.399999999994</v>
      </c>
      <c r="AA129" s="248">
        <f t="shared" si="242"/>
        <v>67638.899999999994</v>
      </c>
      <c r="AB129" s="248">
        <f t="shared" si="242"/>
        <v>69109.049999999988</v>
      </c>
      <c r="AC129" s="248">
        <f t="shared" si="242"/>
        <v>69657.399999999994</v>
      </c>
      <c r="AD129" s="248">
        <f t="shared" si="242"/>
        <v>69331.299413037559</v>
      </c>
      <c r="AE129" s="248">
        <f t="shared" si="242"/>
        <v>69680.474102262728</v>
      </c>
      <c r="AF129" s="248">
        <f t="shared" si="242"/>
        <v>69768.677023839788</v>
      </c>
      <c r="AG129" s="248">
        <f t="shared" si="242"/>
        <v>69838.517040153674</v>
      </c>
      <c r="AH129" s="248">
        <f t="shared" si="242"/>
        <v>69877.910188125315</v>
      </c>
      <c r="AI129" s="248">
        <f>AI127+AI128</f>
        <v>69881.209716154641</v>
      </c>
      <c r="AJ129" s="248">
        <f t="shared" ref="AJ129:AK129" si="243">AJ127+AJ128</f>
        <v>69536.00333297858</v>
      </c>
      <c r="AK129" s="248">
        <f t="shared" si="243"/>
        <v>68802.824011758115</v>
      </c>
      <c r="AL129" s="248">
        <f t="shared" ref="AL129" si="244">AL127+AL128</f>
        <v>67801.585016577155</v>
      </c>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S129">
        <v>67.5</v>
      </c>
    </row>
    <row r="130" spans="1:71" hidden="1" outlineLevel="1">
      <c r="A130" s="2"/>
      <c r="B130" s="164" t="s">
        <v>32</v>
      </c>
      <c r="C130" s="508" t="s">
        <v>521</v>
      </c>
      <c r="D130" s="149">
        <f t="shared" ref="D130:V130" si="245">D129/D189</f>
        <v>8.3469520028027553</v>
      </c>
      <c r="E130" s="149">
        <f t="shared" si="245"/>
        <v>7.6589332926581246</v>
      </c>
      <c r="F130" s="149">
        <f t="shared" si="245"/>
        <v>7.9839660445006855</v>
      </c>
      <c r="G130" s="149">
        <f t="shared" si="245"/>
        <v>8.0327099236641217</v>
      </c>
      <c r="H130" s="149">
        <f t="shared" si="245"/>
        <v>7.2019213759213745</v>
      </c>
      <c r="I130" s="149">
        <f t="shared" si="245"/>
        <v>6.924603402140673</v>
      </c>
      <c r="J130" s="149">
        <f t="shared" si="245"/>
        <v>7.6499060052219328</v>
      </c>
      <c r="K130" s="149">
        <f t="shared" si="245"/>
        <v>7.5984129398641125</v>
      </c>
      <c r="L130" s="149">
        <f t="shared" si="245"/>
        <v>7.2524145545314891</v>
      </c>
      <c r="M130" s="149">
        <f t="shared" si="245"/>
        <v>6.922871757398612</v>
      </c>
      <c r="N130" s="149">
        <f t="shared" si="245"/>
        <v>6.8439614639992623</v>
      </c>
      <c r="O130" s="256">
        <f t="shared" si="245"/>
        <v>7.263171116146192</v>
      </c>
      <c r="P130" s="256">
        <f t="shared" si="245"/>
        <v>7.1163065822420206</v>
      </c>
      <c r="Q130" s="256">
        <f t="shared" si="245"/>
        <v>6.8469192257799412</v>
      </c>
      <c r="R130" s="256">
        <f t="shared" si="245"/>
        <v>6.3654467894027844</v>
      </c>
      <c r="S130" s="256">
        <f t="shared" si="245"/>
        <v>6.9423715940377857</v>
      </c>
      <c r="T130" s="256">
        <f t="shared" si="245"/>
        <v>6.856038880840079</v>
      </c>
      <c r="U130" s="256">
        <f t="shared" si="245"/>
        <v>7.1695898936132263</v>
      </c>
      <c r="V130" s="256">
        <f t="shared" si="245"/>
        <v>6.8486373959121876</v>
      </c>
      <c r="W130" s="256">
        <f t="shared" ref="W130:AK130" si="246">W129/W51</f>
        <v>8.5892814797249226</v>
      </c>
      <c r="X130" s="256">
        <f t="shared" si="246"/>
        <v>8.4694744976816079</v>
      </c>
      <c r="Y130" s="256">
        <f t="shared" si="246"/>
        <v>9.3544062332079516</v>
      </c>
      <c r="Z130" s="256">
        <f t="shared" si="246"/>
        <v>9.1632304299889746</v>
      </c>
      <c r="AA130" s="256">
        <f t="shared" si="246"/>
        <v>8.6032688883235817</v>
      </c>
      <c r="AB130" s="256">
        <f t="shared" si="246"/>
        <v>9.1802670031880957</v>
      </c>
      <c r="AC130" s="256">
        <f t="shared" si="246"/>
        <v>8.0921700743494416</v>
      </c>
      <c r="AD130" s="256">
        <f t="shared" si="246"/>
        <v>7.7358371745636152</v>
      </c>
      <c r="AE130" s="256">
        <f t="shared" si="246"/>
        <v>7.5333431975538261</v>
      </c>
      <c r="AF130" s="256">
        <f t="shared" si="246"/>
        <v>7.2989487034695664</v>
      </c>
      <c r="AG130" s="256">
        <f t="shared" si="246"/>
        <v>7.0590689441329166</v>
      </c>
      <c r="AH130" s="256">
        <f t="shared" si="246"/>
        <v>6.8135563323717143</v>
      </c>
      <c r="AI130" s="256">
        <f t="shared" si="246"/>
        <v>6.5629036974543746</v>
      </c>
      <c r="AJ130" s="256">
        <f t="shared" si="246"/>
        <v>6.2798712356696571</v>
      </c>
      <c r="AK130" s="256">
        <f t="shared" si="246"/>
        <v>5.9653065531332397</v>
      </c>
      <c r="AL130" s="256">
        <f t="shared" ref="AL130" si="247">AL129/AL51</f>
        <v>5.6402527699911893</v>
      </c>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row>
    <row r="131" spans="1:71" hidden="1" outlineLevel="1">
      <c r="A131" s="2"/>
      <c r="B131" s="164" t="s">
        <v>413</v>
      </c>
      <c r="C131" s="508" t="s">
        <v>521</v>
      </c>
      <c r="D131" s="149">
        <f t="shared" ref="D131:AK131" si="248">D129/D80</f>
        <v>12.079592699002873</v>
      </c>
      <c r="E131" s="149">
        <f t="shared" si="248"/>
        <v>10.816882091052706</v>
      </c>
      <c r="F131" s="149">
        <f t="shared" si="248"/>
        <v>12.180172136422136</v>
      </c>
      <c r="G131" s="149">
        <f t="shared" si="248"/>
        <v>12.870863183644941</v>
      </c>
      <c r="H131" s="149">
        <f t="shared" si="248"/>
        <v>11.170663109756095</v>
      </c>
      <c r="I131" s="149">
        <f t="shared" si="248"/>
        <v>10.448312905551552</v>
      </c>
      <c r="J131" s="149">
        <f t="shared" si="248"/>
        <v>13.325059123158088</v>
      </c>
      <c r="K131" s="149">
        <f t="shared" si="248"/>
        <v>12.965556324623641</v>
      </c>
      <c r="L131" s="149">
        <f t="shared" si="248"/>
        <v>12.133175393511081</v>
      </c>
      <c r="M131" s="149">
        <f t="shared" si="248"/>
        <v>11.557121073498019</v>
      </c>
      <c r="N131" s="149">
        <f t="shared" si="248"/>
        <v>11.419235502230425</v>
      </c>
      <c r="O131" s="256">
        <f t="shared" si="248"/>
        <v>12.952995432185523</v>
      </c>
      <c r="P131" s="256">
        <f t="shared" si="248"/>
        <v>12.429915568789374</v>
      </c>
      <c r="Q131" s="256">
        <f t="shared" si="248"/>
        <v>11.313099409336154</v>
      </c>
      <c r="R131" s="256">
        <f t="shared" si="248"/>
        <v>9.8511813759555249</v>
      </c>
      <c r="S131" s="256">
        <f t="shared" si="248"/>
        <v>11.148650708949535</v>
      </c>
      <c r="T131" s="256">
        <f t="shared" si="248"/>
        <v>11.374964053401659</v>
      </c>
      <c r="U131" s="256">
        <f t="shared" si="248"/>
        <v>12.665299879850945</v>
      </c>
      <c r="V131" s="256">
        <f t="shared" si="248"/>
        <v>11.868875040997047</v>
      </c>
      <c r="W131" s="256">
        <f t="shared" si="248"/>
        <v>19.568341437061047</v>
      </c>
      <c r="X131" s="256">
        <f t="shared" si="248"/>
        <v>19.971054107092794</v>
      </c>
      <c r="Y131" s="256">
        <f t="shared" si="248"/>
        <v>23.27346256684492</v>
      </c>
      <c r="Z131" s="256">
        <f t="shared" si="248"/>
        <v>22.94285714285714</v>
      </c>
      <c r="AA131" s="256">
        <f t="shared" si="248"/>
        <v>19.940713443396223</v>
      </c>
      <c r="AB131" s="256">
        <f t="shared" si="248"/>
        <v>22.666136438176448</v>
      </c>
      <c r="AC131" s="256">
        <f t="shared" si="248"/>
        <v>17.783354608118458</v>
      </c>
      <c r="AD131" s="256">
        <f t="shared" si="248"/>
        <v>16.246784275667583</v>
      </c>
      <c r="AE131" s="256">
        <f t="shared" si="248"/>
        <v>15.693910314714691</v>
      </c>
      <c r="AF131" s="256">
        <f t="shared" si="248"/>
        <v>15.110786593118508</v>
      </c>
      <c r="AG131" s="256">
        <f t="shared" si="248"/>
        <v>14.546856026253788</v>
      </c>
      <c r="AH131" s="256">
        <f t="shared" si="248"/>
        <v>13.996828306316482</v>
      </c>
      <c r="AI131" s="256">
        <f t="shared" si="248"/>
        <v>13.458095230249164</v>
      </c>
      <c r="AJ131" s="256">
        <f t="shared" si="248"/>
        <v>12.872203086064122</v>
      </c>
      <c r="AK131" s="256">
        <f t="shared" si="248"/>
        <v>12.238858420117614</v>
      </c>
      <c r="AL131" s="256">
        <f t="shared" ref="AL131" si="249">AL129/AL80</f>
        <v>11.560730728843778</v>
      </c>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S131">
        <f>BS128/BS129</f>
        <v>6.1333333333333337</v>
      </c>
    </row>
    <row r="132" spans="1:71" hidden="1" outlineLevel="1">
      <c r="A132" s="2"/>
      <c r="B132" s="164" t="s">
        <v>203</v>
      </c>
      <c r="C132" s="508" t="s">
        <v>521</v>
      </c>
      <c r="D132" s="149">
        <f t="shared" ref="D132:U132" si="250">D129/D168</f>
        <v>3.8408807566231391</v>
      </c>
      <c r="E132" s="149">
        <f t="shared" si="250"/>
        <v>3.8711939761513157</v>
      </c>
      <c r="F132" s="149">
        <f t="shared" si="250"/>
        <v>3.7486730702579592</v>
      </c>
      <c r="G132" s="149">
        <f t="shared" si="250"/>
        <v>3.6143253189401374</v>
      </c>
      <c r="H132" s="149">
        <f t="shared" si="250"/>
        <v>3.5968954007755358</v>
      </c>
      <c r="I132" s="149">
        <f t="shared" si="250"/>
        <v>3.269665177564189</v>
      </c>
      <c r="J132" s="149">
        <f t="shared" si="250"/>
        <v>3.2250726488200074</v>
      </c>
      <c r="K132" s="149">
        <f t="shared" si="250"/>
        <v>3.1651227136400117</v>
      </c>
      <c r="L132" s="149">
        <f t="shared" si="250"/>
        <v>3.0645746619438117</v>
      </c>
      <c r="M132" s="149">
        <f t="shared" si="250"/>
        <v>2.9871845188560928</v>
      </c>
      <c r="N132" s="149">
        <f t="shared" si="250"/>
        <v>2.9919752720083235</v>
      </c>
      <c r="O132" s="256">
        <f t="shared" si="250"/>
        <v>2.9511484590384245</v>
      </c>
      <c r="P132" s="256">
        <f t="shared" si="250"/>
        <v>2.9108525621426931</v>
      </c>
      <c r="Q132" s="256">
        <f t="shared" si="250"/>
        <v>2.8836120064669193</v>
      </c>
      <c r="R132" s="256">
        <f t="shared" si="250"/>
        <v>2.834749172252196</v>
      </c>
      <c r="S132" s="256">
        <f t="shared" si="250"/>
        <v>2.8841787517907052</v>
      </c>
      <c r="T132" s="256">
        <f t="shared" si="250"/>
        <v>2.7770574676591306</v>
      </c>
      <c r="U132" s="256">
        <f t="shared" si="250"/>
        <v>2.8335711771949086</v>
      </c>
      <c r="V132" s="256">
        <f t="shared" ref="V132:AK132" si="251">V129/V21</f>
        <v>2.5094968967788911</v>
      </c>
      <c r="W132" s="256">
        <f t="shared" si="251"/>
        <v>2.6051713597295647</v>
      </c>
      <c r="X132" s="256">
        <f t="shared" si="251"/>
        <v>2.7465300535913943</v>
      </c>
      <c r="Y132" s="256">
        <f t="shared" si="251"/>
        <v>3.0102974234826214</v>
      </c>
      <c r="Z132" s="256">
        <f t="shared" si="251"/>
        <v>3.0160308459968244</v>
      </c>
      <c r="AA132" s="256">
        <f t="shared" si="251"/>
        <v>2.9098245747590257</v>
      </c>
      <c r="AB132" s="256">
        <f t="shared" si="251"/>
        <v>2.9430649007750613</v>
      </c>
      <c r="AC132" s="256">
        <f t="shared" si="251"/>
        <v>2.9503346039813634</v>
      </c>
      <c r="AD132" s="256">
        <f t="shared" si="251"/>
        <v>2.8286160860586369</v>
      </c>
      <c r="AE132" s="256">
        <f t="shared" si="251"/>
        <v>2.7676038719695288</v>
      </c>
      <c r="AF132" s="256">
        <f t="shared" si="251"/>
        <v>2.6888790073543034</v>
      </c>
      <c r="AG132" s="256">
        <f t="shared" si="251"/>
        <v>2.6029323577557926</v>
      </c>
      <c r="AH132" s="256">
        <f t="shared" si="251"/>
        <v>2.510587914517624</v>
      </c>
      <c r="AI132" s="256">
        <f t="shared" si="251"/>
        <v>2.4127400940245898</v>
      </c>
      <c r="AJ132" s="256">
        <f t="shared" si="251"/>
        <v>2.2999950085738927</v>
      </c>
      <c r="AK132" s="256">
        <f t="shared" si="251"/>
        <v>2.173305346609498</v>
      </c>
      <c r="AL132" s="256">
        <f t="shared" ref="AL132" si="252">AL129/AL21</f>
        <v>2.0484283475237643</v>
      </c>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row>
    <row r="133" spans="1:71" hidden="1" outlineLevel="1">
      <c r="A133" s="2"/>
      <c r="B133" s="164"/>
      <c r="C133" s="926"/>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149"/>
      <c r="AL133" s="149"/>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S133">
        <f>BS129*0.1</f>
        <v>6.75</v>
      </c>
    </row>
    <row r="134" spans="1:71" hidden="1" outlineLevel="1">
      <c r="A134" s="2"/>
      <c r="B134" s="509" t="s">
        <v>1167</v>
      </c>
      <c r="C134" s="954" t="s">
        <v>1374</v>
      </c>
      <c r="D134" s="42">
        <f t="shared" ref="D134:AH134" si="253">D107</f>
        <v>18</v>
      </c>
      <c r="E134" s="42">
        <f t="shared" si="253"/>
        <v>19</v>
      </c>
      <c r="F134" s="42">
        <f t="shared" si="253"/>
        <v>22</v>
      </c>
      <c r="G134" s="42">
        <f t="shared" si="253"/>
        <v>24</v>
      </c>
      <c r="H134" s="42">
        <f t="shared" si="253"/>
        <v>26</v>
      </c>
      <c r="I134" s="42">
        <f t="shared" si="253"/>
        <v>28</v>
      </c>
      <c r="J134" s="42">
        <f t="shared" si="253"/>
        <v>28</v>
      </c>
      <c r="K134" s="42">
        <f t="shared" si="253"/>
        <v>28</v>
      </c>
      <c r="L134" s="42">
        <f t="shared" si="253"/>
        <v>28</v>
      </c>
      <c r="M134" s="42">
        <f t="shared" si="253"/>
        <v>28</v>
      </c>
      <c r="N134" s="42">
        <f t="shared" si="253"/>
        <v>28</v>
      </c>
      <c r="O134" s="61">
        <f t="shared" si="253"/>
        <v>28</v>
      </c>
      <c r="P134" s="61">
        <f t="shared" si="253"/>
        <v>28</v>
      </c>
      <c r="Q134" s="61">
        <f t="shared" si="253"/>
        <v>28</v>
      </c>
      <c r="R134" s="61">
        <f t="shared" si="253"/>
        <v>29.5</v>
      </c>
      <c r="S134" s="61">
        <f t="shared" si="253"/>
        <v>30.5</v>
      </c>
      <c r="T134" s="61">
        <f t="shared" si="253"/>
        <v>31</v>
      </c>
      <c r="U134" s="61">
        <f t="shared" si="253"/>
        <v>31</v>
      </c>
      <c r="V134" s="61">
        <f t="shared" si="253"/>
        <v>22</v>
      </c>
      <c r="W134" s="61">
        <f t="shared" si="253"/>
        <v>16</v>
      </c>
      <c r="X134" s="61">
        <f t="shared" si="253"/>
        <v>16</v>
      </c>
      <c r="Y134" s="61">
        <f t="shared" si="253"/>
        <v>16</v>
      </c>
      <c r="Z134" s="61">
        <f t="shared" si="253"/>
        <v>16.5</v>
      </c>
      <c r="AA134" s="61">
        <f t="shared" si="253"/>
        <v>17</v>
      </c>
      <c r="AB134" s="61">
        <f t="shared" si="253"/>
        <v>18</v>
      </c>
      <c r="AC134" s="61">
        <f t="shared" si="253"/>
        <v>19</v>
      </c>
      <c r="AD134" s="61">
        <f t="shared" si="253"/>
        <v>21</v>
      </c>
      <c r="AE134" s="61">
        <f t="shared" si="253"/>
        <v>22</v>
      </c>
      <c r="AF134" s="61">
        <f t="shared" si="253"/>
        <v>23</v>
      </c>
      <c r="AG134" s="61">
        <f t="shared" si="253"/>
        <v>24</v>
      </c>
      <c r="AH134" s="61">
        <f t="shared" si="253"/>
        <v>25</v>
      </c>
      <c r="AI134" s="61">
        <f>AI107</f>
        <v>26</v>
      </c>
      <c r="AJ134" s="61">
        <f t="shared" ref="AJ134:AK134" si="254">AJ107</f>
        <v>27</v>
      </c>
      <c r="AK134" s="61">
        <f t="shared" si="254"/>
        <v>28</v>
      </c>
      <c r="AL134" s="61">
        <f t="shared" ref="AL134" si="255">AL107</f>
        <v>29</v>
      </c>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S134">
        <f>BS128/BS133</f>
        <v>61.333333333333336</v>
      </c>
    </row>
    <row r="135" spans="1:71" hidden="1" outlineLevel="1">
      <c r="A135" s="2"/>
      <c r="B135" s="174" t="s">
        <v>652</v>
      </c>
      <c r="C135" s="508" t="s">
        <v>1374</v>
      </c>
      <c r="D135" s="955">
        <f>'Cost + BS Assumptions'!D158</f>
        <v>0</v>
      </c>
      <c r="E135" s="955">
        <f>'Cost + BS Assumptions'!E158</f>
        <v>0</v>
      </c>
      <c r="F135" s="955">
        <f>'Cost + BS Assumptions'!F158</f>
        <v>0</v>
      </c>
      <c r="G135" s="955">
        <f>'Cost + BS Assumptions'!G158</f>
        <v>0</v>
      </c>
      <c r="H135" s="955">
        <f>'Cost + BS Assumptions'!H158</f>
        <v>0</v>
      </c>
      <c r="I135" s="955">
        <f>'Cost + BS Assumptions'!I158</f>
        <v>14</v>
      </c>
      <c r="J135" s="955">
        <f>'Cost + BS Assumptions'!J158</f>
        <v>14</v>
      </c>
      <c r="K135" s="955">
        <f>'Cost + BS Assumptions'!K158</f>
        <v>14</v>
      </c>
      <c r="L135" s="955">
        <f>'Cost + BS Assumptions'!L158</f>
        <v>14</v>
      </c>
      <c r="M135" s="955">
        <f>'Cost + BS Assumptions'!M158</f>
        <v>14</v>
      </c>
      <c r="N135" s="955">
        <f>'Cost + BS Assumptions'!N158</f>
        <v>14</v>
      </c>
      <c r="O135" s="956">
        <f>'Cost + BS Assumptions'!O158</f>
        <v>14</v>
      </c>
      <c r="P135" s="956">
        <f>'Cost + BS Assumptions'!P158</f>
        <v>14</v>
      </c>
      <c r="Q135" s="956">
        <f>'Cost + BS Assumptions'!Q158</f>
        <v>14</v>
      </c>
      <c r="R135" s="956">
        <f>'Cost + BS Assumptions'!R158</f>
        <v>14.5</v>
      </c>
      <c r="S135" s="956">
        <f>'Cost + BS Assumptions'!S158</f>
        <v>15</v>
      </c>
      <c r="T135" s="956">
        <f>'Cost + BS Assumptions'!T158</f>
        <v>15.5</v>
      </c>
      <c r="U135" s="956">
        <f>'Cost + BS Assumptions'!U158</f>
        <v>15.5</v>
      </c>
      <c r="V135" s="956">
        <f>'Cost + BS Assumptions'!V158</f>
        <v>11</v>
      </c>
      <c r="W135" s="956">
        <f>'Cost + BS Assumptions'!W158</f>
        <v>8</v>
      </c>
      <c r="X135" s="956">
        <f>'Cost + BS Assumptions'!X158</f>
        <v>8</v>
      </c>
      <c r="Y135" s="956">
        <f>'Cost + BS Assumptions'!Y158</f>
        <v>8</v>
      </c>
      <c r="Z135" s="956">
        <f>'Cost + BS Assumptions'!Z158</f>
        <v>8</v>
      </c>
      <c r="AA135" s="956">
        <f>'Cost + BS Assumptions'!AA158</f>
        <v>8.5</v>
      </c>
      <c r="AB135" s="956">
        <f>'Cost + BS Assumptions'!AB158</f>
        <v>9</v>
      </c>
      <c r="AC135" s="956">
        <f>'Cost + BS Assumptions'!AC158</f>
        <v>9.5</v>
      </c>
      <c r="AD135" s="956">
        <f>'Cost + BS Assumptions'!AD158</f>
        <v>10.5</v>
      </c>
      <c r="AE135" s="956">
        <f>'Cost + BS Assumptions'!AE158</f>
        <v>11</v>
      </c>
      <c r="AF135" s="956">
        <f>'Cost + BS Assumptions'!AF158</f>
        <v>11.5</v>
      </c>
      <c r="AG135" s="956">
        <f>'Cost + BS Assumptions'!AG158</f>
        <v>12</v>
      </c>
      <c r="AH135" s="956">
        <f>'Cost + BS Assumptions'!AH158</f>
        <v>12.5</v>
      </c>
      <c r="AI135" s="956">
        <f>'Cost + BS Assumptions'!AI158</f>
        <v>13</v>
      </c>
      <c r="AJ135" s="956">
        <f>'Cost + BS Assumptions'!AJ158</f>
        <v>13.5</v>
      </c>
      <c r="AK135" s="956">
        <f>'Cost + BS Assumptions'!AK158</f>
        <v>14</v>
      </c>
      <c r="AL135" s="956">
        <f>'Cost + BS Assumptions'!AL158</f>
        <v>14.5</v>
      </c>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row>
    <row r="136" spans="1:71" hidden="1" outlineLevel="1">
      <c r="A136" s="2"/>
      <c r="B136" s="174" t="s">
        <v>653</v>
      </c>
      <c r="C136" s="508" t="s">
        <v>1374</v>
      </c>
      <c r="D136" s="955">
        <f>'Cost + BS Assumptions'!D159</f>
        <v>0</v>
      </c>
      <c r="E136" s="955">
        <f>'Cost + BS Assumptions'!E159</f>
        <v>0</v>
      </c>
      <c r="F136" s="955">
        <f>'Cost + BS Assumptions'!F159</f>
        <v>0</v>
      </c>
      <c r="G136" s="955">
        <f>'Cost + BS Assumptions'!G159</f>
        <v>0</v>
      </c>
      <c r="H136" s="955">
        <f>'Cost + BS Assumptions'!H159</f>
        <v>0</v>
      </c>
      <c r="I136" s="955">
        <f>'Cost + BS Assumptions'!I159</f>
        <v>14</v>
      </c>
      <c r="J136" s="955">
        <f>'Cost + BS Assumptions'!J159</f>
        <v>14</v>
      </c>
      <c r="K136" s="955">
        <f>'Cost + BS Assumptions'!K159</f>
        <v>14</v>
      </c>
      <c r="L136" s="955">
        <f>'Cost + BS Assumptions'!L159</f>
        <v>14</v>
      </c>
      <c r="M136" s="955">
        <f>'Cost + BS Assumptions'!M159</f>
        <v>14</v>
      </c>
      <c r="N136" s="955">
        <f>'Cost + BS Assumptions'!N159</f>
        <v>14</v>
      </c>
      <c r="O136" s="956">
        <f>'Cost + BS Assumptions'!O159</f>
        <v>14</v>
      </c>
      <c r="P136" s="956">
        <f>'Cost + BS Assumptions'!P159</f>
        <v>14</v>
      </c>
      <c r="Q136" s="956">
        <f>'Cost + BS Assumptions'!Q159</f>
        <v>14</v>
      </c>
      <c r="R136" s="956">
        <f>'Cost + BS Assumptions'!R159</f>
        <v>15</v>
      </c>
      <c r="S136" s="956">
        <f>'Cost + BS Assumptions'!S159</f>
        <v>15.5</v>
      </c>
      <c r="T136" s="956">
        <f>'Cost + BS Assumptions'!T159</f>
        <v>15.5</v>
      </c>
      <c r="U136" s="956">
        <f>'Cost + BS Assumptions'!U159</f>
        <v>15.5</v>
      </c>
      <c r="V136" s="956">
        <f>'Cost + BS Assumptions'!V159</f>
        <v>11</v>
      </c>
      <c r="W136" s="956">
        <f>'Cost + BS Assumptions'!W159</f>
        <v>8</v>
      </c>
      <c r="X136" s="956">
        <f>'Cost + BS Assumptions'!X159</f>
        <v>8</v>
      </c>
      <c r="Y136" s="956">
        <f>'Cost + BS Assumptions'!Y159</f>
        <v>8</v>
      </c>
      <c r="Z136" s="956">
        <f>'Cost + BS Assumptions'!Z159</f>
        <v>8.5</v>
      </c>
      <c r="AA136" s="956">
        <f>'Cost + BS Assumptions'!AA159</f>
        <v>8.5</v>
      </c>
      <c r="AB136" s="956">
        <f>'Cost + BS Assumptions'!AB159</f>
        <v>9</v>
      </c>
      <c r="AC136" s="956">
        <f>'Cost + BS Assumptions'!AC159</f>
        <v>9.5</v>
      </c>
      <c r="AD136" s="956">
        <f>'Cost + BS Assumptions'!AD159</f>
        <v>10.5</v>
      </c>
      <c r="AE136" s="956">
        <f>'Cost + BS Assumptions'!AE159</f>
        <v>11</v>
      </c>
      <c r="AF136" s="956">
        <f>'Cost + BS Assumptions'!AF159</f>
        <v>11.5</v>
      </c>
      <c r="AG136" s="956">
        <f>'Cost + BS Assumptions'!AG159</f>
        <v>12</v>
      </c>
      <c r="AH136" s="956">
        <f>'Cost + BS Assumptions'!AH159</f>
        <v>12.5</v>
      </c>
      <c r="AI136" s="956">
        <f>'Cost + BS Assumptions'!AI159</f>
        <v>13</v>
      </c>
      <c r="AJ136" s="956">
        <f>'Cost + BS Assumptions'!AJ159</f>
        <v>13.5</v>
      </c>
      <c r="AK136" s="956">
        <f>'Cost + BS Assumptions'!AK159</f>
        <v>14</v>
      </c>
      <c r="AL136" s="956">
        <f>'Cost + BS Assumptions'!AL159</f>
        <v>14.5</v>
      </c>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row>
    <row r="137" spans="1:71" hidden="1" outlineLevel="1">
      <c r="A137" s="2"/>
      <c r="B137" s="510" t="s">
        <v>69</v>
      </c>
      <c r="C137" s="508" t="s">
        <v>733</v>
      </c>
      <c r="D137" s="533">
        <v>100</v>
      </c>
      <c r="E137" s="533">
        <v>100</v>
      </c>
      <c r="F137" s="533">
        <v>100</v>
      </c>
      <c r="G137" s="533">
        <v>100</v>
      </c>
      <c r="H137" s="533">
        <v>100</v>
      </c>
      <c r="I137" s="533">
        <v>100</v>
      </c>
      <c r="J137" s="533">
        <v>100</v>
      </c>
      <c r="K137" s="533">
        <v>100</v>
      </c>
      <c r="L137" s="533">
        <v>100</v>
      </c>
      <c r="M137" s="533">
        <v>100</v>
      </c>
      <c r="N137" s="533">
        <v>100</v>
      </c>
      <c r="O137" s="548">
        <v>100</v>
      </c>
      <c r="P137" s="548">
        <v>100</v>
      </c>
      <c r="Q137" s="548">
        <v>100</v>
      </c>
      <c r="R137" s="548">
        <v>100</v>
      </c>
      <c r="S137" s="548">
        <v>100</v>
      </c>
      <c r="T137" s="548">
        <v>100</v>
      </c>
      <c r="U137" s="548">
        <v>100</v>
      </c>
      <c r="V137" s="548">
        <v>100</v>
      </c>
      <c r="W137" s="548">
        <v>100</v>
      </c>
      <c r="X137" s="548">
        <v>100</v>
      </c>
      <c r="Y137" s="548">
        <v>100</v>
      </c>
      <c r="Z137" s="548">
        <v>100</v>
      </c>
      <c r="AA137" s="548">
        <v>100</v>
      </c>
      <c r="AB137" s="548">
        <v>100</v>
      </c>
      <c r="AC137" s="548">
        <v>100</v>
      </c>
      <c r="AD137" s="548">
        <v>100</v>
      </c>
      <c r="AE137" s="548">
        <v>100</v>
      </c>
      <c r="AF137" s="548">
        <v>100</v>
      </c>
      <c r="AG137" s="548">
        <v>100</v>
      </c>
      <c r="AH137" s="548">
        <v>100</v>
      </c>
      <c r="AI137" s="548">
        <v>100</v>
      </c>
      <c r="AJ137" s="548">
        <v>100</v>
      </c>
      <c r="AK137" s="548">
        <v>100</v>
      </c>
      <c r="AL137" s="548">
        <v>100</v>
      </c>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row>
    <row r="138" spans="1:71" hidden="1" outlineLevel="1">
      <c r="A138" s="2"/>
      <c r="B138" s="510" t="s">
        <v>1383</v>
      </c>
      <c r="C138" s="508" t="s">
        <v>733</v>
      </c>
      <c r="D138" s="164">
        <f t="shared" ref="D138:AH138" si="256">D134/D103</f>
        <v>0.62987761762306216</v>
      </c>
      <c r="E138" s="164">
        <f t="shared" si="256"/>
        <v>0.602447018235584</v>
      </c>
      <c r="F138" s="164">
        <f t="shared" si="256"/>
        <v>0.77321496858781746</v>
      </c>
      <c r="G138" s="164">
        <f t="shared" si="256"/>
        <v>0.90057742782152228</v>
      </c>
      <c r="H138" s="164">
        <f t="shared" si="256"/>
        <v>0.80329771733851385</v>
      </c>
      <c r="I138" s="164">
        <f t="shared" si="256"/>
        <v>0.81309816662798817</v>
      </c>
      <c r="J138" s="164">
        <f t="shared" si="256"/>
        <v>1.0908828149544456</v>
      </c>
      <c r="K138" s="164">
        <f t="shared" si="256"/>
        <v>1.0679249923147871</v>
      </c>
      <c r="L138" s="164">
        <f t="shared" si="256"/>
        <v>0.94033586132177682</v>
      </c>
      <c r="M138" s="164">
        <f t="shared" si="256"/>
        <v>0.8521679351829119</v>
      </c>
      <c r="N138" s="164">
        <f t="shared" si="256"/>
        <v>0.89393767705382432</v>
      </c>
      <c r="O138" s="164">
        <f t="shared" si="256"/>
        <v>1.0743299288146084</v>
      </c>
      <c r="P138" s="164">
        <f t="shared" si="256"/>
        <v>0.9948057740698949</v>
      </c>
      <c r="Q138" s="164">
        <f t="shared" si="256"/>
        <v>0.88906002428312714</v>
      </c>
      <c r="R138" s="164">
        <f t="shared" si="256"/>
        <v>0.72842757936507929</v>
      </c>
      <c r="S138" s="164">
        <f t="shared" si="256"/>
        <v>0.9298411122144985</v>
      </c>
      <c r="T138" s="164">
        <f t="shared" si="256"/>
        <v>0.98698490155171192</v>
      </c>
      <c r="U138" s="164">
        <f t="shared" si="256"/>
        <v>1.0827647357431702</v>
      </c>
      <c r="V138" s="164">
        <f t="shared" si="256"/>
        <v>0.66560081466395116</v>
      </c>
      <c r="W138" s="164">
        <f t="shared" si="256"/>
        <v>0.90236966824644549</v>
      </c>
      <c r="X138" s="164">
        <f t="shared" si="256"/>
        <v>1.046289169873557</v>
      </c>
      <c r="Y138" s="164">
        <f t="shared" si="256"/>
        <v>1.0246203554119546</v>
      </c>
      <c r="Z138" s="164">
        <f t="shared" si="256"/>
        <v>1.1499170616113745</v>
      </c>
      <c r="AA138" s="164">
        <f t="shared" si="256"/>
        <v>1.0187655601659749</v>
      </c>
      <c r="AB138" s="164">
        <f t="shared" si="256"/>
        <v>1.2900372208436723</v>
      </c>
      <c r="AC138" s="164">
        <f t="shared" si="256"/>
        <v>1.0727878490935816</v>
      </c>
      <c r="AD138" s="164">
        <f t="shared" si="256"/>
        <v>0.97739290564557679</v>
      </c>
      <c r="AE138" s="164">
        <f t="shared" si="256"/>
        <v>0.98251050374214222</v>
      </c>
      <c r="AF138" s="164">
        <f t="shared" si="256"/>
        <v>0.9859953615667717</v>
      </c>
      <c r="AG138" s="164">
        <f t="shared" si="256"/>
        <v>0.98750060568407894</v>
      </c>
      <c r="AH138" s="164">
        <f t="shared" si="256"/>
        <v>0.98698370354136389</v>
      </c>
      <c r="AI138" s="164">
        <f>AI134/AI103</f>
        <v>0.98446169778844217</v>
      </c>
      <c r="AJ138" s="164">
        <f t="shared" ref="AJ138:AK138" si="257">AJ134/AJ103</f>
        <v>0.98000197492750274</v>
      </c>
      <c r="AK138" s="164">
        <f t="shared" si="257"/>
        <v>0.97371531504182107</v>
      </c>
      <c r="AL138" s="164">
        <f t="shared" ref="AL138" si="258">AL134/AL103</f>
        <v>0.96313335969753966</v>
      </c>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S138" t="s">
        <v>1471</v>
      </c>
    </row>
    <row r="139" spans="1:71" hidden="1" outlineLevel="1">
      <c r="A139" s="2"/>
      <c r="B139" s="510" t="s">
        <v>69</v>
      </c>
      <c r="C139" s="508" t="s">
        <v>733</v>
      </c>
      <c r="D139" s="957">
        <f>'Cost + BS Assumptions'!D161</f>
        <v>100</v>
      </c>
      <c r="E139" s="957">
        <f>'Cost + BS Assumptions'!E161</f>
        <v>100</v>
      </c>
      <c r="F139" s="957">
        <f>'Cost + BS Assumptions'!F161</f>
        <v>100</v>
      </c>
      <c r="G139" s="957">
        <f>'Cost + BS Assumptions'!G161</f>
        <v>100</v>
      </c>
      <c r="H139" s="957">
        <f>'Cost + BS Assumptions'!H161</f>
        <v>100</v>
      </c>
      <c r="I139" s="957">
        <f>'Cost + BS Assumptions'!I161</f>
        <v>100</v>
      </c>
      <c r="J139" s="957">
        <f>'Cost + BS Assumptions'!J161</f>
        <v>100</v>
      </c>
      <c r="K139" s="957">
        <f>'Cost + BS Assumptions'!K161</f>
        <v>100</v>
      </c>
      <c r="L139" s="957">
        <f>'Cost + BS Assumptions'!L161</f>
        <v>100</v>
      </c>
      <c r="M139" s="957">
        <f>'Cost + BS Assumptions'!M161</f>
        <v>100</v>
      </c>
      <c r="N139" s="957">
        <f>'Cost + BS Assumptions'!N161</f>
        <v>100</v>
      </c>
      <c r="O139" s="465">
        <f>'Cost + BS Assumptions'!O161</f>
        <v>100</v>
      </c>
      <c r="P139" s="465">
        <f>'Cost + BS Assumptions'!P161</f>
        <v>100</v>
      </c>
      <c r="Q139" s="465">
        <f>'Cost + BS Assumptions'!Q161</f>
        <v>100</v>
      </c>
      <c r="R139" s="465">
        <f>'Cost + BS Assumptions'!R161</f>
        <v>100</v>
      </c>
      <c r="S139" s="465">
        <f>'Cost + BS Assumptions'!S161</f>
        <v>100</v>
      </c>
      <c r="T139" s="465">
        <f>'Cost + BS Assumptions'!T161</f>
        <v>100</v>
      </c>
      <c r="U139" s="465">
        <f>'Cost + BS Assumptions'!U161</f>
        <v>100</v>
      </c>
      <c r="V139" s="465">
        <f>'Cost + BS Assumptions'!V161</f>
        <v>100</v>
      </c>
      <c r="W139" s="465">
        <f>'Cost + BS Assumptions'!W161</f>
        <v>100</v>
      </c>
      <c r="X139" s="465">
        <f>'Cost + BS Assumptions'!X161</f>
        <v>100</v>
      </c>
      <c r="Y139" s="465">
        <f>'Cost + BS Assumptions'!Y161</f>
        <v>100</v>
      </c>
      <c r="Z139" s="465">
        <f>'Cost + BS Assumptions'!Z161</f>
        <v>100</v>
      </c>
      <c r="AA139" s="465">
        <f>'Cost + BS Assumptions'!AA161</f>
        <v>100</v>
      </c>
      <c r="AB139" s="465">
        <f>'Cost + BS Assumptions'!AB161</f>
        <v>100</v>
      </c>
      <c r="AC139" s="465">
        <f>'Cost + BS Assumptions'!AC161</f>
        <v>100</v>
      </c>
      <c r="AD139" s="465">
        <f>'Cost + BS Assumptions'!AD161</f>
        <v>100</v>
      </c>
      <c r="AE139" s="465">
        <f>'Cost + BS Assumptions'!AE161</f>
        <v>100</v>
      </c>
      <c r="AF139" s="465">
        <f>'Cost + BS Assumptions'!AF161</f>
        <v>100</v>
      </c>
      <c r="AG139" s="465">
        <f>'Cost + BS Assumptions'!AG161</f>
        <v>100</v>
      </c>
      <c r="AH139" s="465">
        <f>'Cost + BS Assumptions'!AH161</f>
        <v>100</v>
      </c>
      <c r="AI139" s="465">
        <f>'Cost + BS Assumptions'!AI161</f>
        <v>100</v>
      </c>
      <c r="AJ139" s="465">
        <f>'Cost + BS Assumptions'!AJ161</f>
        <v>100</v>
      </c>
      <c r="AK139" s="465">
        <f>'Cost + BS Assumptions'!AK161</f>
        <v>100</v>
      </c>
      <c r="AL139" s="465">
        <f>'Cost + BS Assumptions'!AL161</f>
        <v>100</v>
      </c>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S139" t="s">
        <v>1472</v>
      </c>
    </row>
    <row r="140" spans="1:71" hidden="1" outlineLevel="1">
      <c r="A140" s="2"/>
      <c r="B140" s="510" t="s">
        <v>1384</v>
      </c>
      <c r="C140" s="508" t="s">
        <v>733</v>
      </c>
      <c r="D140" s="958">
        <f>(D134/100)/MENU!$H$33</f>
        <v>3.711340206185567E-2</v>
      </c>
      <c r="E140" s="958">
        <f>(E134/100)/MENU!$H$33</f>
        <v>3.9175257731958769E-2</v>
      </c>
      <c r="F140" s="958">
        <f>(F134/100)/MENU!$H$33</f>
        <v>4.5360824742268047E-2</v>
      </c>
      <c r="G140" s="958">
        <f>(G134/100)/MENU!$H$33</f>
        <v>4.9484536082474231E-2</v>
      </c>
      <c r="H140" s="958">
        <f>(H134/100)/MENU!$H$33</f>
        <v>5.3608247422680416E-2</v>
      </c>
      <c r="I140" s="958">
        <f>(I134/100)/MENU!$H$33</f>
        <v>5.7731958762886608E-2</v>
      </c>
      <c r="J140" s="958">
        <f>(J134/100)/MENU!$H$33</f>
        <v>5.7731958762886608E-2</v>
      </c>
      <c r="K140" s="958">
        <f>(K134/100)/MENU!$H$33</f>
        <v>5.7731958762886608E-2</v>
      </c>
      <c r="L140" s="958">
        <f>(L134/100)/MENU!$H$33</f>
        <v>5.7731958762886608E-2</v>
      </c>
      <c r="M140" s="958">
        <f>(M134/100)/MENU!$H$33</f>
        <v>5.7731958762886608E-2</v>
      </c>
      <c r="N140" s="958">
        <f>(N134/100)/MENU!$H$33</f>
        <v>5.7731958762886608E-2</v>
      </c>
      <c r="O140" s="959">
        <f>(O134/100)/MENU!$H$33</f>
        <v>5.7731958762886608E-2</v>
      </c>
      <c r="P140" s="959">
        <f>(P134/100)/MENU!$H$33</f>
        <v>5.7731958762886608E-2</v>
      </c>
      <c r="Q140" s="959">
        <f>(Q134/100)/MENU!$H$33</f>
        <v>5.7731958762886608E-2</v>
      </c>
      <c r="R140" s="959">
        <f>(R134/100)/MENU!$H$33</f>
        <v>6.0824742268041236E-2</v>
      </c>
      <c r="S140" s="959">
        <f>(S134/100)/MENU!$H$33</f>
        <v>6.2886597938144329E-2</v>
      </c>
      <c r="T140" s="959">
        <f>(T134/100)/MENU!$H$33</f>
        <v>6.3917525773195885E-2</v>
      </c>
      <c r="U140" s="959">
        <f>(U134/100)/MENU!$H$33</f>
        <v>6.3917525773195885E-2</v>
      </c>
      <c r="V140" s="959">
        <f>(V134/100)/MENU!$H$33</f>
        <v>4.5360824742268047E-2</v>
      </c>
      <c r="W140" s="959">
        <f>(W134/100)/MENU!$H$33</f>
        <v>3.2989690721649485E-2</v>
      </c>
      <c r="X140" s="959">
        <f>(X134/100)/MENU!$H$33</f>
        <v>3.2989690721649485E-2</v>
      </c>
      <c r="Y140" s="959">
        <f>(Y134/100)/MENU!$H$33</f>
        <v>3.2989690721649485E-2</v>
      </c>
      <c r="Z140" s="959">
        <f>(Z134/100)/MENU!$H$33</f>
        <v>3.4020618556701035E-2</v>
      </c>
      <c r="AA140" s="959">
        <f>(AA134/100)/MENU!$H$33</f>
        <v>3.5051546391752585E-2</v>
      </c>
      <c r="AB140" s="959">
        <f>(AB134/100)/MENU!$H$33</f>
        <v>3.711340206185567E-2</v>
      </c>
      <c r="AC140" s="959">
        <f>(AC134/100)/MENU!$H$33</f>
        <v>3.9175257731958769E-2</v>
      </c>
      <c r="AD140" s="959">
        <f>(AD134/100)/MENU!$H$33</f>
        <v>4.3298969072164947E-2</v>
      </c>
      <c r="AE140" s="959">
        <f>(AE134/100)/MENU!$H$33</f>
        <v>4.5360824742268047E-2</v>
      </c>
      <c r="AF140" s="959">
        <f>(AF134/100)/MENU!$H$33</f>
        <v>4.7422680412371139E-2</v>
      </c>
      <c r="AG140" s="959">
        <f>(AG134/100)/MENU!$H$33</f>
        <v>4.9484536082474231E-2</v>
      </c>
      <c r="AH140" s="959">
        <f>(AH134/100)/MENU!$H$33</f>
        <v>5.1546391752577324E-2</v>
      </c>
      <c r="AI140" s="959">
        <f>(AI134/100)/MENU!$H$33</f>
        <v>5.3608247422680416E-2</v>
      </c>
      <c r="AJ140" s="959">
        <f>(AJ134/100)/MENU!$H$33</f>
        <v>5.5670103092783516E-2</v>
      </c>
      <c r="AK140" s="959">
        <f>(AK134/100)/MENU!$H$33</f>
        <v>5.7731958762886608E-2</v>
      </c>
      <c r="AL140" s="959">
        <f>(AL134/100)/MENU!$H$33</f>
        <v>5.9793814432989693E-2</v>
      </c>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row>
    <row r="141" spans="1:71" hidden="1" outlineLevel="1" collapsed="1">
      <c r="A141" s="2"/>
      <c r="B141" s="2"/>
      <c r="C141" s="18"/>
      <c r="D141" s="42"/>
      <c r="E141" s="42"/>
      <c r="F141" s="42"/>
      <c r="G141" s="42"/>
      <c r="H141" s="42"/>
      <c r="I141" s="42"/>
      <c r="J141" s="42"/>
      <c r="K141" s="42"/>
      <c r="L141" s="7"/>
      <c r="M141" s="42"/>
      <c r="N141" s="42"/>
      <c r="O141" s="42"/>
      <c r="P141" s="42"/>
      <c r="Q141" s="42"/>
      <c r="R141" s="42"/>
      <c r="S141" s="42"/>
      <c r="T141" s="42"/>
      <c r="U141" s="42"/>
      <c r="V141" s="42"/>
      <c r="W141" s="42"/>
      <c r="X141" s="42"/>
      <c r="Y141" s="42"/>
      <c r="Z141" s="42"/>
      <c r="AA141" s="42"/>
      <c r="AB141" s="42">
        <f>AB134*1.2</f>
        <v>21.599999999999998</v>
      </c>
      <c r="AC141" s="42"/>
      <c r="AD141" s="42"/>
      <c r="AE141" s="42"/>
      <c r="AF141" s="42"/>
      <c r="AG141" s="42"/>
      <c r="AH141" s="42"/>
      <c r="AI141" s="42"/>
      <c r="AJ141" s="42"/>
      <c r="AK141" s="42"/>
      <c r="AL141" s="4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row>
    <row r="142" spans="1:71" hidden="1" outlineLevel="1">
      <c r="A142" s="2"/>
      <c r="B142" s="8" t="s">
        <v>799</v>
      </c>
      <c r="C142" s="14" t="s">
        <v>521</v>
      </c>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row>
    <row r="143" spans="1:71" hidden="1" outlineLevel="1">
      <c r="A143" s="2"/>
      <c r="B143" s="55" t="s">
        <v>274</v>
      </c>
      <c r="C143" s="14" t="s">
        <v>521</v>
      </c>
      <c r="D143" s="960">
        <f t="shared" ref="D143:AK143" si="259">IF(ISNUMBER(IF(-D189/D85&gt;0,-D189/D85,"n/a")),IF(-D189/D85&gt;0,-D189/D85,"n/a"),0)</f>
        <v>15.075704225352112</v>
      </c>
      <c r="E143" s="960">
        <f t="shared" si="259"/>
        <v>14.765765765765765</v>
      </c>
      <c r="F143" s="960">
        <f t="shared" si="259"/>
        <v>12.315584415584416</v>
      </c>
      <c r="G143" s="960">
        <f t="shared" si="259"/>
        <v>11.534591194968554</v>
      </c>
      <c r="H143" s="960">
        <f t="shared" si="259"/>
        <v>14.290730337078651</v>
      </c>
      <c r="I143" s="960">
        <f t="shared" si="259"/>
        <v>11.890909090909089</v>
      </c>
      <c r="J143" s="960">
        <f t="shared" si="259"/>
        <v>10.262593783494106</v>
      </c>
      <c r="K143" s="960">
        <f t="shared" si="259"/>
        <v>9.0717571297148094</v>
      </c>
      <c r="L143" s="960">
        <f t="shared" si="259"/>
        <v>9.5911602209944746</v>
      </c>
      <c r="M143" s="960">
        <f t="shared" si="259"/>
        <v>12.164444444444445</v>
      </c>
      <c r="N143" s="960">
        <f t="shared" si="259"/>
        <v>11.263759086188992</v>
      </c>
      <c r="O143" s="277">
        <f t="shared" si="259"/>
        <v>8.9436123348017613</v>
      </c>
      <c r="P143" s="277">
        <f t="shared" si="259"/>
        <v>11.622541990878378</v>
      </c>
      <c r="Q143" s="277">
        <f t="shared" si="259"/>
        <v>11.809796991346325</v>
      </c>
      <c r="R143" s="277">
        <f t="shared" si="259"/>
        <v>11.635318704284222</v>
      </c>
      <c r="S143" s="277">
        <f t="shared" si="259"/>
        <v>15.287373004354137</v>
      </c>
      <c r="T143" s="277">
        <f t="shared" si="259"/>
        <v>14.730841690140846</v>
      </c>
      <c r="U143" s="277">
        <f t="shared" si="259"/>
        <v>17.317490693739426</v>
      </c>
      <c r="V143" s="277">
        <f t="shared" si="259"/>
        <v>17.972789115646258</v>
      </c>
      <c r="W143" s="277">
        <f t="shared" si="259"/>
        <v>12.152737752161384</v>
      </c>
      <c r="X143" s="277">
        <f t="shared" si="259"/>
        <v>10.909208819714657</v>
      </c>
      <c r="Y143" s="277">
        <f t="shared" si="259"/>
        <v>15.704474726348327</v>
      </c>
      <c r="Z143" s="277">
        <f t="shared" si="259"/>
        <v>19.666504277820533</v>
      </c>
      <c r="AA143" s="277">
        <f t="shared" si="259"/>
        <v>15.847299201731353</v>
      </c>
      <c r="AB143" s="277">
        <f t="shared" si="259"/>
        <v>14.685732359770711</v>
      </c>
      <c r="AC143" s="277">
        <f t="shared" si="259"/>
        <v>13.560826982688576</v>
      </c>
      <c r="AD143" s="277">
        <f t="shared" si="259"/>
        <v>13.987291749432515</v>
      </c>
      <c r="AE143" s="277">
        <f t="shared" si="259"/>
        <v>13.680337324776843</v>
      </c>
      <c r="AF143" s="277">
        <f t="shared" si="259"/>
        <v>13.388115549514829</v>
      </c>
      <c r="AG143" s="277">
        <f t="shared" si="259"/>
        <v>13.1473177182394</v>
      </c>
      <c r="AH143" s="277">
        <f t="shared" si="259"/>
        <v>12.952745486841669</v>
      </c>
      <c r="AI143" s="277">
        <f t="shared" si="259"/>
        <v>12.800286544376744</v>
      </c>
      <c r="AJ143" s="277">
        <f t="shared" si="259"/>
        <v>12.69940998167475</v>
      </c>
      <c r="AK143" s="277">
        <f t="shared" si="259"/>
        <v>12.630478159040907</v>
      </c>
      <c r="AL143" s="277">
        <f t="shared" ref="AL143" si="260">IF(ISNUMBER(IF(-AL189/AL85&gt;0,-AL189/AL85,"n/a")),IF(-AL189/AL85&gt;0,-AL189/AL85,"n/a"),0)</f>
        <v>11.062149907896144</v>
      </c>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row>
    <row r="144" spans="1:71" hidden="1" outlineLevel="1">
      <c r="A144" s="2"/>
      <c r="B144" s="55" t="s">
        <v>275</v>
      </c>
      <c r="C144" s="14" t="s">
        <v>521</v>
      </c>
      <c r="D144" s="960">
        <f t="shared" ref="D144:AK144" si="261">IF(ISNUMBER(IF(-D80/D85&gt;0,-D80/D85,"n/a")),IF(-D80/D85&gt;0,-D80/D85,"n/a"),0)</f>
        <v>10.41725352112676</v>
      </c>
      <c r="E144" s="960">
        <f t="shared" si="261"/>
        <v>10.454954954954955</v>
      </c>
      <c r="F144" s="960">
        <f t="shared" si="261"/>
        <v>8.0727272727272723</v>
      </c>
      <c r="G144" s="960">
        <f t="shared" si="261"/>
        <v>7.1987421383647803</v>
      </c>
      <c r="H144" s="960">
        <f t="shared" si="261"/>
        <v>9.213483146067416</v>
      </c>
      <c r="I144" s="960">
        <f t="shared" si="261"/>
        <v>7.8806818181818157</v>
      </c>
      <c r="J144" s="960">
        <f t="shared" si="261"/>
        <v>5.891747052518757</v>
      </c>
      <c r="K144" s="960">
        <f t="shared" si="261"/>
        <v>5.3164673413063461</v>
      </c>
      <c r="L144" s="960">
        <f t="shared" si="261"/>
        <v>5.7329650092081028</v>
      </c>
      <c r="M144" s="960">
        <f t="shared" si="261"/>
        <v>7.2866666666666671</v>
      </c>
      <c r="N144" s="960">
        <f t="shared" si="261"/>
        <v>6.7507788161993769</v>
      </c>
      <c r="O144" s="277">
        <f t="shared" si="261"/>
        <v>5.014977973568282</v>
      </c>
      <c r="P144" s="277">
        <f t="shared" si="261"/>
        <v>6.6540735224099095</v>
      </c>
      <c r="Q144" s="277">
        <f t="shared" si="261"/>
        <v>7.1475307647236619</v>
      </c>
      <c r="R144" s="277">
        <f t="shared" si="261"/>
        <v>7.51828631138976</v>
      </c>
      <c r="S144" s="277">
        <f t="shared" si="261"/>
        <v>9.5195936139332371</v>
      </c>
      <c r="T144" s="277">
        <f t="shared" si="261"/>
        <v>8.8787290140845077</v>
      </c>
      <c r="U144" s="277">
        <f t="shared" si="261"/>
        <v>9.8031082910321494</v>
      </c>
      <c r="V144" s="277">
        <f t="shared" si="261"/>
        <v>10.370748299319727</v>
      </c>
      <c r="W144" s="277">
        <f t="shared" si="261"/>
        <v>5.3342939481268008</v>
      </c>
      <c r="X144" s="277">
        <f t="shared" si="261"/>
        <v>4.626459143968872</v>
      </c>
      <c r="Y144" s="277">
        <f t="shared" si="261"/>
        <v>5.4301270417422867</v>
      </c>
      <c r="Z144" s="277">
        <f t="shared" si="261"/>
        <v>6.9496402877697845</v>
      </c>
      <c r="AA144" s="277">
        <f t="shared" si="261"/>
        <v>6.4120982986767485</v>
      </c>
      <c r="AB144" s="277">
        <f t="shared" si="261"/>
        <v>5.220890410958904</v>
      </c>
      <c r="AC144" s="277">
        <f t="shared" si="261"/>
        <v>6.1298904538341157</v>
      </c>
      <c r="AD144" s="277">
        <f t="shared" si="261"/>
        <v>6.7319545329852373</v>
      </c>
      <c r="AE144" s="277">
        <f t="shared" si="261"/>
        <v>6.687707372444998</v>
      </c>
      <c r="AF144" s="277">
        <f t="shared" si="261"/>
        <v>6.6539039606821442</v>
      </c>
      <c r="AG144" s="277">
        <f t="shared" si="261"/>
        <v>6.6320423645708129</v>
      </c>
      <c r="AH144" s="277">
        <f t="shared" si="261"/>
        <v>6.6221121202533899</v>
      </c>
      <c r="AI144" s="277">
        <f t="shared" si="261"/>
        <v>6.6239363854514437</v>
      </c>
      <c r="AJ144" s="277">
        <f t="shared" si="261"/>
        <v>6.6372135925454128</v>
      </c>
      <c r="AK144" s="277">
        <f t="shared" si="261"/>
        <v>6.6615358041610682</v>
      </c>
      <c r="AL144" s="277">
        <f t="shared" ref="AL144" si="262">IF(ISNUMBER(IF(-AL80/AL85&gt;0,-AL80/AL85,"n/a")),IF(-AL80/AL85&gt;0,-AL80/AL85,"n/a"),0)</f>
        <v>6.7110862676885361</v>
      </c>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row>
    <row r="145" spans="1:66" hidden="1" outlineLevel="1">
      <c r="A145" s="2"/>
      <c r="B145" s="2" t="s">
        <v>848</v>
      </c>
      <c r="C145" s="14" t="s">
        <v>733</v>
      </c>
      <c r="D145" s="56">
        <f t="shared" ref="D145:AK145" si="263">-D87/D86</f>
        <v>0.31332959431669472</v>
      </c>
      <c r="E145" s="56">
        <f t="shared" si="263"/>
        <v>0.35508972526599969</v>
      </c>
      <c r="F145" s="56">
        <f t="shared" si="263"/>
        <v>0.32978332721263315</v>
      </c>
      <c r="G145" s="56">
        <f t="shared" si="263"/>
        <v>0.31128246753246752</v>
      </c>
      <c r="H145" s="56">
        <f t="shared" si="263"/>
        <v>0.2959986320109439</v>
      </c>
      <c r="I145" s="56">
        <f t="shared" si="263"/>
        <v>0.28835672997522716</v>
      </c>
      <c r="J145" s="56">
        <f t="shared" si="263"/>
        <v>0.30258545135845749</v>
      </c>
      <c r="K145" s="56">
        <f t="shared" si="263"/>
        <v>0.30200341005967618</v>
      </c>
      <c r="L145" s="56">
        <f t="shared" si="263"/>
        <v>0.27801556420233464</v>
      </c>
      <c r="M145" s="56">
        <f t="shared" si="263"/>
        <v>0.27960410038882999</v>
      </c>
      <c r="N145" s="56">
        <f t="shared" si="263"/>
        <v>0.28855182376309135</v>
      </c>
      <c r="O145" s="56">
        <f t="shared" si="263"/>
        <v>0.28681149879306561</v>
      </c>
      <c r="P145" s="56">
        <f t="shared" si="263"/>
        <v>0.30074784908804569</v>
      </c>
      <c r="Q145" s="56">
        <f t="shared" si="263"/>
        <v>0.28936461741623204</v>
      </c>
      <c r="R145" s="56">
        <f t="shared" si="263"/>
        <v>0.26931708881051619</v>
      </c>
      <c r="S145" s="56">
        <f t="shared" si="263"/>
        <v>0.30442930153321979</v>
      </c>
      <c r="T145" s="56">
        <f t="shared" si="263"/>
        <v>0.31605869939413977</v>
      </c>
      <c r="U145" s="56">
        <f t="shared" si="263"/>
        <v>0.34078871925909876</v>
      </c>
      <c r="V145" s="56">
        <f t="shared" si="263"/>
        <v>0.2871143375680581</v>
      </c>
      <c r="W145" s="56">
        <f t="shared" si="263"/>
        <v>0.30019946808510639</v>
      </c>
      <c r="X145" s="56">
        <f t="shared" si="263"/>
        <v>0.34227467811158796</v>
      </c>
      <c r="Y145" s="56">
        <f t="shared" si="263"/>
        <v>0.22081114297419091</v>
      </c>
      <c r="Z145" s="56">
        <f t="shared" si="263"/>
        <v>0.26884320838371623</v>
      </c>
      <c r="AA145" s="56">
        <f t="shared" si="263"/>
        <v>0.28361858190709044</v>
      </c>
      <c r="AB145" s="56">
        <f t="shared" si="263"/>
        <v>0.2746450304259635</v>
      </c>
      <c r="AC145" s="56">
        <f t="shared" si="263"/>
        <v>0.28492983526540572</v>
      </c>
      <c r="AD145" s="56">
        <f t="shared" si="263"/>
        <v>0.28492983526540572</v>
      </c>
      <c r="AE145" s="56">
        <f t="shared" si="263"/>
        <v>0.28492983526540572</v>
      </c>
      <c r="AF145" s="56">
        <f t="shared" si="263"/>
        <v>0.28492983526540572</v>
      </c>
      <c r="AG145" s="56">
        <f t="shared" si="263"/>
        <v>0.28492983526540572</v>
      </c>
      <c r="AH145" s="56">
        <f t="shared" si="263"/>
        <v>0.28492983526540572</v>
      </c>
      <c r="AI145" s="56">
        <f t="shared" si="263"/>
        <v>0.28492983526540572</v>
      </c>
      <c r="AJ145" s="56">
        <f t="shared" si="263"/>
        <v>0.28492983526540572</v>
      </c>
      <c r="AK145" s="56">
        <f t="shared" si="263"/>
        <v>0.28492983526540572</v>
      </c>
      <c r="AL145" s="56">
        <f t="shared" ref="AL145" si="264">-AL87/AL86</f>
        <v>0.28492983526540572</v>
      </c>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row>
    <row r="146" spans="1:66" hidden="1" outlineLevel="1">
      <c r="A146" s="2"/>
      <c r="B146" s="2" t="s">
        <v>847</v>
      </c>
      <c r="C146" s="14" t="s">
        <v>733</v>
      </c>
      <c r="D146" s="532">
        <v>0.3</v>
      </c>
      <c r="E146" s="532">
        <v>0.3</v>
      </c>
      <c r="F146" s="532">
        <v>0.3</v>
      </c>
      <c r="G146" s="532">
        <v>0.3</v>
      </c>
      <c r="H146" s="532">
        <v>0.3</v>
      </c>
      <c r="I146" s="532">
        <v>0.3</v>
      </c>
      <c r="J146" s="532">
        <v>0.3</v>
      </c>
      <c r="K146" s="532">
        <v>0.3</v>
      </c>
      <c r="L146" s="532">
        <v>0.3</v>
      </c>
      <c r="M146" s="532">
        <v>0.3</v>
      </c>
      <c r="N146" s="150">
        <f t="shared" ref="N146:AB146" si="265">M146</f>
        <v>0.3</v>
      </c>
      <c r="O146" s="959">
        <f t="shared" si="265"/>
        <v>0.3</v>
      </c>
      <c r="P146" s="959">
        <f t="shared" si="265"/>
        <v>0.3</v>
      </c>
      <c r="Q146" s="959">
        <f t="shared" si="265"/>
        <v>0.3</v>
      </c>
      <c r="R146" s="959">
        <f t="shared" si="265"/>
        <v>0.3</v>
      </c>
      <c r="S146" s="959">
        <f t="shared" si="265"/>
        <v>0.3</v>
      </c>
      <c r="T146" s="959">
        <f t="shared" si="265"/>
        <v>0.3</v>
      </c>
      <c r="U146" s="959">
        <f t="shared" si="265"/>
        <v>0.3</v>
      </c>
      <c r="V146" s="959">
        <f t="shared" si="265"/>
        <v>0.3</v>
      </c>
      <c r="W146" s="959">
        <f t="shared" si="265"/>
        <v>0.3</v>
      </c>
      <c r="X146" s="959">
        <f t="shared" si="265"/>
        <v>0.3</v>
      </c>
      <c r="Y146" s="959">
        <f t="shared" si="265"/>
        <v>0.3</v>
      </c>
      <c r="Z146" s="959">
        <f t="shared" si="265"/>
        <v>0.3</v>
      </c>
      <c r="AA146" s="959">
        <f t="shared" si="265"/>
        <v>0.3</v>
      </c>
      <c r="AB146" s="959">
        <f t="shared" si="265"/>
        <v>0.3</v>
      </c>
      <c r="AC146" s="959">
        <f t="shared" ref="AC146:AI146" si="266">AB146</f>
        <v>0.3</v>
      </c>
      <c r="AD146" s="959">
        <f t="shared" si="266"/>
        <v>0.3</v>
      </c>
      <c r="AE146" s="959">
        <f t="shared" si="266"/>
        <v>0.3</v>
      </c>
      <c r="AF146" s="959">
        <f t="shared" si="266"/>
        <v>0.3</v>
      </c>
      <c r="AG146" s="959">
        <f t="shared" si="266"/>
        <v>0.3</v>
      </c>
      <c r="AH146" s="959">
        <f t="shared" si="266"/>
        <v>0.3</v>
      </c>
      <c r="AI146" s="959">
        <f t="shared" si="266"/>
        <v>0.3</v>
      </c>
      <c r="AJ146" s="959">
        <f t="shared" ref="AJ146" si="267">AI146</f>
        <v>0.3</v>
      </c>
      <c r="AK146" s="959">
        <f t="shared" ref="AK146:AL146" si="268">AJ146</f>
        <v>0.3</v>
      </c>
      <c r="AL146" s="959">
        <f t="shared" si="268"/>
        <v>0.3</v>
      </c>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row>
    <row r="147" spans="1:66" hidden="1" outlineLevel="1">
      <c r="A147" s="2"/>
      <c r="B147" s="2" t="s">
        <v>164</v>
      </c>
      <c r="C147" s="14" t="s">
        <v>733</v>
      </c>
      <c r="D147" s="7">
        <f t="shared" ref="D147:U147" si="269">D189/D168</f>
        <v>0.46015368907517867</v>
      </c>
      <c r="E147" s="7">
        <f t="shared" si="269"/>
        <v>0.50544819078947367</v>
      </c>
      <c r="F147" s="7">
        <f t="shared" si="269"/>
        <v>0.46952517700648611</v>
      </c>
      <c r="G147" s="7">
        <f t="shared" si="269"/>
        <v>0.44995093228655547</v>
      </c>
      <c r="H147" s="7">
        <f t="shared" si="269"/>
        <v>0.49943552741373387</v>
      </c>
      <c r="I147" s="7">
        <f t="shared" si="269"/>
        <v>0.47218085826451867</v>
      </c>
      <c r="J147" s="7">
        <f t="shared" si="269"/>
        <v>0.42158330398027477</v>
      </c>
      <c r="K147" s="7">
        <f t="shared" si="269"/>
        <v>0.41655050057026988</v>
      </c>
      <c r="L147" s="7">
        <f t="shared" si="269"/>
        <v>0.42255922340084501</v>
      </c>
      <c r="M147" s="7">
        <f t="shared" si="269"/>
        <v>0.43149499565171473</v>
      </c>
      <c r="N147" s="7">
        <f t="shared" si="269"/>
        <v>0.4371700933365521</v>
      </c>
      <c r="O147" s="246">
        <f t="shared" si="269"/>
        <v>0.40631680182750413</v>
      </c>
      <c r="P147" s="246">
        <f t="shared" si="269"/>
        <v>0.409039791709707</v>
      </c>
      <c r="Q147" s="246">
        <f t="shared" si="269"/>
        <v>0.42115466991483952</v>
      </c>
      <c r="R147" s="246">
        <f t="shared" si="269"/>
        <v>0.44533388873370139</v>
      </c>
      <c r="S147" s="246">
        <f t="shared" si="269"/>
        <v>0.41544574684934493</v>
      </c>
      <c r="T147" s="246">
        <f t="shared" si="269"/>
        <v>0.40505275946143032</v>
      </c>
      <c r="U147" s="246">
        <f t="shared" si="269"/>
        <v>0.3952208172630759</v>
      </c>
      <c r="V147" s="246">
        <f>V189/V21</f>
        <v>0.36642280087375612</v>
      </c>
      <c r="W147" s="246">
        <f t="shared" ref="W147:AK147" si="270">W51/W21</f>
        <v>0.30330492322077174</v>
      </c>
      <c r="X147" s="246">
        <f t="shared" si="270"/>
        <v>0.3242857693642287</v>
      </c>
      <c r="Y147" s="246">
        <f t="shared" si="270"/>
        <v>0.32180529137126057</v>
      </c>
      <c r="Z147" s="246">
        <f t="shared" si="270"/>
        <v>0.32914493082331592</v>
      </c>
      <c r="AA147" s="246">
        <f t="shared" si="270"/>
        <v>0.33822313501188611</v>
      </c>
      <c r="AB147" s="246">
        <f t="shared" si="270"/>
        <v>0.32058598075121369</v>
      </c>
      <c r="AC147" s="246">
        <f t="shared" si="270"/>
        <v>0.36459127488352394</v>
      </c>
      <c r="AD147" s="246">
        <f t="shared" si="270"/>
        <v>0.36565093372950952</v>
      </c>
      <c r="AE147" s="246">
        <f t="shared" si="270"/>
        <v>0.36738056389999668</v>
      </c>
      <c r="AF147" s="246">
        <f t="shared" si="270"/>
        <v>0.36839264346057682</v>
      </c>
      <c r="AG147" s="246">
        <f t="shared" si="270"/>
        <v>0.36873593080843858</v>
      </c>
      <c r="AH147" s="246">
        <f t="shared" si="270"/>
        <v>0.36846953221618395</v>
      </c>
      <c r="AI147" s="246">
        <f t="shared" si="270"/>
        <v>0.36763301813501326</v>
      </c>
      <c r="AJ147" s="246">
        <f t="shared" si="270"/>
        <v>0.36624875292186337</v>
      </c>
      <c r="AK147" s="246">
        <f t="shared" si="270"/>
        <v>0.36432416796216166</v>
      </c>
      <c r="AL147" s="246">
        <f t="shared" ref="AL147" si="271">AL51/AL21</f>
        <v>0.36318023873369143</v>
      </c>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row>
    <row r="148" spans="1:66" hidden="1" outlineLevel="1">
      <c r="A148" s="2"/>
      <c r="B148" s="2" t="s">
        <v>1386</v>
      </c>
      <c r="C148" s="14" t="s">
        <v>733</v>
      </c>
      <c r="D148" s="7">
        <f t="shared" ref="D148:U148" si="272">D192/D168</f>
        <v>0.46015368907517867</v>
      </c>
      <c r="E148" s="7">
        <f t="shared" si="272"/>
        <v>0.50544819078947367</v>
      </c>
      <c r="F148" s="7">
        <f>F192/F168</f>
        <v>0</v>
      </c>
      <c r="G148" s="7">
        <f t="shared" si="272"/>
        <v>0.44995093228655547</v>
      </c>
      <c r="H148" s="7">
        <f t="shared" si="272"/>
        <v>0</v>
      </c>
      <c r="I148" s="7">
        <f t="shared" si="272"/>
        <v>0.47218085826451867</v>
      </c>
      <c r="J148" s="7">
        <f t="shared" si="272"/>
        <v>0</v>
      </c>
      <c r="K148" s="7">
        <f t="shared" si="272"/>
        <v>0.41655050057026988</v>
      </c>
      <c r="L148" s="7">
        <f t="shared" si="272"/>
        <v>0.42255922340084501</v>
      </c>
      <c r="M148" s="7">
        <f t="shared" si="272"/>
        <v>0.43149499565171473</v>
      </c>
      <c r="N148" s="7">
        <f t="shared" si="272"/>
        <v>0.4371700933365521</v>
      </c>
      <c r="O148" s="246">
        <f t="shared" si="272"/>
        <v>0.40631680182750413</v>
      </c>
      <c r="P148" s="246">
        <f t="shared" si="272"/>
        <v>0.404773044814008</v>
      </c>
      <c r="Q148" s="246">
        <f t="shared" si="272"/>
        <v>0.4098640071359394</v>
      </c>
      <c r="R148" s="246">
        <f t="shared" si="272"/>
        <v>0.43128936485129138</v>
      </c>
      <c r="S148" s="246">
        <f t="shared" si="272"/>
        <v>0.38910334212173386</v>
      </c>
      <c r="T148" s="246">
        <f t="shared" si="272"/>
        <v>0.39521583354074785</v>
      </c>
      <c r="U148" s="246">
        <f t="shared" si="272"/>
        <v>0.36177935492788765</v>
      </c>
      <c r="V148" s="246">
        <f>V192/V21</f>
        <v>0.30276342706563575</v>
      </c>
      <c r="W148" s="246">
        <f t="shared" ref="W148:AK148" si="273">W46/(W21-W19)</f>
        <v>0.31929469464014637</v>
      </c>
      <c r="X148" s="246">
        <f t="shared" si="273"/>
        <v>0.30957255672084572</v>
      </c>
      <c r="Y148" s="246">
        <f t="shared" si="273"/>
        <v>0.30291640249977358</v>
      </c>
      <c r="Z148" s="246">
        <f t="shared" si="273"/>
        <v>0.33465638990169383</v>
      </c>
      <c r="AA148" s="246">
        <f t="shared" si="273"/>
        <v>0.34307153700848131</v>
      </c>
      <c r="AB148" s="246">
        <f t="shared" si="273"/>
        <v>0.35103483519291373</v>
      </c>
      <c r="AC148" s="246">
        <f t="shared" si="273"/>
        <v>0.365141889030072</v>
      </c>
      <c r="AD148" s="246">
        <f t="shared" si="273"/>
        <v>0.36565093372950952</v>
      </c>
      <c r="AE148" s="246">
        <f t="shared" si="273"/>
        <v>0.36738056389999668</v>
      </c>
      <c r="AF148" s="246">
        <f t="shared" si="273"/>
        <v>0.36839264346057682</v>
      </c>
      <c r="AG148" s="246">
        <f t="shared" si="273"/>
        <v>0.36873593080843858</v>
      </c>
      <c r="AH148" s="246">
        <f t="shared" si="273"/>
        <v>0.36846953221618395</v>
      </c>
      <c r="AI148" s="246">
        <f t="shared" si="273"/>
        <v>0.36763301813501326</v>
      </c>
      <c r="AJ148" s="246">
        <f t="shared" si="273"/>
        <v>0.36624875292186337</v>
      </c>
      <c r="AK148" s="246">
        <f t="shared" si="273"/>
        <v>0.36432416796216166</v>
      </c>
      <c r="AL148" s="246">
        <f t="shared" ref="AL148" si="274">AL46/(AL21-AL19)</f>
        <v>0.36318023873369143</v>
      </c>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row>
    <row r="149" spans="1:66" hidden="1" outlineLevel="1">
      <c r="A149" s="2"/>
      <c r="B149" s="2" t="s">
        <v>1387</v>
      </c>
      <c r="C149" s="14" t="s">
        <v>733</v>
      </c>
      <c r="D149" s="7">
        <f t="shared" ref="D149:U149" si="275">IF(ISNUMBER(D80/D168),D80/D168,0)</f>
        <v>0.31796442581546563</v>
      </c>
      <c r="E149" s="7">
        <f t="shared" si="275"/>
        <v>0.35788445723684209</v>
      </c>
      <c r="F149" s="7">
        <f t="shared" si="275"/>
        <v>0.30776848046739613</v>
      </c>
      <c r="G149" s="7">
        <f t="shared" si="275"/>
        <v>0.28081452404317958</v>
      </c>
      <c r="H149" s="7">
        <f t="shared" si="275"/>
        <v>0.32199479703529182</v>
      </c>
      <c r="I149" s="7">
        <f t="shared" si="275"/>
        <v>0.31293714182572979</v>
      </c>
      <c r="J149" s="7">
        <f t="shared" si="275"/>
        <v>0.24203064459316662</v>
      </c>
      <c r="K149" s="7">
        <f t="shared" si="275"/>
        <v>0.24411777130063778</v>
      </c>
      <c r="L149" s="7">
        <f t="shared" si="275"/>
        <v>0.25257812258963719</v>
      </c>
      <c r="M149" s="7">
        <f t="shared" si="275"/>
        <v>0.2584713355392716</v>
      </c>
      <c r="N149" s="7">
        <f t="shared" si="275"/>
        <v>0.26201187211034621</v>
      </c>
      <c r="O149" s="246">
        <f t="shared" si="275"/>
        <v>0.22783521190051753</v>
      </c>
      <c r="P149" s="246">
        <f t="shared" si="275"/>
        <v>0.23418120147586804</v>
      </c>
      <c r="Q149" s="246">
        <f t="shared" si="275"/>
        <v>0.25489142295410344</v>
      </c>
      <c r="R149" s="246">
        <f t="shared" si="275"/>
        <v>0.28775728149429558</v>
      </c>
      <c r="S149" s="246">
        <f t="shared" si="275"/>
        <v>0.25870204629116617</v>
      </c>
      <c r="T149" s="246">
        <f t="shared" si="275"/>
        <v>0.24413769174318026</v>
      </c>
      <c r="U149" s="246">
        <f t="shared" si="275"/>
        <v>0.22372712877511877</v>
      </c>
      <c r="V149" s="246">
        <f t="shared" ref="V149:AK149" si="276">IF(ISNUMBER(V80/V21),V80/V21,0)</f>
        <v>0.2114351097396068</v>
      </c>
      <c r="W149" s="246">
        <f t="shared" si="276"/>
        <v>0.13313194519365629</v>
      </c>
      <c r="X149" s="246">
        <f t="shared" si="276"/>
        <v>0.13752554266106334</v>
      </c>
      <c r="Y149" s="246">
        <f t="shared" si="276"/>
        <v>0.12934463081445616</v>
      </c>
      <c r="Z149" s="246">
        <f t="shared" si="276"/>
        <v>0.13145838058516671</v>
      </c>
      <c r="AA149" s="246">
        <f t="shared" si="276"/>
        <v>0.14592379470367814</v>
      </c>
      <c r="AB149" s="246">
        <f t="shared" si="276"/>
        <v>0.12984413593390681</v>
      </c>
      <c r="AC149" s="246">
        <f t="shared" si="276"/>
        <v>0.16590427784836934</v>
      </c>
      <c r="AD149" s="246">
        <f t="shared" si="276"/>
        <v>0.17410313561527294</v>
      </c>
      <c r="AE149" s="246">
        <f t="shared" si="276"/>
        <v>0.17634890326693209</v>
      </c>
      <c r="AF149" s="246">
        <f t="shared" si="276"/>
        <v>0.17794434398132697</v>
      </c>
      <c r="AG149" s="246">
        <f t="shared" si="276"/>
        <v>0.17893435894725895</v>
      </c>
      <c r="AH149" s="246">
        <f t="shared" si="276"/>
        <v>0.17936834399723592</v>
      </c>
      <c r="AI149" s="246">
        <f t="shared" si="276"/>
        <v>0.17927797751063471</v>
      </c>
      <c r="AJ149" s="246">
        <f t="shared" si="276"/>
        <v>0.17867920457718264</v>
      </c>
      <c r="AK149" s="246">
        <f t="shared" si="276"/>
        <v>0.17757418804985348</v>
      </c>
      <c r="AL149" s="246">
        <f t="shared" ref="AL149" si="277">IF(ISNUMBER(AL80/AL21),AL80/AL21,0)</f>
        <v>0.17718848363217898</v>
      </c>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row>
    <row r="150" spans="1:66" hidden="1" outlineLevel="1">
      <c r="A150" s="2"/>
      <c r="B150" s="8" t="s">
        <v>1385</v>
      </c>
      <c r="C150" s="14" t="s">
        <v>733</v>
      </c>
      <c r="D150" s="7">
        <f t="shared" ref="D150:U150" si="278">D94/D168</f>
        <v>0.19759256273845988</v>
      </c>
      <c r="E150" s="7">
        <f t="shared" si="278"/>
        <v>0.20857319078947367</v>
      </c>
      <c r="F150" s="7">
        <f t="shared" si="278"/>
        <v>0.18126454423924346</v>
      </c>
      <c r="G150" s="7">
        <f t="shared" si="278"/>
        <v>0.1682531894013739</v>
      </c>
      <c r="H150" s="7">
        <f t="shared" si="278"/>
        <v>0.20213027045599569</v>
      </c>
      <c r="I150" s="7">
        <f t="shared" si="278"/>
        <v>0.19444068408465315</v>
      </c>
      <c r="J150" s="7">
        <f t="shared" si="278"/>
        <v>0.14014617823177175</v>
      </c>
      <c r="K150" s="7">
        <f t="shared" si="278"/>
        <v>0.13741393148312417</v>
      </c>
      <c r="L150" s="7">
        <f t="shared" si="278"/>
        <v>0.14977809646658216</v>
      </c>
      <c r="M150" s="7">
        <f t="shared" si="278"/>
        <v>0.16052969650067903</v>
      </c>
      <c r="N150" s="7">
        <f t="shared" si="278"/>
        <v>0.15649778486455534</v>
      </c>
      <c r="O150" s="246">
        <f t="shared" si="278"/>
        <v>0.12932810429560299</v>
      </c>
      <c r="P150" s="246">
        <f t="shared" si="278"/>
        <v>0.13838944884776541</v>
      </c>
      <c r="Q150" s="246">
        <f t="shared" si="278"/>
        <v>0.15375252473211723</v>
      </c>
      <c r="R150" s="246">
        <f t="shared" si="278"/>
        <v>0.20157007626563583</v>
      </c>
      <c r="S150" s="246">
        <f t="shared" si="278"/>
        <v>0.15887358476304581</v>
      </c>
      <c r="T150" s="246">
        <f t="shared" si="278"/>
        <v>0.14859558053718197</v>
      </c>
      <c r="U150" s="246">
        <f t="shared" si="278"/>
        <v>0.13243888748137173</v>
      </c>
      <c r="V150" s="246">
        <f t="shared" ref="V150:AK150" si="279">V94/V21</f>
        <v>0.13619500017336431</v>
      </c>
      <c r="W150" s="246">
        <f t="shared" si="279"/>
        <v>7.5880174056892152E-2</v>
      </c>
      <c r="X150" s="246">
        <f t="shared" si="279"/>
        <v>7.0131472413926046E-2</v>
      </c>
      <c r="Y150" s="246">
        <f t="shared" si="279"/>
        <v>8.0278402213384059E-2</v>
      </c>
      <c r="Z150" s="246">
        <f t="shared" si="279"/>
        <v>7.6570650941256521E-2</v>
      </c>
      <c r="AA150" s="246">
        <f t="shared" si="279"/>
        <v>8.2942534253741595E-2</v>
      </c>
      <c r="AB150" s="246">
        <f t="shared" si="279"/>
        <v>6.8648326377650962E-2</v>
      </c>
      <c r="AC150" s="246">
        <f t="shared" si="279"/>
        <v>8.6446421008047433E-2</v>
      </c>
      <c r="AD150" s="246">
        <f t="shared" si="279"/>
        <v>9.8658934296682016E-2</v>
      </c>
      <c r="AE150" s="246">
        <f t="shared" si="279"/>
        <v>0.10009674430411486</v>
      </c>
      <c r="AF150" s="246">
        <f t="shared" si="279"/>
        <v>0.10118249342797417</v>
      </c>
      <c r="AG150" s="246">
        <f t="shared" si="279"/>
        <v>0.1019490973730357</v>
      </c>
      <c r="AH150" s="246">
        <f t="shared" si="279"/>
        <v>0.10242528782571178</v>
      </c>
      <c r="AI150" s="246">
        <f t="shared" si="279"/>
        <v>0.10262810067558092</v>
      </c>
      <c r="AJ150" s="246">
        <f t="shared" si="279"/>
        <v>0.10256415869071939</v>
      </c>
      <c r="AK150" s="246">
        <f t="shared" si="279"/>
        <v>0.10223089321552734</v>
      </c>
      <c r="AL150" s="246">
        <f t="shared" ref="AL150" si="280">AL94/AL21</f>
        <v>0.10238448346017408</v>
      </c>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row>
    <row r="151" spans="1:66" hidden="1" outlineLevel="1">
      <c r="A151" s="2"/>
      <c r="B151" s="2"/>
      <c r="C151" s="18"/>
      <c r="D151" s="7"/>
      <c r="E151" s="7"/>
      <c r="F151" s="7"/>
      <c r="G151" s="7"/>
      <c r="H151" s="7"/>
      <c r="I151" s="7"/>
      <c r="J151" s="7"/>
      <c r="K151" s="7"/>
      <c r="L151" s="7"/>
      <c r="M151" s="7"/>
      <c r="N151" s="7"/>
      <c r="O151" s="246"/>
      <c r="P151" s="246"/>
      <c r="Q151" s="246"/>
      <c r="R151" s="246"/>
      <c r="S151" s="246"/>
      <c r="T151" s="246"/>
      <c r="U151" s="246"/>
      <c r="V151" s="246"/>
      <c r="W151" s="246"/>
      <c r="X151" s="246"/>
      <c r="Y151" s="246"/>
      <c r="Z151" s="246"/>
      <c r="AA151" s="246"/>
      <c r="AB151" s="246"/>
      <c r="AC151" s="246"/>
      <c r="AD151" s="246"/>
      <c r="AE151" s="246"/>
      <c r="AF151" s="246"/>
      <c r="AG151" s="246"/>
      <c r="AH151" s="246"/>
      <c r="AI151" s="246"/>
      <c r="AJ151" s="246"/>
      <c r="AK151" s="246"/>
      <c r="AL151" s="246"/>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row>
    <row r="152" spans="1:66" hidden="1" outlineLevel="1">
      <c r="A152" s="2"/>
      <c r="B152" s="2"/>
      <c r="C152" s="18"/>
      <c r="D152" s="7"/>
      <c r="E152" s="7"/>
      <c r="F152" s="7"/>
      <c r="G152" s="7"/>
      <c r="H152" s="7"/>
      <c r="I152" s="7"/>
      <c r="J152" s="7"/>
      <c r="K152" s="7"/>
      <c r="L152" s="7"/>
      <c r="M152" s="7"/>
      <c r="N152" s="7"/>
      <c r="O152" s="246"/>
      <c r="P152" s="246"/>
      <c r="Q152" s="246"/>
      <c r="R152" s="246"/>
      <c r="S152" s="246"/>
      <c r="T152" s="246"/>
      <c r="U152" s="246"/>
      <c r="V152" s="246"/>
      <c r="W152" s="246"/>
      <c r="X152" s="246"/>
      <c r="Y152" s="246"/>
      <c r="Z152" s="246"/>
      <c r="AA152" s="246"/>
      <c r="AB152" s="246"/>
      <c r="AC152" s="246"/>
      <c r="AD152" s="246"/>
      <c r="AE152" s="246"/>
      <c r="AF152" s="246"/>
      <c r="AG152" s="246"/>
      <c r="AH152" s="246"/>
      <c r="AI152" s="246"/>
      <c r="AJ152" s="246"/>
      <c r="AK152" s="246"/>
      <c r="AL152" s="246"/>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row>
    <row r="153" spans="1:66" hidden="1" outlineLevel="1">
      <c r="A153" s="2"/>
      <c r="B153" s="2"/>
      <c r="C153" s="18"/>
      <c r="D153" s="7"/>
      <c r="E153" s="7"/>
      <c r="F153" s="7"/>
      <c r="G153" s="7"/>
      <c r="H153" s="7"/>
      <c r="I153" s="7"/>
      <c r="J153" s="7"/>
      <c r="K153" s="7"/>
      <c r="L153" s="7"/>
      <c r="M153" s="7"/>
      <c r="N153" s="7"/>
      <c r="O153" s="246"/>
      <c r="P153" s="246"/>
      <c r="Q153" s="246"/>
      <c r="R153" s="246"/>
      <c r="S153" s="246"/>
      <c r="T153" s="246"/>
      <c r="U153" s="246"/>
      <c r="V153" s="246"/>
      <c r="W153" s="246"/>
      <c r="X153" s="246"/>
      <c r="Y153" s="246"/>
      <c r="Z153" s="246"/>
      <c r="AA153" s="246"/>
      <c r="AB153" s="246"/>
      <c r="AC153" s="246"/>
      <c r="AD153" s="246"/>
      <c r="AE153" s="246"/>
      <c r="AF153" s="246"/>
      <c r="AG153" s="246"/>
      <c r="AH153" s="246"/>
      <c r="AI153" s="246"/>
      <c r="AJ153" s="246"/>
      <c r="AK153" s="246"/>
      <c r="AL153" s="246"/>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row>
    <row r="154" spans="1:66" hidden="1" outlineLevel="1">
      <c r="A154" s="2"/>
      <c r="B154" s="2"/>
      <c r="C154" s="18"/>
      <c r="D154" s="7"/>
      <c r="E154" s="7"/>
      <c r="F154" s="7"/>
      <c r="G154" s="7"/>
      <c r="H154" s="7"/>
      <c r="I154" s="7"/>
      <c r="J154" s="7"/>
      <c r="K154" s="7"/>
      <c r="L154" s="7"/>
      <c r="M154" s="7"/>
      <c r="N154" s="7"/>
      <c r="O154" s="246"/>
      <c r="P154" s="246"/>
      <c r="Q154" s="246"/>
      <c r="R154" s="246"/>
      <c r="S154" s="246"/>
      <c r="T154" s="246"/>
      <c r="U154" s="246"/>
      <c r="V154" s="246"/>
      <c r="W154" s="246"/>
      <c r="X154" s="246"/>
      <c r="Y154" s="246"/>
      <c r="Z154" s="246"/>
      <c r="AA154" s="246"/>
      <c r="AB154" s="246"/>
      <c r="AC154" s="246"/>
      <c r="AD154" s="246"/>
      <c r="AE154" s="246"/>
      <c r="AF154" s="246"/>
      <c r="AG154" s="246"/>
      <c r="AH154" s="246"/>
      <c r="AI154" s="246"/>
      <c r="AJ154" s="246"/>
      <c r="AK154" s="246"/>
      <c r="AL154" s="246"/>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row>
    <row r="155" spans="1:66" hidden="1" outlineLevel="1">
      <c r="A155" s="2"/>
      <c r="B155" s="2"/>
      <c r="C155" s="18"/>
      <c r="D155" s="7"/>
      <c r="E155" s="7"/>
      <c r="F155" s="7"/>
      <c r="G155" s="7"/>
      <c r="H155" s="7"/>
      <c r="I155" s="7"/>
      <c r="J155" s="7"/>
      <c r="K155" s="7"/>
      <c r="L155" s="7"/>
      <c r="M155" s="7"/>
      <c r="N155" s="7"/>
      <c r="O155" s="246"/>
      <c r="P155" s="246"/>
      <c r="Q155" s="246"/>
      <c r="R155" s="246"/>
      <c r="S155" s="246"/>
      <c r="T155" s="246"/>
      <c r="U155" s="246"/>
      <c r="V155" s="246"/>
      <c r="W155" s="246"/>
      <c r="X155" s="246"/>
      <c r="Y155" s="246"/>
      <c r="Z155" s="246"/>
      <c r="AA155" s="246"/>
      <c r="AB155" s="246"/>
      <c r="AC155" s="246"/>
      <c r="AD155" s="246"/>
      <c r="AE155" s="246"/>
      <c r="AF155" s="246"/>
      <c r="AG155" s="246"/>
      <c r="AH155" s="246"/>
      <c r="AI155" s="246"/>
      <c r="AJ155" s="246"/>
      <c r="AK155" s="246"/>
      <c r="AL155" s="246"/>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row>
    <row r="156" spans="1:66" hidden="1" outlineLevel="1">
      <c r="A156" s="2"/>
      <c r="B156" s="2"/>
      <c r="C156" s="18"/>
      <c r="D156" s="7"/>
      <c r="E156" s="7"/>
      <c r="F156" s="7"/>
      <c r="G156" s="7"/>
      <c r="H156" s="7"/>
      <c r="I156" s="7"/>
      <c r="J156" s="7"/>
      <c r="K156" s="7"/>
      <c r="L156" s="7"/>
      <c r="M156" s="7"/>
      <c r="N156" s="7"/>
      <c r="O156" s="246"/>
      <c r="P156" s="246"/>
      <c r="Q156" s="246"/>
      <c r="R156" s="246"/>
      <c r="S156" s="246"/>
      <c r="T156" s="246"/>
      <c r="U156" s="246"/>
      <c r="V156" s="246"/>
      <c r="W156" s="246"/>
      <c r="X156" s="246"/>
      <c r="Y156" s="246"/>
      <c r="Z156" s="246"/>
      <c r="AA156" s="246"/>
      <c r="AB156" s="246"/>
      <c r="AC156" s="246"/>
      <c r="AD156" s="246"/>
      <c r="AE156" s="246"/>
      <c r="AF156" s="246"/>
      <c r="AG156" s="246"/>
      <c r="AH156" s="246"/>
      <c r="AI156" s="246"/>
      <c r="AJ156" s="246"/>
      <c r="AK156" s="246"/>
      <c r="AL156" s="246"/>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row>
    <row r="157" spans="1:66" hidden="1" outlineLevel="1" collapsed="1">
      <c r="A157" s="2"/>
      <c r="B157" s="2"/>
      <c r="C157" s="18"/>
      <c r="D157" s="6"/>
      <c r="E157" s="6"/>
      <c r="F157" s="2"/>
      <c r="G157" s="2"/>
      <c r="H157" s="2"/>
      <c r="I157" s="2"/>
      <c r="J157" s="2"/>
      <c r="K157" s="2"/>
      <c r="L157" s="3"/>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row>
    <row r="158" spans="1:66" hidden="1" outlineLevel="1">
      <c r="A158" s="2"/>
      <c r="B158" s="17" t="s">
        <v>1352</v>
      </c>
      <c r="C158" s="926"/>
      <c r="D158" s="149"/>
      <c r="E158" s="149"/>
      <c r="F158" s="149"/>
      <c r="G158" s="149"/>
      <c r="H158" s="149"/>
      <c r="I158" s="149"/>
      <c r="J158" s="149"/>
      <c r="K158" s="149"/>
      <c r="L158" s="149"/>
      <c r="M158" s="149"/>
      <c r="N158" s="149"/>
      <c r="O158" s="256"/>
      <c r="P158" s="256"/>
      <c r="Q158" s="256"/>
      <c r="R158" s="256"/>
      <c r="S158" s="256"/>
      <c r="T158" s="256"/>
      <c r="U158" s="256"/>
      <c r="V158" s="256"/>
      <c r="W158" s="256"/>
      <c r="X158" s="256"/>
      <c r="Y158" s="256"/>
      <c r="Z158" s="256"/>
      <c r="AA158" s="256"/>
      <c r="AB158" s="256"/>
      <c r="AC158" s="256"/>
      <c r="AD158" s="256"/>
      <c r="AE158" s="256"/>
      <c r="AF158" s="256"/>
      <c r="AG158" s="256"/>
      <c r="AH158" s="256"/>
      <c r="AI158" s="256"/>
      <c r="AJ158" s="256"/>
      <c r="AK158" s="256"/>
      <c r="AL158" s="256"/>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row>
    <row r="159" spans="1:66" hidden="1" outlineLevel="1">
      <c r="A159" s="2"/>
      <c r="B159" s="73" t="s">
        <v>817</v>
      </c>
      <c r="C159" s="18" t="s">
        <v>732</v>
      </c>
      <c r="D159" s="452">
        <f>'Revenue Assumptions'!K588</f>
        <v>10285</v>
      </c>
      <c r="E159" s="452">
        <f>'Revenue Assumptions'!L588</f>
        <v>9925</v>
      </c>
      <c r="F159" s="452">
        <f>'Revenue Assumptions'!M588</f>
        <v>10062</v>
      </c>
      <c r="G159" s="452">
        <f>'Revenue Assumptions'!N588</f>
        <v>10091</v>
      </c>
      <c r="H159" s="452">
        <f>'Revenue Assumptions'!O588</f>
        <v>9958</v>
      </c>
      <c r="I159" s="452">
        <f>'Revenue Assumptions'!P588</f>
        <v>9735</v>
      </c>
      <c r="J159" s="452">
        <f>'Revenue Assumptions'!Q588</f>
        <v>9556.2800000000007</v>
      </c>
      <c r="K159" s="452">
        <f>'Revenue Assumptions'!R588</f>
        <v>9586.9824000000008</v>
      </c>
      <c r="L159" s="452">
        <f>'Revenue Assumptions'!S588</f>
        <v>9073.9992000000002</v>
      </c>
      <c r="M159" s="452">
        <f>'Revenue Assumptions'!T588</f>
        <v>8960</v>
      </c>
      <c r="N159" s="452">
        <f>'Revenue Assumptions'!U588</f>
        <v>8465</v>
      </c>
      <c r="O159" s="451">
        <f>'Revenue Assumptions'!V588</f>
        <v>7972</v>
      </c>
      <c r="P159" s="451">
        <f>'Revenue Assumptions'!W588</f>
        <v>7487.7105600000004</v>
      </c>
      <c r="Q159" s="451">
        <f>'Revenue Assumptions'!X588</f>
        <v>7302.7569266666669</v>
      </c>
      <c r="R159" s="451">
        <f>'Revenue Assumptions'!Y588</f>
        <v>7245.6913314285712</v>
      </c>
      <c r="S159" s="451">
        <f>'Revenue Assumptions'!Z588</f>
        <v>6944.4909910141205</v>
      </c>
      <c r="T159" s="451">
        <f>'Revenue Assumptions'!AA588</f>
        <v>6721.0748000000003</v>
      </c>
      <c r="U159" s="451">
        <f>'Revenue Assumptions'!AB588</f>
        <v>6401.9967515764429</v>
      </c>
      <c r="V159" s="451">
        <f>'Revenue Assumptions'!AC588</f>
        <v>4755</v>
      </c>
      <c r="W159" s="451">
        <f>'Revenue Assumptions'!AD588</f>
        <v>4418</v>
      </c>
      <c r="X159" s="451">
        <f>'Revenue Assumptions'!AE588</f>
        <v>4009</v>
      </c>
      <c r="Y159" s="451">
        <f>'Revenue Assumptions'!AF588</f>
        <v>3677.070954854204</v>
      </c>
      <c r="Z159" s="451">
        <f>'Revenue Assumptions'!AG588</f>
        <v>3483.8600992738739</v>
      </c>
      <c r="AA159" s="451">
        <f>'Revenue Assumptions'!AH588</f>
        <v>3329.5651054448995</v>
      </c>
      <c r="AB159" s="467">
        <f>'Revenue Assumptions'!AI588</f>
        <v>3201.8138812174234</v>
      </c>
      <c r="AC159" s="466">
        <f>'Revenue Assumptions'!AJ588</f>
        <v>3092.3629021191368</v>
      </c>
      <c r="AD159" s="466">
        <f>'Revenue Assumptions'!AK588</f>
        <v>2995.7136810763914</v>
      </c>
      <c r="AE159" s="466">
        <f>'Revenue Assumptions'!AL588</f>
        <v>2908.1930631624864</v>
      </c>
      <c r="AF159" s="466">
        <f>'Revenue Assumptions'!AM588</f>
        <v>2827.3418422268901</v>
      </c>
      <c r="AG159" s="466">
        <f>'Revenue Assumptions'!AN588</f>
        <v>2751.5083309276656</v>
      </c>
      <c r="AH159" s="466">
        <f>'Revenue Assumptions'!AO588</f>
        <v>2679.5781714464283</v>
      </c>
      <c r="AI159" s="466">
        <f>'Revenue Assumptions'!AP588</f>
        <v>2610.7947110724822</v>
      </c>
      <c r="AJ159" s="466">
        <f>'Revenue Assumptions'!AQ588</f>
        <v>2610.7947110724822</v>
      </c>
      <c r="AK159" s="466">
        <f>'Revenue Assumptions'!AR588</f>
        <v>2610.7947110724822</v>
      </c>
      <c r="AL159" s="466">
        <f>'Revenue Assumptions'!AS588</f>
        <v>2610.7947110724822</v>
      </c>
      <c r="AP159" s="615">
        <v>2957</v>
      </c>
      <c r="AQ159" s="254">
        <f>+AR159-AP159</f>
        <v>1798</v>
      </c>
      <c r="AR159" s="254">
        <f t="shared" ref="AR159:AR165" si="281">V159</f>
        <v>4755</v>
      </c>
      <c r="AS159" s="615">
        <v>2681</v>
      </c>
      <c r="AT159" s="254">
        <f>+AU159-AS159</f>
        <v>1737</v>
      </c>
      <c r="AU159" s="254">
        <f t="shared" ref="AU159:AU165" si="282">W159</f>
        <v>4418</v>
      </c>
      <c r="AV159" s="615">
        <v>2388</v>
      </c>
      <c r="AW159" s="254">
        <f>+AX159-AV159</f>
        <v>1621</v>
      </c>
      <c r="AX159" s="254">
        <f t="shared" ref="AX159:AX165" si="283">X159</f>
        <v>4009</v>
      </c>
      <c r="AY159" s="961">
        <v>2388</v>
      </c>
      <c r="AZ159" s="254">
        <f>+BA159-AY159</f>
        <v>1289.070954854204</v>
      </c>
      <c r="BA159" s="254">
        <f t="shared" ref="BA159:BA165" si="284">Y159</f>
        <v>3677.070954854204</v>
      </c>
      <c r="BB159" s="961">
        <v>2388</v>
      </c>
      <c r="BC159" s="254">
        <f>+BD159-BB159</f>
        <v>813.81388121742339</v>
      </c>
      <c r="BD159" s="254">
        <f t="shared" ref="BD159:BD165" si="285">AB159</f>
        <v>3201.8138812174234</v>
      </c>
      <c r="BE159" s="961">
        <v>2388</v>
      </c>
      <c r="BF159" s="254">
        <f>+BG159-BE159</f>
        <v>941.56510544489947</v>
      </c>
      <c r="BG159" s="254">
        <f t="shared" ref="BG159:BN165" si="286">AA159</f>
        <v>3329.5651054448995</v>
      </c>
      <c r="BH159" s="254">
        <f t="shared" si="286"/>
        <v>3201.8138812174234</v>
      </c>
      <c r="BI159" s="254">
        <f t="shared" si="286"/>
        <v>3092.3629021191368</v>
      </c>
      <c r="BJ159" s="254">
        <f t="shared" si="286"/>
        <v>2995.7136810763914</v>
      </c>
      <c r="BK159" s="254">
        <f t="shared" si="286"/>
        <v>2908.1930631624864</v>
      </c>
      <c r="BL159" s="254">
        <f t="shared" si="286"/>
        <v>2827.3418422268901</v>
      </c>
      <c r="BM159" s="254">
        <f t="shared" si="286"/>
        <v>2751.5083309276656</v>
      </c>
      <c r="BN159" s="254">
        <f t="shared" si="286"/>
        <v>2679.5781714464283</v>
      </c>
    </row>
    <row r="160" spans="1:66" hidden="1" outlineLevel="1">
      <c r="A160" s="2"/>
      <c r="B160" s="73" t="s">
        <v>266</v>
      </c>
      <c r="C160" s="18" t="s">
        <v>732</v>
      </c>
      <c r="D160" s="452">
        <f>'Revenue Assumptions'!K23</f>
        <v>2992.6451999999999</v>
      </c>
      <c r="E160" s="452">
        <f>'Revenue Assumptions'!L23</f>
        <v>3155.4239999999995</v>
      </c>
      <c r="F160" s="452">
        <f>'Revenue Assumptions'!M23</f>
        <v>3468.3998000000001</v>
      </c>
      <c r="G160" s="452">
        <f>'Revenue Assumptions'!N23</f>
        <v>3613.1893599999999</v>
      </c>
      <c r="H160" s="452">
        <f>'Revenue Assumptions'!O23</f>
        <v>4362.5991799999993</v>
      </c>
      <c r="I160" s="452">
        <f>'Revenue Assumptions'!P23</f>
        <v>4687.57492</v>
      </c>
      <c r="J160" s="452">
        <f>'Revenue Assumptions'!Q23</f>
        <v>4986.4064400000007</v>
      </c>
      <c r="K160" s="452">
        <f>'Revenue Assumptions'!R23</f>
        <v>5682.7675999999992</v>
      </c>
      <c r="L160" s="452">
        <f>'Revenue Assumptions'!S23</f>
        <v>6365.4806800000006</v>
      </c>
      <c r="M160" s="452">
        <f>'Revenue Assumptions'!T23</f>
        <v>6822</v>
      </c>
      <c r="N160" s="452">
        <f>'Revenue Assumptions'!U23</f>
        <v>7259</v>
      </c>
      <c r="O160" s="451">
        <f>'Revenue Assumptions'!V23</f>
        <v>7989</v>
      </c>
      <c r="P160" s="451">
        <f>'Revenue Assumptions'!W23</f>
        <v>8668</v>
      </c>
      <c r="Q160" s="451">
        <f>'Revenue Assumptions'!X23</f>
        <v>9187</v>
      </c>
      <c r="R160" s="451">
        <f>'Revenue Assumptions'!Y23</f>
        <v>9654</v>
      </c>
      <c r="S160" s="451">
        <f>'Revenue Assumptions'!Z23</f>
        <v>10635</v>
      </c>
      <c r="T160" s="451">
        <f>'Revenue Assumptions'!AA23</f>
        <v>10423</v>
      </c>
      <c r="U160" s="451">
        <f>'Revenue Assumptions'!AB23</f>
        <v>10088</v>
      </c>
      <c r="V160" s="451">
        <f>'Revenue Assumptions'!AC23</f>
        <v>10508</v>
      </c>
      <c r="W160" s="451">
        <f>'Revenue Assumptions'!AD23</f>
        <v>10649</v>
      </c>
      <c r="X160" s="451">
        <f>'Revenue Assumptions'!AE23</f>
        <v>10130</v>
      </c>
      <c r="Y160" s="451">
        <f>'Revenue Assumptions'!AF23</f>
        <v>9310</v>
      </c>
      <c r="Z160" s="451">
        <f>'Revenue Assumptions'!AG23</f>
        <v>9470</v>
      </c>
      <c r="AA160" s="451">
        <f>'Revenue Assumptions'!AH23</f>
        <v>10258</v>
      </c>
      <c r="AB160" s="467">
        <f>'Revenue Assumptions'!AI23</f>
        <v>10722</v>
      </c>
      <c r="AC160" s="466">
        <f>'Revenue Assumptions'!AJ23</f>
        <v>11015</v>
      </c>
      <c r="AD160" s="466">
        <f>'Revenue Assumptions'!AK23</f>
        <v>11520.457886304279</v>
      </c>
      <c r="AE160" s="466">
        <f>'Revenue Assumptions'!AL23</f>
        <v>12044.693704684087</v>
      </c>
      <c r="AF160" s="466">
        <f>'Revenue Assumptions'!AM23</f>
        <v>12605.381763112948</v>
      </c>
      <c r="AG160" s="466">
        <f>'Revenue Assumptions'!AN23</f>
        <v>13205.718063253855</v>
      </c>
      <c r="AH160" s="466">
        <f>'Revenue Assumptions'!AO23</f>
        <v>13849.030868798302</v>
      </c>
      <c r="AI160" s="466">
        <f>'Revenue Assumptions'!AP23</f>
        <v>14539.011279591889</v>
      </c>
      <c r="AJ160" s="466">
        <f>'Revenue Assumptions'!AQ23</f>
        <v>15279.756679914697</v>
      </c>
      <c r="AK160" s="466">
        <f>'Revenue Assumptions'!AR23</f>
        <v>16075.819804879795</v>
      </c>
      <c r="AL160" s="466">
        <f>'Revenue Assumptions'!AS23</f>
        <v>16932.264177371908</v>
      </c>
      <c r="AP160" s="615">
        <v>5169</v>
      </c>
      <c r="AQ160" s="254">
        <f t="shared" ref="AQ160:AQ165" si="287">+AR160-AP160</f>
        <v>5339</v>
      </c>
      <c r="AR160" s="254">
        <f t="shared" si="281"/>
        <v>10508</v>
      </c>
      <c r="AS160" s="615">
        <v>5291</v>
      </c>
      <c r="AT160" s="254">
        <f t="shared" ref="AT160:AT165" si="288">+AU160-AS160</f>
        <v>5358</v>
      </c>
      <c r="AU160" s="254">
        <f t="shared" si="282"/>
        <v>10649</v>
      </c>
      <c r="AV160" s="615">
        <v>5308</v>
      </c>
      <c r="AW160" s="254">
        <f t="shared" ref="AW160:AW165" si="289">+AX160-AV160</f>
        <v>4822</v>
      </c>
      <c r="AX160" s="254">
        <f t="shared" si="283"/>
        <v>10130</v>
      </c>
      <c r="AY160" s="961">
        <v>5308</v>
      </c>
      <c r="AZ160" s="254">
        <f t="shared" ref="AZ160:AZ165" si="290">+BA160-AY160</f>
        <v>4002</v>
      </c>
      <c r="BA160" s="254">
        <f t="shared" si="284"/>
        <v>9310</v>
      </c>
      <c r="BB160" s="961">
        <v>5308</v>
      </c>
      <c r="BC160" s="254">
        <f t="shared" ref="BC160:BC165" si="291">+BD160-BB160</f>
        <v>5414</v>
      </c>
      <c r="BD160" s="254">
        <f t="shared" si="285"/>
        <v>10722</v>
      </c>
      <c r="BE160" s="961">
        <v>5308</v>
      </c>
      <c r="BF160" s="254">
        <f t="shared" ref="BF160:BF165" si="292">+BG160-BE160</f>
        <v>4950</v>
      </c>
      <c r="BG160" s="254">
        <f t="shared" si="286"/>
        <v>10258</v>
      </c>
      <c r="BH160" s="254">
        <f t="shared" si="286"/>
        <v>10722</v>
      </c>
      <c r="BI160" s="254">
        <f t="shared" si="286"/>
        <v>11015</v>
      </c>
      <c r="BJ160" s="254">
        <f t="shared" si="286"/>
        <v>11520.457886304279</v>
      </c>
      <c r="BK160" s="254">
        <f t="shared" si="286"/>
        <v>12044.693704684087</v>
      </c>
      <c r="BL160" s="254">
        <f t="shared" si="286"/>
        <v>12605.381763112948</v>
      </c>
      <c r="BM160" s="254">
        <f t="shared" si="286"/>
        <v>13205.718063253855</v>
      </c>
      <c r="BN160" s="254">
        <f t="shared" si="286"/>
        <v>13849.030868798302</v>
      </c>
    </row>
    <row r="161" spans="1:66" hidden="1" outlineLevel="1">
      <c r="A161" s="2"/>
      <c r="B161" s="962" t="s">
        <v>1064</v>
      </c>
      <c r="C161" s="18" t="s">
        <v>732</v>
      </c>
      <c r="D161" s="452">
        <f>'Revenue Assumptions'!K603</f>
        <v>2592</v>
      </c>
      <c r="E161" s="452">
        <f>'Revenue Assumptions'!L603</f>
        <v>2803</v>
      </c>
      <c r="F161" s="452">
        <f>'Revenue Assumptions'!M603</f>
        <v>2088</v>
      </c>
      <c r="G161" s="452">
        <f>'Revenue Assumptions'!N603</f>
        <v>2224</v>
      </c>
      <c r="H161" s="452">
        <f>'Revenue Assumptions'!O603</f>
        <v>2284</v>
      </c>
      <c r="I161" s="452">
        <f>'Revenue Assumptions'!P603</f>
        <v>2538</v>
      </c>
      <c r="J161" s="452">
        <f>'Revenue Assumptions'!Q603</f>
        <v>2536</v>
      </c>
      <c r="K161" s="452">
        <f>'Revenue Assumptions'!R603</f>
        <v>2529</v>
      </c>
      <c r="L161" s="452">
        <f>'Revenue Assumptions'!S603</f>
        <v>3199</v>
      </c>
      <c r="M161" s="452">
        <f>'Revenue Assumptions'!T603</f>
        <v>3241.2065690542145</v>
      </c>
      <c r="N161" s="452">
        <f>'Revenue Assumptions'!U603</f>
        <v>3190.8527898694101</v>
      </c>
      <c r="O161" s="451">
        <f>'Revenue Assumptions'!V603</f>
        <v>3146.9683419073999</v>
      </c>
      <c r="P161" s="451">
        <f>'Revenue Assumptions'!W603</f>
        <v>3122</v>
      </c>
      <c r="Q161" s="451">
        <f>'Revenue Assumptions'!X603</f>
        <v>3041</v>
      </c>
      <c r="R161" s="451">
        <f>'Revenue Assumptions'!Y603</f>
        <v>2968</v>
      </c>
      <c r="S161" s="451">
        <f>'Revenue Assumptions'!Z603</f>
        <v>2883</v>
      </c>
      <c r="T161" s="451">
        <f>'Revenue Assumptions'!AA603</f>
        <v>2829</v>
      </c>
      <c r="U161" s="451">
        <f>'Revenue Assumptions'!AB603</f>
        <v>2698</v>
      </c>
      <c r="V161" s="451">
        <f>'Revenue Assumptions'!AC603</f>
        <v>4693</v>
      </c>
      <c r="W161" s="451">
        <f>'Revenue Assumptions'!AD603</f>
        <v>4308</v>
      </c>
      <c r="X161" s="451">
        <f>'Revenue Assumptions'!AE603</f>
        <v>4003.3130970246034</v>
      </c>
      <c r="Y161" s="451">
        <f>'Revenue Assumptions'!AF603</f>
        <v>3759.4870432632547</v>
      </c>
      <c r="Z161" s="451">
        <f>'Revenue Assumptions'!AG603</f>
        <v>3576.41171163539</v>
      </c>
      <c r="AA161" s="451">
        <f>'Revenue Assumptions'!AH603</f>
        <v>3410.0066876998253</v>
      </c>
      <c r="AB161" s="467">
        <f>'Revenue Assumptions'!AI603</f>
        <v>3335.0629976768482</v>
      </c>
      <c r="AC161" s="466">
        <f>'Revenue Assumptions'!AJ603</f>
        <v>3273.7297392285582</v>
      </c>
      <c r="AD161" s="466">
        <f>'Revenue Assumptions'!AK603</f>
        <v>3220.6336637051195</v>
      </c>
      <c r="AE161" s="466">
        <f>'Revenue Assumptions'!AL603</f>
        <v>3174.8389024925218</v>
      </c>
      <c r="AF161" s="466">
        <f>'Revenue Assumptions'!AM603</f>
        <v>3135.5370922843931</v>
      </c>
      <c r="AG161" s="466">
        <f>'Revenue Assumptions'!AN603</f>
        <v>3102.0292427623062</v>
      </c>
      <c r="AH161" s="466">
        <f>'Revenue Assumptions'!AO603</f>
        <v>3073.7102535384261</v>
      </c>
      <c r="AI161" s="466">
        <f>'Revenue Assumptions'!AP603</f>
        <v>3050.0556885468659</v>
      </c>
      <c r="AJ161" s="466">
        <f>'Revenue Assumptions'!AQ603</f>
        <v>3050.0556885468659</v>
      </c>
      <c r="AK161" s="466">
        <f>'Revenue Assumptions'!AR603</f>
        <v>3050.0556885468659</v>
      </c>
      <c r="AL161" s="466">
        <f>'Revenue Assumptions'!AS603</f>
        <v>3050.0556885468659</v>
      </c>
      <c r="AP161" s="615">
        <v>1298</v>
      </c>
      <c r="AQ161" s="254">
        <f t="shared" si="287"/>
        <v>3395</v>
      </c>
      <c r="AR161" s="254">
        <f t="shared" si="281"/>
        <v>4693</v>
      </c>
      <c r="AS161" s="615">
        <v>1217</v>
      </c>
      <c r="AT161" s="254">
        <f t="shared" si="288"/>
        <v>3091</v>
      </c>
      <c r="AU161" s="254">
        <f t="shared" si="282"/>
        <v>4308</v>
      </c>
      <c r="AV161" s="615">
        <v>1064</v>
      </c>
      <c r="AW161" s="254">
        <f t="shared" si="289"/>
        <v>2939.3130970246034</v>
      </c>
      <c r="AX161" s="254">
        <f t="shared" si="283"/>
        <v>4003.3130970246034</v>
      </c>
      <c r="AY161" s="961">
        <v>1064</v>
      </c>
      <c r="AZ161" s="254">
        <f t="shared" si="290"/>
        <v>2695.4870432632547</v>
      </c>
      <c r="BA161" s="254">
        <f t="shared" si="284"/>
        <v>3759.4870432632547</v>
      </c>
      <c r="BB161" s="961">
        <v>1064</v>
      </c>
      <c r="BC161" s="254">
        <f t="shared" si="291"/>
        <v>2271.0629976768482</v>
      </c>
      <c r="BD161" s="254">
        <f t="shared" si="285"/>
        <v>3335.0629976768482</v>
      </c>
      <c r="BE161" s="961">
        <v>1064</v>
      </c>
      <c r="BF161" s="254">
        <f t="shared" si="292"/>
        <v>2346.0066876998253</v>
      </c>
      <c r="BG161" s="254">
        <f t="shared" si="286"/>
        <v>3410.0066876998253</v>
      </c>
      <c r="BH161" s="254">
        <f t="shared" si="286"/>
        <v>3335.0629976768482</v>
      </c>
      <c r="BI161" s="254">
        <f t="shared" si="286"/>
        <v>3273.7297392285582</v>
      </c>
      <c r="BJ161" s="254">
        <f t="shared" si="286"/>
        <v>3220.6336637051195</v>
      </c>
      <c r="BK161" s="254">
        <f t="shared" si="286"/>
        <v>3174.8389024925218</v>
      </c>
      <c r="BL161" s="254">
        <f t="shared" si="286"/>
        <v>3135.5370922843931</v>
      </c>
      <c r="BM161" s="254">
        <f t="shared" si="286"/>
        <v>3102.0292427623062</v>
      </c>
      <c r="BN161" s="254">
        <f t="shared" si="286"/>
        <v>3073.7102535384261</v>
      </c>
    </row>
    <row r="162" spans="1:66" hidden="1" outlineLevel="1">
      <c r="A162" s="2"/>
      <c r="B162" s="73" t="s">
        <v>459</v>
      </c>
      <c r="C162" s="18" t="s">
        <v>732</v>
      </c>
      <c r="D162" s="452">
        <f>'Revenue Assumptions'!K612</f>
        <v>235</v>
      </c>
      <c r="E162" s="452">
        <f>'Revenue Assumptions'!L612</f>
        <v>306</v>
      </c>
      <c r="F162" s="452">
        <f>'Revenue Assumptions'!M612</f>
        <v>477</v>
      </c>
      <c r="G162" s="452">
        <f>'Revenue Assumptions'!N612</f>
        <v>487</v>
      </c>
      <c r="H162" s="452">
        <f>'Revenue Assumptions'!O612</f>
        <v>601</v>
      </c>
      <c r="I162" s="452">
        <f>'Revenue Assumptions'!P612</f>
        <v>1056</v>
      </c>
      <c r="J162" s="452">
        <f>'Revenue Assumptions'!Q612</f>
        <v>1158</v>
      </c>
      <c r="K162" s="452">
        <f>'Revenue Assumptions'!R612</f>
        <v>1222</v>
      </c>
      <c r="L162" s="452">
        <f>'Revenue Assumptions'!S612</f>
        <v>1238</v>
      </c>
      <c r="M162" s="452">
        <f>'Revenue Assumptions'!T612</f>
        <v>1202</v>
      </c>
      <c r="N162" s="452">
        <f>'Revenue Assumptions'!U612</f>
        <v>1033</v>
      </c>
      <c r="O162" s="451">
        <f>'Revenue Assumptions'!V612</f>
        <v>1143</v>
      </c>
      <c r="P162" s="451">
        <f>'Revenue Assumptions'!W612</f>
        <v>1263</v>
      </c>
      <c r="Q162" s="451">
        <f>'Revenue Assumptions'!X612</f>
        <v>1487</v>
      </c>
      <c r="R162" s="451">
        <f>'Revenue Assumptions'!Y612</f>
        <v>1896</v>
      </c>
      <c r="S162" s="451">
        <f>'Revenue Assumptions'!Z612</f>
        <v>2418</v>
      </c>
      <c r="T162" s="451">
        <f>'Revenue Assumptions'!AA612</f>
        <v>2581</v>
      </c>
      <c r="U162" s="451">
        <f>'Revenue Assumptions'!AB612</f>
        <v>3358</v>
      </c>
      <c r="V162" s="451">
        <f>'Revenue Assumptions'!AC612</f>
        <v>3627</v>
      </c>
      <c r="W162" s="451">
        <f>'Revenue Assumptions'!AD612</f>
        <v>3477</v>
      </c>
      <c r="X162" s="451">
        <f>'Revenue Assumptions'!AE612</f>
        <v>3379</v>
      </c>
      <c r="Y162" s="451">
        <f>'Revenue Assumptions'!AF612</f>
        <v>3379</v>
      </c>
      <c r="Z162" s="451">
        <f>'Revenue Assumptions'!AG612</f>
        <v>3379</v>
      </c>
      <c r="AA162" s="451">
        <f>'Revenue Assumptions'!AH612</f>
        <v>3379</v>
      </c>
      <c r="AB162" s="467">
        <f>'Revenue Assumptions'!AI612</f>
        <v>3379</v>
      </c>
      <c r="AC162" s="466">
        <f>'Revenue Assumptions'!AJ612</f>
        <v>3379</v>
      </c>
      <c r="AD162" s="466">
        <f>'Revenue Assumptions'!AK612</f>
        <v>3379</v>
      </c>
      <c r="AE162" s="466">
        <f>'Revenue Assumptions'!AL612</f>
        <v>3379</v>
      </c>
      <c r="AF162" s="466">
        <f>'Revenue Assumptions'!AM612</f>
        <v>3379</v>
      </c>
      <c r="AG162" s="466">
        <f>'Revenue Assumptions'!AN612</f>
        <v>3379</v>
      </c>
      <c r="AH162" s="466">
        <f>'Revenue Assumptions'!AO612</f>
        <v>3379</v>
      </c>
      <c r="AI162" s="466">
        <f>'Revenue Assumptions'!AP612</f>
        <v>3379</v>
      </c>
      <c r="AJ162" s="466">
        <f>'Revenue Assumptions'!AQ612</f>
        <v>3379</v>
      </c>
      <c r="AK162" s="466">
        <f>'Revenue Assumptions'!AR612</f>
        <v>3379</v>
      </c>
      <c r="AL162" s="466">
        <f>'Revenue Assumptions'!AS612</f>
        <v>3379</v>
      </c>
      <c r="AP162" s="615">
        <v>1664</v>
      </c>
      <c r="AQ162" s="254">
        <f t="shared" si="287"/>
        <v>1963</v>
      </c>
      <c r="AR162" s="254">
        <f t="shared" si="281"/>
        <v>3627</v>
      </c>
      <c r="AS162" s="615">
        <v>1596</v>
      </c>
      <c r="AT162" s="254">
        <f t="shared" si="288"/>
        <v>1881</v>
      </c>
      <c r="AU162" s="254">
        <f t="shared" si="282"/>
        <v>3477</v>
      </c>
      <c r="AV162" s="615">
        <v>1580</v>
      </c>
      <c r="AW162" s="254">
        <f t="shared" si="289"/>
        <v>1799</v>
      </c>
      <c r="AX162" s="254">
        <f t="shared" si="283"/>
        <v>3379</v>
      </c>
      <c r="AY162" s="961">
        <v>1580</v>
      </c>
      <c r="AZ162" s="254">
        <f t="shared" si="290"/>
        <v>1799</v>
      </c>
      <c r="BA162" s="254">
        <f t="shared" si="284"/>
        <v>3379</v>
      </c>
      <c r="BB162" s="961">
        <v>1580</v>
      </c>
      <c r="BC162" s="254">
        <f t="shared" si="291"/>
        <v>1799</v>
      </c>
      <c r="BD162" s="254">
        <f t="shared" si="285"/>
        <v>3379</v>
      </c>
      <c r="BE162" s="961">
        <v>1580</v>
      </c>
      <c r="BF162" s="254">
        <f t="shared" si="292"/>
        <v>1799</v>
      </c>
      <c r="BG162" s="254">
        <f t="shared" si="286"/>
        <v>3379</v>
      </c>
      <c r="BH162" s="254">
        <f t="shared" si="286"/>
        <v>3379</v>
      </c>
      <c r="BI162" s="254">
        <f t="shared" si="286"/>
        <v>3379</v>
      </c>
      <c r="BJ162" s="254">
        <f t="shared" si="286"/>
        <v>3379</v>
      </c>
      <c r="BK162" s="254">
        <f t="shared" si="286"/>
        <v>3379</v>
      </c>
      <c r="BL162" s="254">
        <f t="shared" si="286"/>
        <v>3379</v>
      </c>
      <c r="BM162" s="254">
        <f t="shared" si="286"/>
        <v>3379</v>
      </c>
      <c r="BN162" s="254">
        <f t="shared" si="286"/>
        <v>3379</v>
      </c>
    </row>
    <row r="163" spans="1:66" hidden="1" outlineLevel="1">
      <c r="A163" s="2"/>
      <c r="B163" s="73" t="s">
        <v>663</v>
      </c>
      <c r="C163" s="18" t="s">
        <v>732</v>
      </c>
      <c r="D163" s="452">
        <f>'Revenue Assumptions'!K619+'Revenue Assumptions'!K620+'Revenue Assumptions'!K622</f>
        <v>0</v>
      </c>
      <c r="E163" s="452">
        <f>'Revenue Assumptions'!L619+'Revenue Assumptions'!L620+'Revenue Assumptions'!L622</f>
        <v>0</v>
      </c>
      <c r="F163" s="452">
        <f>'Revenue Assumptions'!M619+'Revenue Assumptions'!M620+'Revenue Assumptions'!M622</f>
        <v>10</v>
      </c>
      <c r="G163" s="452">
        <f>'Revenue Assumptions'!N619+'Revenue Assumptions'!N620+'Revenue Assumptions'!N622</f>
        <v>43</v>
      </c>
      <c r="H163" s="452">
        <f>'Revenue Assumptions'!O619+'Revenue Assumptions'!O620+'Revenue Assumptions'!O622</f>
        <v>194</v>
      </c>
      <c r="I163" s="452">
        <f>'Revenue Assumptions'!P619+'Revenue Assumptions'!P620+'Revenue Assumptions'!P622</f>
        <v>323</v>
      </c>
      <c r="J163" s="452">
        <f>'Revenue Assumptions'!Q619+'Revenue Assumptions'!Q620+'Revenue Assumptions'!Q622</f>
        <v>410</v>
      </c>
      <c r="K163" s="452">
        <f>'Revenue Assumptions'!R619+'Revenue Assumptions'!R620+'Revenue Assumptions'!R622</f>
        <v>454</v>
      </c>
      <c r="L163" s="452">
        <f>'Revenue Assumptions'!S619+'Revenue Assumptions'!S620+'Revenue Assumptions'!S622</f>
        <v>555</v>
      </c>
      <c r="M163" s="452">
        <f>'Revenue Assumptions'!T619+'Revenue Assumptions'!T620+'Revenue Assumptions'!T622</f>
        <v>619</v>
      </c>
      <c r="N163" s="452">
        <f>'Revenue Assumptions'!U619+'Revenue Assumptions'!U620+'Revenue Assumptions'!U622</f>
        <v>680</v>
      </c>
      <c r="O163" s="451">
        <f>'Revenue Assumptions'!V619+'Revenue Assumptions'!V620+'Revenue Assumptions'!V622</f>
        <v>825</v>
      </c>
      <c r="P163" s="451">
        <f>'Revenue Assumptions'!W619+'Revenue Assumptions'!W620+'Revenue Assumptions'!W622</f>
        <v>864</v>
      </c>
      <c r="Q163" s="451">
        <f>'Revenue Assumptions'!X619+'Revenue Assumptions'!X620+'Revenue Assumptions'!X622</f>
        <v>855</v>
      </c>
      <c r="R163" s="451">
        <f>'Revenue Assumptions'!Y619+'Revenue Assumptions'!Y620+'Revenue Assumptions'!Y622</f>
        <v>879</v>
      </c>
      <c r="S163" s="451">
        <f>'Revenue Assumptions'!Z619+'Revenue Assumptions'!Z620+'Revenue Assumptions'!Z622</f>
        <v>852</v>
      </c>
      <c r="T163" s="451">
        <f>'Revenue Assumptions'!AA623</f>
        <v>974</v>
      </c>
      <c r="U163" s="451">
        <f>'Revenue Assumptions'!AB623</f>
        <v>1039</v>
      </c>
      <c r="V163" s="451">
        <f>'Revenue Assumptions'!AC623</f>
        <v>919</v>
      </c>
      <c r="W163" s="451">
        <f>'Revenue Assumptions'!AD623</f>
        <v>832</v>
      </c>
      <c r="X163" s="451">
        <f>'Revenue Assumptions'!AE623</f>
        <v>774</v>
      </c>
      <c r="Y163" s="451">
        <f>'Revenue Assumptions'!AF623</f>
        <v>84.033333333333331</v>
      </c>
      <c r="Z163" s="451">
        <f>'Revenue Assumptions'!AG623</f>
        <v>72.907777777777781</v>
      </c>
      <c r="AA163" s="451">
        <f>'Revenue Assumptions'!AH623</f>
        <v>63.348481481481492</v>
      </c>
      <c r="AB163" s="467">
        <f>'Revenue Assumptions'!AI623</f>
        <v>55.123201234567915</v>
      </c>
      <c r="AC163" s="466">
        <f>'Revenue Assumptions'!AJ623</f>
        <v>48.035521028806599</v>
      </c>
      <c r="AD163" s="466">
        <f>'Revenue Assumptions'!AK623</f>
        <v>41.919168857338832</v>
      </c>
      <c r="AE163" s="466">
        <f>'Revenue Assumptions'!AL623</f>
        <v>36.633251914449026</v>
      </c>
      <c r="AF163" s="466">
        <f>'Revenue Assumptions'!AM623</f>
        <v>32.058260008707521</v>
      </c>
      <c r="AG163" s="466">
        <f>'Revenue Assumptions'!AN623</f>
        <v>28.092711745922941</v>
      </c>
      <c r="AH163" s="466">
        <f>'Revenue Assumptions'!AO623</f>
        <v>24.650338686402449</v>
      </c>
      <c r="AI163" s="466">
        <f>'Revenue Assumptions'!AP623</f>
        <v>21.657719913655374</v>
      </c>
      <c r="AJ163" s="466">
        <f>'Revenue Assumptions'!AQ623</f>
        <v>21.657719913655374</v>
      </c>
      <c r="AK163" s="466">
        <f>'Revenue Assumptions'!AR623</f>
        <v>21.657719913655374</v>
      </c>
      <c r="AL163" s="466">
        <f>'Revenue Assumptions'!AS623</f>
        <v>21.657719913655374</v>
      </c>
      <c r="AP163" s="615">
        <v>468</v>
      </c>
      <c r="AQ163" s="254">
        <f t="shared" si="287"/>
        <v>451</v>
      </c>
      <c r="AR163" s="254">
        <f t="shared" si="281"/>
        <v>919</v>
      </c>
      <c r="AS163" s="615">
        <v>441</v>
      </c>
      <c r="AT163" s="254">
        <f t="shared" si="288"/>
        <v>391</v>
      </c>
      <c r="AU163" s="254">
        <f t="shared" si="282"/>
        <v>832</v>
      </c>
      <c r="AV163" s="615">
        <v>406</v>
      </c>
      <c r="AW163" s="254">
        <f t="shared" si="289"/>
        <v>368</v>
      </c>
      <c r="AX163" s="254">
        <f t="shared" si="283"/>
        <v>774</v>
      </c>
      <c r="AY163" s="961">
        <v>406</v>
      </c>
      <c r="AZ163" s="254">
        <f t="shared" si="290"/>
        <v>-321.9666666666667</v>
      </c>
      <c r="BA163" s="254">
        <f t="shared" si="284"/>
        <v>84.033333333333331</v>
      </c>
      <c r="BB163" s="961">
        <v>406</v>
      </c>
      <c r="BC163" s="254">
        <f t="shared" si="291"/>
        <v>-350.87679876543211</v>
      </c>
      <c r="BD163" s="254">
        <f t="shared" si="285"/>
        <v>55.123201234567915</v>
      </c>
      <c r="BE163" s="961">
        <v>406</v>
      </c>
      <c r="BF163" s="254">
        <f t="shared" si="292"/>
        <v>-342.65151851851851</v>
      </c>
      <c r="BG163" s="254">
        <f t="shared" si="286"/>
        <v>63.348481481481492</v>
      </c>
      <c r="BH163" s="254">
        <f t="shared" si="286"/>
        <v>55.123201234567915</v>
      </c>
      <c r="BI163" s="254">
        <f t="shared" si="286"/>
        <v>48.035521028806599</v>
      </c>
      <c r="BJ163" s="254">
        <f t="shared" si="286"/>
        <v>41.919168857338832</v>
      </c>
      <c r="BK163" s="254">
        <f t="shared" si="286"/>
        <v>36.633251914449026</v>
      </c>
      <c r="BL163" s="254">
        <f t="shared" si="286"/>
        <v>32.058260008707521</v>
      </c>
      <c r="BM163" s="254">
        <f t="shared" si="286"/>
        <v>28.092711745922941</v>
      </c>
      <c r="BN163" s="254">
        <f t="shared" si="286"/>
        <v>24.650338686402449</v>
      </c>
    </row>
    <row r="164" spans="1:66" hidden="1" outlineLevel="1">
      <c r="A164" s="2"/>
      <c r="B164" s="73" t="s">
        <v>1018</v>
      </c>
      <c r="C164" s="18" t="s">
        <v>732</v>
      </c>
      <c r="D164" s="56"/>
      <c r="E164" s="56"/>
      <c r="F164" s="56"/>
      <c r="G164" s="56"/>
      <c r="H164" s="56"/>
      <c r="I164" s="56"/>
      <c r="J164" s="56"/>
      <c r="K164" s="56"/>
      <c r="L164" s="56"/>
      <c r="M164" s="56"/>
      <c r="N164" s="56"/>
      <c r="O164" s="247"/>
      <c r="P164" s="247"/>
      <c r="Q164" s="247"/>
      <c r="R164" s="247"/>
      <c r="S164" s="451">
        <f>'Revenue Assumptions'!Z630</f>
        <v>888</v>
      </c>
      <c r="T164" s="451">
        <f>'Revenue Assumptions'!AA630</f>
        <v>1454</v>
      </c>
      <c r="U164" s="451">
        <f>'Revenue Assumptions'!AB630</f>
        <v>1449</v>
      </c>
      <c r="V164" s="451">
        <f>'Revenue Assumptions'!AC630</f>
        <v>1584</v>
      </c>
      <c r="W164" s="451">
        <f>'Revenue Assumptions'!AD630</f>
        <v>1705</v>
      </c>
      <c r="X164" s="451">
        <f>'Revenue Assumptions'!AE630</f>
        <v>1725</v>
      </c>
      <c r="Y164" s="451">
        <f>'Revenue Assumptions'!AF630</f>
        <v>1494</v>
      </c>
      <c r="Z164" s="451">
        <f>'Revenue Assumptions'!AG630</f>
        <v>1550.65</v>
      </c>
      <c r="AA164" s="451">
        <f>'Revenue Assumptions'!AH630</f>
        <v>1594.63975</v>
      </c>
      <c r="AB164" s="467">
        <f>'Revenue Assumptions'!AI630</f>
        <v>1635.5013400000003</v>
      </c>
      <c r="AC164" s="466">
        <f>'Revenue Assumptions'!AJ630</f>
        <v>1672.6853869000001</v>
      </c>
      <c r="AD164" s="466">
        <f>'Revenue Assumptions'!AK630</f>
        <v>1705.672948507</v>
      </c>
      <c r="AE164" s="466">
        <f>'Revenue Assumptions'!AL630</f>
        <v>1733.9872722196751</v>
      </c>
      <c r="AF164" s="466">
        <f>'Revenue Assumptions'!AM630</f>
        <v>1768.8138903862655</v>
      </c>
      <c r="AG164" s="466">
        <f>'Revenue Assumptions'!AN630</f>
        <v>1804.6853070978532</v>
      </c>
      <c r="AH164" s="466">
        <f>'Revenue Assumptions'!AO630</f>
        <v>1841.6328663107888</v>
      </c>
      <c r="AI164" s="466">
        <f>'Revenue Assumptions'!AP630</f>
        <v>1879.6888523001126</v>
      </c>
      <c r="AJ164" s="466">
        <f>'Revenue Assumptions'!AQ630</f>
        <v>1879.6888523001126</v>
      </c>
      <c r="AK164" s="466">
        <f>'Revenue Assumptions'!AR630</f>
        <v>1879.6888523001126</v>
      </c>
      <c r="AL164" s="466">
        <f>'Revenue Assumptions'!AS630</f>
        <v>1879.6888523001126</v>
      </c>
      <c r="AP164" s="615">
        <v>764</v>
      </c>
      <c r="AQ164" s="254">
        <f t="shared" si="287"/>
        <v>820</v>
      </c>
      <c r="AR164" s="254">
        <f t="shared" si="281"/>
        <v>1584</v>
      </c>
      <c r="AS164" s="615">
        <v>801</v>
      </c>
      <c r="AT164" s="254">
        <f t="shared" si="288"/>
        <v>904</v>
      </c>
      <c r="AU164" s="254">
        <f t="shared" si="282"/>
        <v>1705</v>
      </c>
      <c r="AV164" s="615">
        <v>842</v>
      </c>
      <c r="AW164" s="254">
        <f t="shared" si="289"/>
        <v>883</v>
      </c>
      <c r="AX164" s="254">
        <f t="shared" si="283"/>
        <v>1725</v>
      </c>
      <c r="AY164" s="961">
        <v>842</v>
      </c>
      <c r="AZ164" s="254">
        <f t="shared" si="290"/>
        <v>652</v>
      </c>
      <c r="BA164" s="254">
        <f t="shared" si="284"/>
        <v>1494</v>
      </c>
      <c r="BB164" s="961">
        <v>842</v>
      </c>
      <c r="BC164" s="254">
        <f t="shared" si="291"/>
        <v>793.50134000000025</v>
      </c>
      <c r="BD164" s="254">
        <f t="shared" si="285"/>
        <v>1635.5013400000003</v>
      </c>
      <c r="BE164" s="961">
        <v>842</v>
      </c>
      <c r="BF164" s="254">
        <f t="shared" si="292"/>
        <v>752.63975000000005</v>
      </c>
      <c r="BG164" s="254">
        <f t="shared" si="286"/>
        <v>1594.63975</v>
      </c>
      <c r="BH164" s="254">
        <f t="shared" si="286"/>
        <v>1635.5013400000003</v>
      </c>
      <c r="BI164" s="254">
        <f t="shared" si="286"/>
        <v>1672.6853869000001</v>
      </c>
      <c r="BJ164" s="254">
        <f t="shared" si="286"/>
        <v>1705.672948507</v>
      </c>
      <c r="BK164" s="254">
        <f t="shared" si="286"/>
        <v>1733.9872722196751</v>
      </c>
      <c r="BL164" s="254">
        <f t="shared" si="286"/>
        <v>1768.8138903862655</v>
      </c>
      <c r="BM164" s="254">
        <f t="shared" si="286"/>
        <v>1804.6853070978532</v>
      </c>
      <c r="BN164" s="254">
        <f t="shared" si="286"/>
        <v>1841.6328663107888</v>
      </c>
    </row>
    <row r="165" spans="1:66" hidden="1" outlineLevel="1" collapsed="1">
      <c r="A165" s="2"/>
      <c r="B165" s="73" t="s">
        <v>1</v>
      </c>
      <c r="C165" s="18" t="s">
        <v>732</v>
      </c>
      <c r="D165" s="56"/>
      <c r="E165" s="56"/>
      <c r="F165" s="56"/>
      <c r="G165" s="56"/>
      <c r="H165" s="56"/>
      <c r="I165" s="56"/>
      <c r="J165" s="56"/>
      <c r="K165" s="56"/>
      <c r="L165" s="56"/>
      <c r="M165" s="56"/>
      <c r="N165" s="56"/>
      <c r="O165" s="247"/>
      <c r="P165" s="247"/>
      <c r="Q165" s="247"/>
      <c r="R165" s="451">
        <f>'Revenue Assumptions'!Y633</f>
        <v>890</v>
      </c>
      <c r="S165" s="451">
        <f>'Revenue Assumptions'!Z633</f>
        <v>733</v>
      </c>
      <c r="T165" s="451">
        <f>'Revenue Assumptions'!AA633</f>
        <v>839</v>
      </c>
      <c r="U165" s="451">
        <f>'Revenue Assumptions'!AB633</f>
        <v>862</v>
      </c>
      <c r="V165" s="451">
        <f>'Revenue Assumptions'!AC633</f>
        <v>1032</v>
      </c>
      <c r="W165" s="451">
        <f>'Revenue Assumptions'!AD633</f>
        <v>1124</v>
      </c>
      <c r="X165" s="451">
        <f>'Revenue Assumptions'!AE633</f>
        <v>1124</v>
      </c>
      <c r="Y165" s="451">
        <f>'Revenue Assumptions'!AF633</f>
        <v>1091.8235294117646</v>
      </c>
      <c r="Z165" s="451">
        <f>'Revenue Assumptions'!AG633</f>
        <v>1043.1643598615917</v>
      </c>
      <c r="AA165" s="451">
        <f>'Revenue Assumptions'!AH633</f>
        <v>1062.6827587217588</v>
      </c>
      <c r="AB165" s="467">
        <f>'Revenue Assumptions'!AI633</f>
        <v>1065.2737327071754</v>
      </c>
      <c r="AC165" s="466">
        <f>'Revenue Assumptions'!AJ633</f>
        <v>1075.6955411764527</v>
      </c>
      <c r="AD165" s="466">
        <f>'Revenue Assumptions'!AK633</f>
        <v>1092.1308165941448</v>
      </c>
      <c r="AE165" s="466">
        <f>'Revenue Assumptions'!AL633</f>
        <v>1113.2509243143209</v>
      </c>
      <c r="AF165" s="466">
        <f>'Revenue Assumptions'!AM633</f>
        <v>1138.0868220601853</v>
      </c>
      <c r="AG165" s="466">
        <f>'Revenue Assumptions'!AN633</f>
        <v>1165.9341105576054</v>
      </c>
      <c r="AH165" s="466">
        <f>'Revenue Assumptions'!AO633</f>
        <v>1196.283224929932</v>
      </c>
      <c r="AI165" s="466">
        <f>'Revenue Assumptions'!AP633</f>
        <v>1228.7681121598878</v>
      </c>
      <c r="AJ165" s="466">
        <f>'Revenue Assumptions'!AQ633</f>
        <v>1228.7681121598878</v>
      </c>
      <c r="AK165" s="466">
        <f>'Revenue Assumptions'!AR633</f>
        <v>1228.7681121598878</v>
      </c>
      <c r="AL165" s="466">
        <f>'Revenue Assumptions'!AS633</f>
        <v>1228.7681121598878</v>
      </c>
      <c r="AP165" s="615">
        <f>304+185</f>
        <v>489</v>
      </c>
      <c r="AQ165" s="254">
        <f t="shared" si="287"/>
        <v>543</v>
      </c>
      <c r="AR165" s="254">
        <f t="shared" si="281"/>
        <v>1032</v>
      </c>
      <c r="AS165" s="615">
        <f>374+185</f>
        <v>559</v>
      </c>
      <c r="AT165" s="254">
        <f t="shared" si="288"/>
        <v>565</v>
      </c>
      <c r="AU165" s="254">
        <f t="shared" si="282"/>
        <v>1124</v>
      </c>
      <c r="AV165" s="615">
        <v>576</v>
      </c>
      <c r="AW165" s="254">
        <f t="shared" si="289"/>
        <v>548</v>
      </c>
      <c r="AX165" s="254">
        <f t="shared" si="283"/>
        <v>1124</v>
      </c>
      <c r="AY165" s="961">
        <v>576</v>
      </c>
      <c r="AZ165" s="254">
        <f t="shared" si="290"/>
        <v>515.82352941176464</v>
      </c>
      <c r="BA165" s="254">
        <f t="shared" si="284"/>
        <v>1091.8235294117646</v>
      </c>
      <c r="BB165" s="961">
        <v>576</v>
      </c>
      <c r="BC165" s="254">
        <f t="shared" si="291"/>
        <v>489.27373270717544</v>
      </c>
      <c r="BD165" s="254">
        <f t="shared" si="285"/>
        <v>1065.2737327071754</v>
      </c>
      <c r="BE165" s="961">
        <v>576</v>
      </c>
      <c r="BF165" s="254">
        <f t="shared" si="292"/>
        <v>486.68275872175877</v>
      </c>
      <c r="BG165" s="254">
        <f t="shared" si="286"/>
        <v>1062.6827587217588</v>
      </c>
      <c r="BH165" s="254">
        <f t="shared" si="286"/>
        <v>1065.2737327071754</v>
      </c>
      <c r="BI165" s="254">
        <f t="shared" si="286"/>
        <v>1075.6955411764527</v>
      </c>
      <c r="BJ165" s="254">
        <f t="shared" si="286"/>
        <v>1092.1308165941448</v>
      </c>
      <c r="BK165" s="254">
        <f t="shared" si="286"/>
        <v>1113.2509243143209</v>
      </c>
      <c r="BL165" s="254">
        <f t="shared" si="286"/>
        <v>1138.0868220601853</v>
      </c>
      <c r="BM165" s="254">
        <f t="shared" si="286"/>
        <v>1165.9341105576054</v>
      </c>
      <c r="BN165" s="254">
        <f t="shared" si="286"/>
        <v>1196.283224929932</v>
      </c>
    </row>
    <row r="166" spans="1:66" hidden="1" outlineLevel="1">
      <c r="A166" s="2"/>
      <c r="B166" s="73" t="s">
        <v>1020</v>
      </c>
      <c r="C166" s="18" t="s">
        <v>732</v>
      </c>
      <c r="D166" s="452">
        <f>'Revenue Assumptions'!K1279+'Revenue Assumptions'!K1280+'Revenue Assumptions'!K621</f>
        <v>1122</v>
      </c>
      <c r="E166" s="452">
        <f>'Revenue Assumptions'!L1279+'Revenue Assumptions'!L1280+'Revenue Assumptions'!L621</f>
        <v>1470</v>
      </c>
      <c r="F166" s="452">
        <f>'Revenue Assumptions'!M1279+'Revenue Assumptions'!M1280+'Revenue Assumptions'!M621</f>
        <v>2331</v>
      </c>
      <c r="G166" s="452">
        <f>'Revenue Assumptions'!N1279+'Revenue Assumptions'!N1280+'Revenue Assumptions'!N621</f>
        <v>2530</v>
      </c>
      <c r="H166" s="452">
        <f>'Revenue Assumptions'!O1279+'Revenue Assumptions'!O1280+'Revenue Assumptions'!O621</f>
        <v>2561</v>
      </c>
      <c r="I166" s="452">
        <f>'Revenue Assumptions'!P1279+'Revenue Assumptions'!P1280+'Revenue Assumptions'!P621</f>
        <v>3307</v>
      </c>
      <c r="J166" s="452">
        <f>'Revenue Assumptions'!Q1279+'Revenue Assumptions'!Q1280+'Revenue Assumptions'!Q621</f>
        <v>3559</v>
      </c>
      <c r="K166" s="452">
        <f>'Revenue Assumptions'!R1279+'Revenue Assumptions'!R1280+'Revenue Assumptions'!R621</f>
        <v>3874.7618387391126</v>
      </c>
      <c r="L166" s="452">
        <f>'Revenue Assumptions'!S1279+'Revenue Assumptions'!S1280+'Revenue Assumptions'!S621</f>
        <v>4052.3193035791755</v>
      </c>
      <c r="M166" s="452">
        <f>'Revenue Assumptions'!T1279+'Revenue Assumptions'!T1280+'Revenue Assumptions'!T621</f>
        <v>4376.0459722864534</v>
      </c>
      <c r="N166" s="452">
        <f>'Revenue Assumptions'!U1279+'Revenue Assumptions'!U1280+'Revenue Assumptions'!U621</f>
        <v>4011</v>
      </c>
      <c r="O166" s="451">
        <f>'Revenue Assumptions'!V1279+'Revenue Assumptions'!V1280+'Revenue Assumptions'!V621</f>
        <v>3718.0005000000001</v>
      </c>
      <c r="P166" s="451">
        <f>'Revenue Assumptions'!W1279+'Revenue Assumptions'!W1280+'Revenue Assumptions'!W621</f>
        <v>3510.1067278999999</v>
      </c>
      <c r="Q166" s="451">
        <f>'Revenue Assumptions'!X1279+'Revenue Assumptions'!X1280+'Revenue Assumptions'!X621</f>
        <v>3239.9413528383998</v>
      </c>
      <c r="R166" s="451">
        <f>'Revenue Assumptions'!Y1279+'Revenue Assumptions'!Y1280+'Revenue Assumptions'!Y621</f>
        <v>2002.02</v>
      </c>
      <c r="S166" s="451">
        <f>'Revenue Assumptions'!Z1279+'Revenue Assumptions'!Z1280+'Revenue Assumptions'!Z621</f>
        <v>583</v>
      </c>
      <c r="T166" s="247">
        <f>1462+829</f>
        <v>2291</v>
      </c>
      <c r="U166" s="2"/>
      <c r="V166" s="2"/>
      <c r="W166" s="2"/>
      <c r="X166" s="2"/>
      <c r="Y166" s="2"/>
      <c r="Z166" s="2"/>
      <c r="AA166" s="2"/>
      <c r="AB166" s="938"/>
      <c r="AC166" s="938"/>
      <c r="AD166" s="938"/>
      <c r="AE166" s="938"/>
      <c r="AF166" s="938"/>
      <c r="AG166" s="938"/>
      <c r="AH166" s="938"/>
      <c r="AI166" s="938"/>
      <c r="AJ166" s="938"/>
      <c r="AK166" s="938"/>
      <c r="AL166" s="938"/>
      <c r="AP166" s="615"/>
      <c r="AQ166" s="254"/>
      <c r="AR166" s="254"/>
      <c r="AS166" s="615"/>
      <c r="AT166" s="254"/>
      <c r="AU166" s="254"/>
      <c r="AV166" s="615"/>
      <c r="AW166" s="254"/>
      <c r="AX166" s="254"/>
      <c r="AY166" s="615"/>
      <c r="AZ166" s="254"/>
      <c r="BA166" s="254"/>
      <c r="BB166" s="615"/>
      <c r="BC166" s="254"/>
      <c r="BD166" s="254"/>
      <c r="BE166" s="615"/>
      <c r="BF166" s="254"/>
      <c r="BG166" s="254"/>
      <c r="BH166" s="254"/>
      <c r="BI166" s="254"/>
      <c r="BJ166" s="254"/>
      <c r="BK166" s="254"/>
      <c r="BL166" s="254"/>
      <c r="BM166" s="254"/>
      <c r="BN166" s="254"/>
    </row>
    <row r="167" spans="1:66" hidden="1" outlineLevel="1">
      <c r="A167" s="2"/>
      <c r="B167" s="20" t="s">
        <v>1021</v>
      </c>
      <c r="C167" s="18" t="s">
        <v>732</v>
      </c>
      <c r="D167" s="452">
        <f>'Revenue Assumptions'!K1297</f>
        <v>1382.354800000001</v>
      </c>
      <c r="E167" s="452">
        <f>'Revenue Assumptions'!L1297</f>
        <v>1796.5760000000009</v>
      </c>
      <c r="F167" s="452">
        <f>'Revenue Assumptions'!M1297</f>
        <v>1760.6002000000008</v>
      </c>
      <c r="G167" s="452">
        <f>'Revenue Assumptions'!N1297</f>
        <v>1391.8106399999997</v>
      </c>
      <c r="H167" s="452">
        <f>'Revenue Assumptions'!O1297</f>
        <v>412.40082000000257</v>
      </c>
      <c r="I167" s="452">
        <f>'Revenue Assumptions'!P1297</f>
        <v>514.42508000000089</v>
      </c>
      <c r="J167" s="452">
        <f>'Revenue Assumptions'!Q1297</f>
        <v>506.31355999999869</v>
      </c>
      <c r="K167" s="452">
        <f>'Revenue Assumptions'!R1297</f>
        <v>323.48816126088786</v>
      </c>
      <c r="L167" s="452">
        <f>'Revenue Assumptions'!S1297</f>
        <v>166</v>
      </c>
      <c r="M167" s="452">
        <f>'Revenue Assumptions'!T1297</f>
        <v>152</v>
      </c>
      <c r="N167" s="452">
        <f>'Revenue Assumptions'!U1297</f>
        <v>173</v>
      </c>
      <c r="O167" s="451">
        <f>'Revenue Assumptions'!V1297</f>
        <v>189</v>
      </c>
      <c r="P167" s="451">
        <f>'Revenue Assumptions'!W1297</f>
        <v>317</v>
      </c>
      <c r="Q167" s="451">
        <f>'Revenue Assumptions'!X1297</f>
        <v>377</v>
      </c>
      <c r="R167" s="451">
        <f>'Revenue Assumptions'!Y1297</f>
        <v>359</v>
      </c>
      <c r="S167" s="451">
        <f>'Revenue Assumptions'!Z1297+'Revenue Assumptions'!Z1283</f>
        <v>734</v>
      </c>
      <c r="T167" s="451">
        <f>'Revenue Assumptions'!AA1285+'Revenue Assumptions'!AA1279</f>
        <v>1237</v>
      </c>
      <c r="U167" s="2"/>
      <c r="V167" s="2"/>
      <c r="W167" s="2"/>
      <c r="X167" s="2"/>
      <c r="Y167" s="2"/>
      <c r="Z167" s="2"/>
      <c r="AA167" s="2"/>
      <c r="AB167" s="938"/>
      <c r="AC167" s="938"/>
      <c r="AD167" s="938"/>
      <c r="AE167" s="938"/>
      <c r="AF167" s="938"/>
      <c r="AG167" s="938"/>
      <c r="AH167" s="938"/>
      <c r="AI167" s="938"/>
      <c r="AJ167" s="938"/>
      <c r="AK167" s="938"/>
      <c r="AL167" s="938"/>
      <c r="AP167" s="615"/>
      <c r="AQ167" s="254"/>
      <c r="AR167" s="254"/>
      <c r="AS167" s="615"/>
      <c r="AT167" s="254"/>
      <c r="AU167" s="254"/>
      <c r="AV167" s="615"/>
      <c r="AW167" s="254"/>
      <c r="AX167" s="254"/>
      <c r="AY167" s="615"/>
      <c r="AZ167" s="254"/>
      <c r="BA167" s="254"/>
      <c r="BB167" s="615"/>
      <c r="BC167" s="254"/>
      <c r="BD167" s="254"/>
      <c r="BE167" s="615"/>
      <c r="BF167" s="254"/>
      <c r="BG167" s="254"/>
      <c r="BH167" s="254"/>
      <c r="BI167" s="254"/>
      <c r="BJ167" s="254"/>
      <c r="BK167" s="254"/>
      <c r="BL167" s="254"/>
      <c r="BM167" s="254"/>
      <c r="BN167" s="254"/>
    </row>
    <row r="168" spans="1:66" hidden="1" outlineLevel="1" collapsed="1">
      <c r="A168" s="6"/>
      <c r="B168" s="6" t="s">
        <v>405</v>
      </c>
      <c r="C168" s="21" t="s">
        <v>732</v>
      </c>
      <c r="D168" s="60">
        <f t="shared" ref="D168:M168" si="293">SUM(D159:D167)</f>
        <v>18609</v>
      </c>
      <c r="E168" s="60">
        <f t="shared" si="293"/>
        <v>19456</v>
      </c>
      <c r="F168" s="60">
        <f t="shared" si="293"/>
        <v>20197</v>
      </c>
      <c r="G168" s="60">
        <f t="shared" si="293"/>
        <v>20380</v>
      </c>
      <c r="H168" s="60">
        <f t="shared" si="293"/>
        <v>20373</v>
      </c>
      <c r="I168" s="60">
        <f t="shared" si="293"/>
        <v>22161</v>
      </c>
      <c r="J168" s="60">
        <f t="shared" si="293"/>
        <v>22712</v>
      </c>
      <c r="K168" s="60">
        <f t="shared" si="293"/>
        <v>23673</v>
      </c>
      <c r="L168" s="60">
        <f t="shared" si="293"/>
        <v>24649.799183579176</v>
      </c>
      <c r="M168" s="60">
        <f t="shared" si="293"/>
        <v>25372.252541340669</v>
      </c>
      <c r="N168" s="60">
        <f>N159+N160+N161+N162+N163+N166+N167</f>
        <v>24811.852789869408</v>
      </c>
      <c r="O168" s="249">
        <f>O159+O160+O161+O162+O163+O166+O167</f>
        <v>24982.968841907401</v>
      </c>
      <c r="P168" s="249">
        <f>P159+P160+P161+P162+P163+P166+P167</f>
        <v>25231.817287899998</v>
      </c>
      <c r="Q168" s="249">
        <f>Q159+Q160+Q161+Q162+Q163+Q166+Q167</f>
        <v>25489.698279505068</v>
      </c>
      <c r="R168" s="249">
        <f>R159+R160+R161+R162+R163+R166+R167</f>
        <v>25003.711331428571</v>
      </c>
      <c r="S168" s="249">
        <f>SUM(S159:S165)</f>
        <v>25353.490991014121</v>
      </c>
      <c r="T168" s="249">
        <f>SUM(T159:T165)</f>
        <v>25821.074800000002</v>
      </c>
      <c r="U168" s="249">
        <f>SUM(U159:U165)</f>
        <v>25895.996751576444</v>
      </c>
      <c r="V168" s="6"/>
      <c r="W168" s="6"/>
      <c r="X168" s="6"/>
      <c r="Y168" s="6"/>
      <c r="Z168" s="6"/>
      <c r="AA168" s="6"/>
      <c r="AB168" s="6"/>
      <c r="AC168" s="6"/>
      <c r="AD168" s="6"/>
      <c r="AE168" s="6"/>
      <c r="AF168" s="6"/>
      <c r="AG168" s="6"/>
      <c r="AH168" s="6"/>
      <c r="AI168" s="6"/>
      <c r="AJ168" s="6"/>
      <c r="AK168" s="6"/>
      <c r="AL168" s="6"/>
      <c r="AP168" s="259">
        <f>SUM(AP159:AP165)</f>
        <v>12809</v>
      </c>
      <c r="AQ168" s="259">
        <f>SUM(AQ159:AQ165)</f>
        <v>14309</v>
      </c>
      <c r="AR168" s="259">
        <f>V21</f>
        <v>28841</v>
      </c>
      <c r="AS168" s="259">
        <f>SUM(AS159:AS165)</f>
        <v>12586</v>
      </c>
      <c r="AT168" s="259">
        <f>SUM(AT159:AT165)</f>
        <v>13927</v>
      </c>
      <c r="AU168" s="259">
        <f>W21</f>
        <v>27807</v>
      </c>
      <c r="AV168" s="259">
        <f>SUM(AV159:AV165)</f>
        <v>12164</v>
      </c>
      <c r="AW168" s="259">
        <f>SUM(AW159:AW165)</f>
        <v>12980.313097024604</v>
      </c>
      <c r="AX168" s="259">
        <f>X21</f>
        <v>25937</v>
      </c>
      <c r="AY168" s="259">
        <f>SUM(AY159:AY165)</f>
        <v>12164</v>
      </c>
      <c r="AZ168" s="259">
        <f>SUM(AZ159:AZ165)</f>
        <v>10631.414860862555</v>
      </c>
      <c r="BA168" s="259">
        <f>Y21</f>
        <v>23132</v>
      </c>
      <c r="BB168" s="259">
        <f>SUM(BB159:BB165)</f>
        <v>12164</v>
      </c>
      <c r="BC168" s="259">
        <f>SUM(BC159:BC165)</f>
        <v>11229.775152836017</v>
      </c>
      <c r="BD168" s="259">
        <f>AB21</f>
        <v>23482</v>
      </c>
      <c r="BE168" s="259">
        <f>SUM(BE159:BE165)</f>
        <v>12164</v>
      </c>
      <c r="BF168" s="259">
        <f>SUM(BF159:BF165)</f>
        <v>10933.242783347967</v>
      </c>
      <c r="BG168" s="259">
        <f t="shared" ref="BG168:BN168" si="294">AA21</f>
        <v>23245.009539999999</v>
      </c>
      <c r="BH168" s="259">
        <f t="shared" si="294"/>
        <v>23482</v>
      </c>
      <c r="BI168" s="259">
        <f t="shared" si="294"/>
        <v>23610</v>
      </c>
      <c r="BJ168" s="259">
        <f t="shared" si="294"/>
        <v>24510.678474448981</v>
      </c>
      <c r="BK168" s="259">
        <f t="shared" si="294"/>
        <v>25177.184787169535</v>
      </c>
      <c r="BL168" s="259">
        <f t="shared" si="294"/>
        <v>25947.12399963582</v>
      </c>
      <c r="BM168" s="259">
        <f t="shared" si="294"/>
        <v>26830.707617914184</v>
      </c>
      <c r="BN168" s="259">
        <f t="shared" si="294"/>
        <v>27833.285496218694</v>
      </c>
    </row>
    <row r="169" spans="1:66" hidden="1" outlineLevel="1" collapsed="1">
      <c r="A169" s="2"/>
      <c r="B169" s="73" t="s">
        <v>58</v>
      </c>
      <c r="C169" s="18" t="s">
        <v>732</v>
      </c>
      <c r="D169" s="452">
        <f>'Revenue Assumptions'!K1293</f>
        <v>1176</v>
      </c>
      <c r="E169" s="452">
        <f>'Revenue Assumptions'!L1293</f>
        <v>4304</v>
      </c>
      <c r="F169" s="452">
        <f>'Revenue Assumptions'!M1293</f>
        <v>606</v>
      </c>
      <c r="G169" s="452">
        <f>'Revenue Assumptions'!N1293</f>
        <v>1121</v>
      </c>
      <c r="H169" s="452">
        <f>'Revenue Assumptions'!O1293</f>
        <v>430</v>
      </c>
      <c r="I169" s="452">
        <f>'Revenue Assumptions'!P1293</f>
        <v>323</v>
      </c>
      <c r="J169" s="452">
        <f>'Revenue Assumptions'!Q1293</f>
        <v>404</v>
      </c>
      <c r="K169" s="452">
        <f>'Revenue Assumptions'!R1293</f>
        <v>287</v>
      </c>
      <c r="L169" s="452">
        <f>'Revenue Assumptions'!S1293</f>
        <v>345</v>
      </c>
      <c r="M169" s="452">
        <f>'Revenue Assumptions'!T1293</f>
        <v>136</v>
      </c>
      <c r="N169" s="452">
        <f>'Revenue Assumptions'!U1291</f>
        <v>104</v>
      </c>
      <c r="O169" s="452">
        <f>'Revenue Assumptions'!V1291</f>
        <v>110</v>
      </c>
      <c r="P169" s="452">
        <f>'Revenue Assumptions'!W1291</f>
        <v>136</v>
      </c>
      <c r="Q169" s="452">
        <f>'Revenue Assumptions'!X1291</f>
        <v>176</v>
      </c>
      <c r="R169" s="452">
        <f>'Revenue Assumptions'!Y639</f>
        <v>0</v>
      </c>
      <c r="S169" s="452">
        <f>'Revenue Assumptions'!Z639</f>
        <v>0</v>
      </c>
      <c r="T169" s="452">
        <f>'Revenue Assumptions'!AA639</f>
        <v>77</v>
      </c>
      <c r="U169" s="452">
        <f>'Revenue Assumptions'!AB639</f>
        <v>103</v>
      </c>
      <c r="V169" s="2"/>
      <c r="W169" s="2"/>
      <c r="X169" s="2"/>
      <c r="Y169" s="2"/>
      <c r="Z169" s="2"/>
      <c r="AA169" s="2"/>
      <c r="AB169" s="2"/>
      <c r="AC169" s="2"/>
      <c r="AD169" s="2"/>
      <c r="AE169" s="2"/>
      <c r="AF169" s="2"/>
      <c r="AG169" s="2"/>
      <c r="AH169" s="2"/>
      <c r="AI169" s="2"/>
      <c r="AJ169" s="2"/>
      <c r="AK169" s="2"/>
      <c r="AL169" s="2"/>
      <c r="AP169" s="530">
        <v>0</v>
      </c>
      <c r="AQ169" s="2">
        <f>+AR169-AP169</f>
        <v>0</v>
      </c>
      <c r="AR169" s="2">
        <f>V169</f>
        <v>0</v>
      </c>
      <c r="AS169" s="530">
        <v>0</v>
      </c>
      <c r="AT169" s="2">
        <f>+AU169-AS169</f>
        <v>0</v>
      </c>
      <c r="AU169" s="2">
        <f>W169</f>
        <v>0</v>
      </c>
      <c r="AV169" s="530">
        <v>0</v>
      </c>
      <c r="AW169" s="2">
        <f>+AX169-AV169</f>
        <v>0</v>
      </c>
      <c r="AX169" s="2">
        <f>X169</f>
        <v>0</v>
      </c>
      <c r="AY169" s="530">
        <v>0</v>
      </c>
      <c r="AZ169" s="2">
        <f>+BA169-AY169</f>
        <v>0</v>
      </c>
      <c r="BA169" s="2">
        <f>Y169</f>
        <v>0</v>
      </c>
      <c r="BB169" s="530">
        <v>0</v>
      </c>
      <c r="BC169" s="2">
        <f>+BD169-BB169</f>
        <v>0</v>
      </c>
      <c r="BD169" s="2">
        <f>AB169</f>
        <v>0</v>
      </c>
      <c r="BE169" s="530">
        <v>0</v>
      </c>
      <c r="BF169" s="2">
        <f>+BG169-BE169</f>
        <v>0</v>
      </c>
      <c r="BG169" s="2">
        <f t="shared" ref="BG169:BN172" si="295">AA169</f>
        <v>0</v>
      </c>
      <c r="BH169" s="2">
        <f t="shared" si="295"/>
        <v>0</v>
      </c>
      <c r="BI169" s="2">
        <f t="shared" si="295"/>
        <v>0</v>
      </c>
      <c r="BJ169" s="2">
        <f t="shared" si="295"/>
        <v>0</v>
      </c>
      <c r="BK169" s="2">
        <f t="shared" si="295"/>
        <v>0</v>
      </c>
      <c r="BL169" s="2">
        <f t="shared" si="295"/>
        <v>0</v>
      </c>
      <c r="BM169" s="2">
        <f t="shared" si="295"/>
        <v>0</v>
      </c>
      <c r="BN169" s="2">
        <f t="shared" si="295"/>
        <v>0</v>
      </c>
    </row>
    <row r="170" spans="1:66" hidden="1" outlineLevel="1">
      <c r="A170" s="2"/>
      <c r="B170" s="73" t="s">
        <v>1035</v>
      </c>
      <c r="C170" s="18" t="s">
        <v>732</v>
      </c>
      <c r="D170" s="56"/>
      <c r="E170" s="56"/>
      <c r="F170" s="56"/>
      <c r="G170" s="56"/>
      <c r="H170" s="56"/>
      <c r="I170" s="56"/>
      <c r="J170" s="452">
        <f>'Revenue Assumptions'!Q1293</f>
        <v>404</v>
      </c>
      <c r="K170" s="452">
        <f>'Revenue Assumptions'!R1293</f>
        <v>287</v>
      </c>
      <c r="L170" s="452">
        <f>'Revenue Assumptions'!S1293</f>
        <v>345</v>
      </c>
      <c r="M170" s="452">
        <f>'Revenue Assumptions'!T1293</f>
        <v>136</v>
      </c>
      <c r="N170" s="452">
        <f>'Revenue Assumptions'!U1293</f>
        <v>112</v>
      </c>
      <c r="O170" s="451">
        <f>'Revenue Assumptions'!V1293</f>
        <v>211</v>
      </c>
      <c r="P170" s="451">
        <f>'Revenue Assumptions'!W1293</f>
        <v>135</v>
      </c>
      <c r="Q170" s="451">
        <f>'Revenue Assumptions'!X1293</f>
        <v>302</v>
      </c>
      <c r="R170" s="451">
        <f>'Revenue Assumptions'!Y640</f>
        <v>0</v>
      </c>
      <c r="S170" s="451">
        <f>'Revenue Assumptions'!Z640</f>
        <v>0</v>
      </c>
      <c r="T170" s="451">
        <f>'Revenue Assumptions'!AA640</f>
        <v>1139</v>
      </c>
      <c r="U170" s="451">
        <f>'Revenue Assumptions'!AB640</f>
        <v>2192</v>
      </c>
      <c r="V170" s="467">
        <f>'Revenue Assumptions'!AC640</f>
        <v>2993</v>
      </c>
      <c r="W170" s="467">
        <f>'Revenue Assumptions'!AD640</f>
        <v>2548</v>
      </c>
      <c r="X170" s="467">
        <f>'Revenue Assumptions'!AE640</f>
        <v>2451</v>
      </c>
      <c r="Y170" s="467">
        <f>'Revenue Assumptions'!AF640</f>
        <v>2352.96</v>
      </c>
      <c r="Z170" s="467">
        <f>'Revenue Assumptions'!AG640</f>
        <v>2258.8415999999997</v>
      </c>
      <c r="AA170" s="467">
        <f>'Revenue Assumptions'!AH640</f>
        <v>2168.4879359999995</v>
      </c>
      <c r="AB170" s="467">
        <f>'Revenue Assumptions'!AI640</f>
        <v>2081.7484185599997</v>
      </c>
      <c r="AC170" s="466">
        <f>'Revenue Assumptions'!AJ640</f>
        <v>1998.4784818175997</v>
      </c>
      <c r="AD170" s="466">
        <f>'Revenue Assumptions'!AK640</f>
        <v>1918.5393425448956</v>
      </c>
      <c r="AE170" s="466">
        <f>'Revenue Assumptions'!AL640</f>
        <v>1841.7977688430997</v>
      </c>
      <c r="AF170" s="466">
        <f>'Revenue Assumptions'!AM640</f>
        <v>1768.1258580893757</v>
      </c>
      <c r="AG170" s="466">
        <f>'Revenue Assumptions'!AN640</f>
        <v>1697.4008237658006</v>
      </c>
      <c r="AH170" s="466">
        <f>'Revenue Assumptions'!AO640</f>
        <v>1629.5047908151685</v>
      </c>
      <c r="AI170" s="466">
        <f>'Revenue Assumptions'!AP640</f>
        <v>1564.3245991825618</v>
      </c>
      <c r="AJ170" s="466">
        <f>'Revenue Assumptions'!AQ640</f>
        <v>1564.3245991825618</v>
      </c>
      <c r="AK170" s="466">
        <f>'Revenue Assumptions'!AR640</f>
        <v>1564.3245991825618</v>
      </c>
      <c r="AL170" s="466">
        <f>'Revenue Assumptions'!AS640</f>
        <v>1564.3245991825618</v>
      </c>
      <c r="AP170" s="615">
        <v>1582</v>
      </c>
      <c r="AQ170" s="254">
        <f>+AR170-AP170</f>
        <v>1411</v>
      </c>
      <c r="AR170" s="254">
        <f>V170</f>
        <v>2993</v>
      </c>
      <c r="AS170" s="615">
        <v>1212</v>
      </c>
      <c r="AT170" s="254">
        <f>+AU170-AS170</f>
        <v>1336</v>
      </c>
      <c r="AU170" s="254">
        <f>W170</f>
        <v>2548</v>
      </c>
      <c r="AV170" s="615">
        <v>1249</v>
      </c>
      <c r="AW170" s="254">
        <f>+AX170-AV170</f>
        <v>1202</v>
      </c>
      <c r="AX170" s="254">
        <f>X170</f>
        <v>2451</v>
      </c>
      <c r="AY170" s="961">
        <v>1249</v>
      </c>
      <c r="AZ170" s="254">
        <f>+BA170-AY170</f>
        <v>1103.96</v>
      </c>
      <c r="BA170" s="254">
        <f>Y170</f>
        <v>2352.96</v>
      </c>
      <c r="BB170" s="961">
        <v>1249</v>
      </c>
      <c r="BC170" s="254">
        <f>+BD170-BB170</f>
        <v>832.74841855999966</v>
      </c>
      <c r="BD170" s="254">
        <f>AB170</f>
        <v>2081.7484185599997</v>
      </c>
      <c r="BE170" s="961">
        <v>1249</v>
      </c>
      <c r="BF170" s="254">
        <f>+BG170-BE170</f>
        <v>919.48793599999954</v>
      </c>
      <c r="BG170" s="254">
        <f t="shared" si="295"/>
        <v>2168.4879359999995</v>
      </c>
      <c r="BH170" s="254">
        <f t="shared" si="295"/>
        <v>2081.7484185599997</v>
      </c>
      <c r="BI170" s="254">
        <f t="shared" si="295"/>
        <v>1998.4784818175997</v>
      </c>
      <c r="BJ170" s="254">
        <f t="shared" si="295"/>
        <v>1918.5393425448956</v>
      </c>
      <c r="BK170" s="254">
        <f t="shared" si="295"/>
        <v>1841.7977688430997</v>
      </c>
      <c r="BL170" s="254">
        <f t="shared" si="295"/>
        <v>1768.1258580893757</v>
      </c>
      <c r="BM170" s="254">
        <f t="shared" si="295"/>
        <v>1697.4008237658006</v>
      </c>
      <c r="BN170" s="254">
        <f t="shared" si="295"/>
        <v>1629.5047908151685</v>
      </c>
    </row>
    <row r="171" spans="1:66" hidden="1" outlineLevel="1" collapsed="1">
      <c r="A171" s="657"/>
      <c r="B171" s="657" t="s">
        <v>1019</v>
      </c>
      <c r="C171" s="659" t="s">
        <v>732</v>
      </c>
      <c r="D171" s="672">
        <f t="shared" ref="D171:I171" si="296">D168+D169</f>
        <v>19785</v>
      </c>
      <c r="E171" s="672">
        <f t="shared" si="296"/>
        <v>23760</v>
      </c>
      <c r="F171" s="672">
        <f t="shared" si="296"/>
        <v>20803</v>
      </c>
      <c r="G171" s="672">
        <f t="shared" si="296"/>
        <v>21501</v>
      </c>
      <c r="H171" s="672">
        <f t="shared" si="296"/>
        <v>20803</v>
      </c>
      <c r="I171" s="672">
        <f t="shared" si="296"/>
        <v>22484</v>
      </c>
      <c r="J171" s="672">
        <f t="shared" ref="J171:U171" si="297">J168+J169+J170</f>
        <v>23520</v>
      </c>
      <c r="K171" s="672">
        <f t="shared" si="297"/>
        <v>24247</v>
      </c>
      <c r="L171" s="672">
        <f t="shared" si="297"/>
        <v>25339.799183579176</v>
      </c>
      <c r="M171" s="672">
        <f t="shared" si="297"/>
        <v>25644.252541340669</v>
      </c>
      <c r="N171" s="672">
        <f t="shared" si="297"/>
        <v>25027.852789869408</v>
      </c>
      <c r="O171" s="653">
        <f t="shared" si="297"/>
        <v>25303.968841907401</v>
      </c>
      <c r="P171" s="653">
        <f t="shared" si="297"/>
        <v>25502.817287899998</v>
      </c>
      <c r="Q171" s="653">
        <f t="shared" si="297"/>
        <v>25967.698279505068</v>
      </c>
      <c r="R171" s="653">
        <f t="shared" si="297"/>
        <v>25003.711331428571</v>
      </c>
      <c r="S171" s="653">
        <f t="shared" si="297"/>
        <v>25353.490991014121</v>
      </c>
      <c r="T171" s="653">
        <f t="shared" si="297"/>
        <v>27037.074800000002</v>
      </c>
      <c r="U171" s="653">
        <f t="shared" si="297"/>
        <v>28190.996751576444</v>
      </c>
      <c r="V171" s="673">
        <f t="shared" ref="V171:AK171" si="298">V21+V169+V170</f>
        <v>31834</v>
      </c>
      <c r="W171" s="673">
        <f t="shared" si="298"/>
        <v>30355</v>
      </c>
      <c r="X171" s="673">
        <f t="shared" si="298"/>
        <v>28388</v>
      </c>
      <c r="Y171" s="673">
        <f t="shared" si="298"/>
        <v>25484.959999999999</v>
      </c>
      <c r="Z171" s="673">
        <f t="shared" si="298"/>
        <v>24303.8416</v>
      </c>
      <c r="AA171" s="673">
        <f t="shared" si="298"/>
        <v>25413.497475999997</v>
      </c>
      <c r="AB171" s="673">
        <f t="shared" si="298"/>
        <v>25563.748418560001</v>
      </c>
      <c r="AC171" s="662">
        <f t="shared" si="298"/>
        <v>25608.478481817601</v>
      </c>
      <c r="AD171" s="662">
        <f t="shared" si="298"/>
        <v>26429.217816993878</v>
      </c>
      <c r="AE171" s="662">
        <f t="shared" si="298"/>
        <v>27018.982556012634</v>
      </c>
      <c r="AF171" s="662">
        <f t="shared" si="298"/>
        <v>27715.249857725197</v>
      </c>
      <c r="AG171" s="662">
        <f t="shared" si="298"/>
        <v>28528.108441679986</v>
      </c>
      <c r="AH171" s="662">
        <f t="shared" si="298"/>
        <v>29462.790287033862</v>
      </c>
      <c r="AI171" s="662">
        <f t="shared" si="298"/>
        <v>30527.746680666998</v>
      </c>
      <c r="AJ171" s="662">
        <f t="shared" si="298"/>
        <v>31797.435138015528</v>
      </c>
      <c r="AK171" s="662">
        <f t="shared" si="298"/>
        <v>33222.473381218704</v>
      </c>
      <c r="AL171" s="662">
        <f t="shared" ref="AL171" si="299">AL21+AL169+AL170</f>
        <v>34663.644425789564</v>
      </c>
      <c r="AP171" s="661">
        <f>AP168+AP169+AP170</f>
        <v>14391</v>
      </c>
      <c r="AQ171" s="661">
        <f>AQ168+AQ169+AQ170</f>
        <v>15720</v>
      </c>
      <c r="AR171" s="661">
        <f>V171</f>
        <v>31834</v>
      </c>
      <c r="AS171" s="661">
        <f>AS168+AS169+AS170</f>
        <v>13798</v>
      </c>
      <c r="AT171" s="661">
        <f>AT168+AT169+AT170</f>
        <v>15263</v>
      </c>
      <c r="AU171" s="661">
        <f>W171</f>
        <v>30355</v>
      </c>
      <c r="AV171" s="661">
        <f>AV168+AV169+AV170</f>
        <v>13413</v>
      </c>
      <c r="AW171" s="661">
        <f>AW168+AW169+AW170</f>
        <v>14182.313097024604</v>
      </c>
      <c r="AX171" s="661">
        <f>X171</f>
        <v>28388</v>
      </c>
      <c r="AY171" s="661">
        <f>AY168+AY169+AY170</f>
        <v>13413</v>
      </c>
      <c r="AZ171" s="661">
        <f>AZ168+AZ169+AZ170</f>
        <v>11735.374860862554</v>
      </c>
      <c r="BA171" s="661">
        <f>Y171</f>
        <v>25484.959999999999</v>
      </c>
      <c r="BB171" s="661">
        <f>BB168+BB169+BB170</f>
        <v>13413</v>
      </c>
      <c r="BC171" s="661">
        <f>BC168+BC169+BC170</f>
        <v>12062.523571396017</v>
      </c>
      <c r="BD171" s="661">
        <f>AB171</f>
        <v>25563.748418560001</v>
      </c>
      <c r="BE171" s="661">
        <f>BE168+BE169+BE170</f>
        <v>13413</v>
      </c>
      <c r="BF171" s="661">
        <f>BF168+BF169+BF170</f>
        <v>11852.730719347966</v>
      </c>
      <c r="BG171" s="661">
        <f t="shared" si="295"/>
        <v>25413.497475999997</v>
      </c>
      <c r="BH171" s="661">
        <f t="shared" si="295"/>
        <v>25563.748418560001</v>
      </c>
      <c r="BI171" s="661">
        <f t="shared" si="295"/>
        <v>25608.478481817601</v>
      </c>
      <c r="BJ171" s="661">
        <f t="shared" si="295"/>
        <v>26429.217816993878</v>
      </c>
      <c r="BK171" s="661">
        <f t="shared" si="295"/>
        <v>27018.982556012634</v>
      </c>
      <c r="BL171" s="661">
        <f t="shared" si="295"/>
        <v>27715.249857725197</v>
      </c>
      <c r="BM171" s="661">
        <f t="shared" si="295"/>
        <v>28528.108441679986</v>
      </c>
      <c r="BN171" s="661">
        <f t="shared" si="295"/>
        <v>29462.790287033862</v>
      </c>
    </row>
    <row r="172" spans="1:66" hidden="1" outlineLevel="1">
      <c r="A172" s="312"/>
      <c r="B172" s="325" t="s">
        <v>880</v>
      </c>
      <c r="C172" s="310" t="s">
        <v>733</v>
      </c>
      <c r="D172" s="311"/>
      <c r="E172" s="311"/>
      <c r="F172" s="311"/>
      <c r="G172" s="311"/>
      <c r="H172" s="311"/>
      <c r="I172" s="311"/>
      <c r="J172" s="311"/>
      <c r="K172" s="311">
        <f t="shared" ref="K172:AB172" si="300">K171/J171-1</f>
        <v>3.0909863945578264E-2</v>
      </c>
      <c r="L172" s="311">
        <f t="shared" si="300"/>
        <v>4.5069459462167449E-2</v>
      </c>
      <c r="M172" s="311">
        <f t="shared" si="300"/>
        <v>1.2014829145085892E-2</v>
      </c>
      <c r="N172" s="311">
        <f t="shared" si="300"/>
        <v>-2.4036565326970405E-2</v>
      </c>
      <c r="O172" s="311">
        <f t="shared" si="300"/>
        <v>1.1032350811562841E-2</v>
      </c>
      <c r="P172" s="311">
        <f t="shared" si="300"/>
        <v>7.8583896160697719E-3</v>
      </c>
      <c r="Q172" s="311">
        <f t="shared" si="300"/>
        <v>1.8228613190341081E-2</v>
      </c>
      <c r="R172" s="311">
        <f t="shared" si="300"/>
        <v>-3.71225411548054E-2</v>
      </c>
      <c r="S172" s="311">
        <f t="shared" si="300"/>
        <v>1.3989109654529264E-2</v>
      </c>
      <c r="T172" s="311">
        <f>T171/S171-1</f>
        <v>6.6404417820906225E-2</v>
      </c>
      <c r="U172" s="311">
        <f t="shared" si="300"/>
        <v>4.2679245447678538E-2</v>
      </c>
      <c r="V172" s="311">
        <f t="shared" si="300"/>
        <v>0.12922576950812625</v>
      </c>
      <c r="W172" s="311">
        <f t="shared" si="300"/>
        <v>-4.6459760005026052E-2</v>
      </c>
      <c r="X172" s="311">
        <f t="shared" si="300"/>
        <v>-6.4799868225992374E-2</v>
      </c>
      <c r="Y172" s="311">
        <f t="shared" si="300"/>
        <v>-0.10226292799774561</v>
      </c>
      <c r="Z172" s="311">
        <f t="shared" si="300"/>
        <v>-4.6345703505126123E-2</v>
      </c>
      <c r="AA172" s="311">
        <f t="shared" si="300"/>
        <v>4.5657632824598338E-2</v>
      </c>
      <c r="AB172" s="311">
        <f t="shared" si="300"/>
        <v>5.9122496894374876E-3</v>
      </c>
      <c r="AC172" s="312">
        <f t="shared" ref="AC172:AI172" si="301">AC171/AB171-1</f>
        <v>1.749745871584496E-3</v>
      </c>
      <c r="AD172" s="312">
        <f t="shared" si="301"/>
        <v>3.204951577888604E-2</v>
      </c>
      <c r="AE172" s="312">
        <f t="shared" si="301"/>
        <v>2.2314876781542203E-2</v>
      </c>
      <c r="AF172" s="312">
        <f t="shared" si="301"/>
        <v>2.5769560355174193E-2</v>
      </c>
      <c r="AG172" s="312">
        <f t="shared" si="301"/>
        <v>2.9328928590850012E-2</v>
      </c>
      <c r="AH172" s="312">
        <f t="shared" si="301"/>
        <v>3.2763540816757919E-2</v>
      </c>
      <c r="AI172" s="312">
        <f t="shared" si="301"/>
        <v>3.6145809112377414E-2</v>
      </c>
      <c r="AJ172" s="312">
        <f t="shared" ref="AJ172" si="302">AJ171/AI171-1</f>
        <v>4.1591293017136266E-2</v>
      </c>
      <c r="AK172" s="312">
        <f t="shared" ref="AK172:AL172" si="303">AK171/AJ171-1</f>
        <v>4.4816138063269895E-2</v>
      </c>
      <c r="AL172" s="312">
        <f t="shared" si="303"/>
        <v>4.3379402491615204E-2</v>
      </c>
      <c r="AP172" s="312"/>
      <c r="AQ172" s="312"/>
      <c r="AR172" s="312">
        <f>V172</f>
        <v>0.12922576950812625</v>
      </c>
      <c r="AS172" s="312">
        <f>AS170/AP170-1</f>
        <v>-0.23388116308470286</v>
      </c>
      <c r="AT172" s="312">
        <f>AT170/AQ170-1</f>
        <v>-5.3153791637136738E-2</v>
      </c>
      <c r="AU172" s="312">
        <f>W172</f>
        <v>-4.6459760005026052E-2</v>
      </c>
      <c r="AV172" s="312">
        <f>AV170/AS170-1</f>
        <v>3.0528052805280481E-2</v>
      </c>
      <c r="AW172" s="312">
        <f>AW170/AT170-1</f>
        <v>-0.10029940119760483</v>
      </c>
      <c r="AX172" s="312">
        <f>X172</f>
        <v>-6.4799868225992374E-2</v>
      </c>
      <c r="AY172" s="312">
        <f>AY170/AV170-1</f>
        <v>0</v>
      </c>
      <c r="AZ172" s="312">
        <f>AZ170/AW170-1</f>
        <v>-8.1564059900166352E-2</v>
      </c>
      <c r="BA172" s="312">
        <f>Y172</f>
        <v>-0.10226292799774561</v>
      </c>
      <c r="BB172" s="312">
        <f>BB170/AY170-1</f>
        <v>0</v>
      </c>
      <c r="BC172" s="312">
        <f>BC170/AZ170-1</f>
        <v>-0.2456715654915036</v>
      </c>
      <c r="BD172" s="312">
        <f>AB172</f>
        <v>5.9122496894374876E-3</v>
      </c>
      <c r="BE172" s="312">
        <f>BE170/BB170-1</f>
        <v>0</v>
      </c>
      <c r="BF172" s="312">
        <f>BF170/BC170-1</f>
        <v>0.10416053096803357</v>
      </c>
      <c r="BG172" s="312">
        <f t="shared" si="295"/>
        <v>4.5657632824598338E-2</v>
      </c>
      <c r="BH172" s="312">
        <f t="shared" si="295"/>
        <v>5.9122496894374876E-3</v>
      </c>
      <c r="BI172" s="312">
        <f t="shared" si="295"/>
        <v>1.749745871584496E-3</v>
      </c>
      <c r="BJ172" s="312">
        <f t="shared" si="295"/>
        <v>3.204951577888604E-2</v>
      </c>
      <c r="BK172" s="312">
        <f t="shared" si="295"/>
        <v>2.2314876781542203E-2</v>
      </c>
      <c r="BL172" s="312">
        <f t="shared" si="295"/>
        <v>2.5769560355174193E-2</v>
      </c>
      <c r="BM172" s="312">
        <f t="shared" si="295"/>
        <v>2.9328928590850012E-2</v>
      </c>
      <c r="BN172" s="312">
        <f t="shared" si="295"/>
        <v>3.2763540816757919E-2</v>
      </c>
    </row>
    <row r="173" spans="1:66" hidden="1" outlineLevel="1">
      <c r="A173" s="2"/>
      <c r="B173" s="113"/>
      <c r="C173" s="18"/>
      <c r="D173" s="31"/>
      <c r="E173" s="31"/>
      <c r="F173" s="31"/>
      <c r="G173" s="31"/>
      <c r="H173" s="31"/>
      <c r="I173" s="31"/>
      <c r="J173" s="31"/>
      <c r="K173" s="134"/>
      <c r="L173" s="134"/>
      <c r="M173" s="134"/>
      <c r="N173" s="134"/>
      <c r="O173" s="134"/>
      <c r="P173" s="134"/>
      <c r="Q173" s="134"/>
      <c r="R173" s="134"/>
      <c r="S173" s="963"/>
      <c r="T173" s="963"/>
      <c r="U173" s="963"/>
      <c r="V173" s="963"/>
      <c r="W173" s="963"/>
      <c r="X173" s="963"/>
      <c r="Y173" s="134"/>
      <c r="Z173" s="134"/>
      <c r="AA173" s="134"/>
      <c r="AB173" s="134"/>
      <c r="AC173" s="2"/>
      <c r="AD173" s="2"/>
      <c r="AE173" s="2"/>
      <c r="AF173" s="2"/>
      <c r="AG173" s="2"/>
      <c r="AH173" s="2"/>
      <c r="AI173" s="2"/>
      <c r="AJ173" s="2"/>
      <c r="AK173" s="2"/>
      <c r="AL173" s="2"/>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row>
    <row r="174" spans="1:66" hidden="1" outlineLevel="1">
      <c r="A174" s="2"/>
      <c r="B174" s="36"/>
      <c r="C174" s="18"/>
      <c r="D174" s="7"/>
      <c r="E174" s="7"/>
      <c r="F174" s="7"/>
      <c r="G174" s="149"/>
      <c r="H174" s="7"/>
      <c r="I174" s="7"/>
      <c r="J174" s="928"/>
      <c r="K174" s="29"/>
      <c r="L174" s="42"/>
      <c r="M174" s="29"/>
      <c r="N174" s="29"/>
      <c r="O174" s="29"/>
      <c r="P174" s="29"/>
      <c r="Q174" s="29"/>
      <c r="R174" s="56"/>
      <c r="S174" s="56"/>
      <c r="T174" s="56"/>
      <c r="U174" s="56"/>
      <c r="V174" s="56"/>
      <c r="W174" s="56"/>
      <c r="X174" s="56"/>
      <c r="Y174" s="56"/>
      <c r="Z174" s="56"/>
      <c r="AA174" s="56"/>
      <c r="AB174" s="56"/>
      <c r="AC174" s="2"/>
      <c r="AD174" s="2"/>
      <c r="AE174" s="2"/>
      <c r="AF174" s="2"/>
      <c r="AG174" s="2"/>
      <c r="AH174" s="2"/>
      <c r="AI174" s="2"/>
      <c r="AJ174" s="2"/>
      <c r="AK174" s="2"/>
      <c r="AL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row>
    <row r="175" spans="1:66" hidden="1" outlineLevel="1">
      <c r="A175" s="6"/>
      <c r="B175" s="9" t="s">
        <v>1199</v>
      </c>
      <c r="C175" s="21"/>
      <c r="D175" s="7"/>
      <c r="E175" s="7"/>
      <c r="F175" s="149"/>
      <c r="G175" s="7"/>
      <c r="H175" s="7"/>
      <c r="I175" s="31"/>
      <c r="J175" s="31"/>
      <c r="K175" s="31"/>
      <c r="L175" s="42"/>
      <c r="M175" s="31"/>
      <c r="N175" s="34"/>
      <c r="O175" s="117"/>
      <c r="P175" s="56"/>
      <c r="Q175" s="56"/>
      <c r="R175" s="964"/>
      <c r="S175" s="56"/>
      <c r="T175" s="964"/>
      <c r="U175" s="964"/>
      <c r="V175" s="964"/>
      <c r="W175" s="964"/>
      <c r="X175" s="964"/>
      <c r="Y175" s="964"/>
      <c r="Z175" s="964"/>
      <c r="AA175" s="964"/>
      <c r="AB175" s="964"/>
      <c r="AC175" s="80"/>
      <c r="AD175" s="80"/>
      <c r="AE175" s="80"/>
      <c r="AF175" s="80"/>
      <c r="AG175" s="80"/>
      <c r="AH175" s="80"/>
      <c r="AI175" s="80"/>
      <c r="AJ175" s="80"/>
      <c r="AK175" s="80"/>
      <c r="AL175" s="80"/>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row>
    <row r="176" spans="1:66" hidden="1" outlineLevel="1">
      <c r="A176" s="55"/>
      <c r="B176" s="73" t="s">
        <v>266</v>
      </c>
      <c r="C176" s="18" t="s">
        <v>732</v>
      </c>
      <c r="D176" s="452">
        <f>'Cost + BS Assumptions'!D368</f>
        <v>0</v>
      </c>
      <c r="E176" s="452">
        <f>'Cost + BS Assumptions'!E368</f>
        <v>0</v>
      </c>
      <c r="F176" s="452">
        <f>'Cost + BS Assumptions'!F368</f>
        <v>0</v>
      </c>
      <c r="G176" s="452">
        <f>'Cost + BS Assumptions'!G368</f>
        <v>0</v>
      </c>
      <c r="H176" s="452">
        <f>'Cost + BS Assumptions'!H368</f>
        <v>0</v>
      </c>
      <c r="I176" s="452">
        <f>'Cost + BS Assumptions'!I368</f>
        <v>1406.2724759999999</v>
      </c>
      <c r="J176" s="452">
        <f>'Cost + BS Assumptions'!J368</f>
        <v>1495.9219320000002</v>
      </c>
      <c r="K176" s="452">
        <f>'Cost + BS Assumptions'!K368</f>
        <v>1704.8302799999997</v>
      </c>
      <c r="L176" s="452">
        <f>'Cost + BS Assumptions'!L368</f>
        <v>1909.6442040000002</v>
      </c>
      <c r="M176" s="452">
        <f>'Cost + BS Assumptions'!M368</f>
        <v>2319.48</v>
      </c>
      <c r="N176" s="452">
        <f>'Cost + BS Assumptions'!N368</f>
        <v>2540.6499999999996</v>
      </c>
      <c r="O176" s="451">
        <f>'Cost + BS Assumptions'!O368</f>
        <v>2556.48</v>
      </c>
      <c r="P176" s="451">
        <f>'Cost + BS Assumptions'!P368</f>
        <v>3120.48</v>
      </c>
      <c r="Q176" s="451">
        <f>'Cost + BS Assumptions'!Q368</f>
        <v>3491.06</v>
      </c>
      <c r="R176" s="451">
        <f>'Cost + BS Assumptions'!R368</f>
        <v>3861.6000000000004</v>
      </c>
      <c r="S176" s="451">
        <f>'Cost + BS Assumptions'!S368</f>
        <v>4254</v>
      </c>
      <c r="T176" s="451">
        <f>'Cost + BS Assumptions'!T368</f>
        <v>4377.66</v>
      </c>
      <c r="U176" s="451">
        <f>'Cost + BS Assumptions'!U368</f>
        <v>4312.62</v>
      </c>
      <c r="V176" s="451">
        <f>'Cost + BS Assumptions'!V368</f>
        <v>3921</v>
      </c>
      <c r="W176" s="451">
        <f>'Cost + BS Assumptions'!W368</f>
        <v>3752</v>
      </c>
      <c r="X176" s="451">
        <f>'Cost + BS Assumptions'!X368</f>
        <v>3500</v>
      </c>
      <c r="Y176" s="451">
        <f>'Cost + BS Assumptions'!Y368</f>
        <v>3216.683119447187</v>
      </c>
      <c r="Z176" s="451">
        <f>'Cost + BS Assumptions'!Z368</f>
        <v>3271.9644619940773</v>
      </c>
      <c r="AA176" s="451">
        <f>'Cost + BS Assumptions'!AA368</f>
        <v>3569.8700740375125</v>
      </c>
      <c r="AB176" s="451">
        <f>'Cost + BS Assumptions'!AB368</f>
        <v>3758.1509674234949</v>
      </c>
      <c r="AC176" s="466">
        <f>'Cost + BS Assumptions'!AC368</f>
        <v>3888.3874259624881</v>
      </c>
      <c r="AD176" s="466">
        <f>'Cost + BS Assumptions'!AD368</f>
        <v>4095.6194457993683</v>
      </c>
      <c r="AE176" s="466">
        <f>'Cost + BS Assumptions'!AE368</f>
        <v>4312.1014123148998</v>
      </c>
      <c r="AF176" s="466">
        <f>'Cost + BS Assumptions'!AF368</f>
        <v>4512.8324419199898</v>
      </c>
      <c r="AG176" s="466">
        <f>'Cost + BS Assumptions'!AG368</f>
        <v>4727.7578747431407</v>
      </c>
      <c r="AH176" s="466">
        <f>'Cost + BS Assumptions'!AH368</f>
        <v>4958.069257113094</v>
      </c>
      <c r="AI176" s="466">
        <f>'Cost + BS Assumptions'!AI368</f>
        <v>5205.0880337462922</v>
      </c>
      <c r="AJ176" s="466">
        <f>'Cost + BS Assumptions'!AJ368</f>
        <v>5470.281102595819</v>
      </c>
      <c r="AK176" s="466">
        <f>'Cost + BS Assumptions'!AK368</f>
        <v>5755.2783810337796</v>
      </c>
      <c r="AL176" s="466">
        <f>'Cost + BS Assumptions'!AL368</f>
        <v>6061.8926527405138</v>
      </c>
      <c r="AP176" s="615">
        <v>2028</v>
      </c>
      <c r="AQ176" s="254">
        <f t="shared" ref="AQ176:AQ183" si="304">+AR176-AP176</f>
        <v>1893</v>
      </c>
      <c r="AR176" s="254">
        <f t="shared" ref="AR176:AR187" si="305">V176</f>
        <v>3921</v>
      </c>
      <c r="AS176" s="615">
        <v>1937</v>
      </c>
      <c r="AT176" s="254">
        <f t="shared" ref="AT176:AT183" si="306">+AU176-AS176</f>
        <v>1815</v>
      </c>
      <c r="AU176" s="254">
        <f t="shared" ref="AU176:AU187" si="307">W176</f>
        <v>3752</v>
      </c>
      <c r="AV176" s="615">
        <v>1890</v>
      </c>
      <c r="AW176" s="254">
        <f t="shared" ref="AW176:AW183" si="308">+AX176-AV176</f>
        <v>1610</v>
      </c>
      <c r="AX176" s="254">
        <f t="shared" ref="AX176:AX187" si="309">X176</f>
        <v>3500</v>
      </c>
      <c r="AY176" s="961">
        <v>1890</v>
      </c>
      <c r="AZ176" s="254">
        <f t="shared" ref="AZ176:AZ183" si="310">+BA176-AY176</f>
        <v>1326.683119447187</v>
      </c>
      <c r="BA176" s="254">
        <f t="shared" ref="BA176:BA187" si="311">Y176</f>
        <v>3216.683119447187</v>
      </c>
      <c r="BB176" s="961">
        <v>1890</v>
      </c>
      <c r="BC176" s="254">
        <f t="shared" ref="BC176:BC183" si="312">+BD176-BB176</f>
        <v>1868.1509674234949</v>
      </c>
      <c r="BD176" s="254">
        <f t="shared" ref="BD176:BD187" si="313">AB176</f>
        <v>3758.1509674234949</v>
      </c>
      <c r="BE176" s="961">
        <v>1890</v>
      </c>
      <c r="BF176" s="254">
        <f t="shared" ref="BF176:BF183" si="314">+BG176-BE176</f>
        <v>1679.8700740375125</v>
      </c>
      <c r="BG176" s="254">
        <f t="shared" ref="BG176:BG187" si="315">AA176</f>
        <v>3569.8700740375125</v>
      </c>
      <c r="BH176" s="254">
        <f t="shared" ref="BH176:BH187" si="316">AB176</f>
        <v>3758.1509674234949</v>
      </c>
      <c r="BI176" s="254">
        <f t="shared" ref="BI176:BI187" si="317">AC176</f>
        <v>3888.3874259624881</v>
      </c>
      <c r="BJ176" s="254">
        <f t="shared" ref="BJ176:BJ187" si="318">AD176</f>
        <v>4095.6194457993683</v>
      </c>
      <c r="BK176" s="254">
        <f t="shared" ref="BK176:BK187" si="319">AE176</f>
        <v>4312.1014123148998</v>
      </c>
      <c r="BL176" s="254">
        <f t="shared" ref="BL176:BL187" si="320">AF176</f>
        <v>4512.8324419199898</v>
      </c>
      <c r="BM176" s="254">
        <f t="shared" ref="BM176:BM187" si="321">AG176</f>
        <v>4727.7578747431407</v>
      </c>
      <c r="BN176" s="254">
        <f t="shared" ref="BN176:BN187" si="322">AH176</f>
        <v>4958.069257113094</v>
      </c>
    </row>
    <row r="177" spans="1:66" hidden="1" outlineLevel="1">
      <c r="A177" s="55"/>
      <c r="B177" s="73" t="s">
        <v>1028</v>
      </c>
      <c r="C177" s="18" t="s">
        <v>732</v>
      </c>
      <c r="D177" s="56"/>
      <c r="E177" s="56"/>
      <c r="F177" s="56"/>
      <c r="G177" s="56"/>
      <c r="H177" s="56"/>
      <c r="I177" s="56"/>
      <c r="J177" s="56"/>
      <c r="K177" s="56"/>
      <c r="L177" s="56"/>
      <c r="M177" s="56"/>
      <c r="N177" s="452">
        <f>'Cost + BS Assumptions'!N385+'Cost + BS Assumptions'!N386+'Cost + BS Assumptions'!N387+'Cost + BS Assumptions'!N388</f>
        <v>4305.6000000000004</v>
      </c>
      <c r="O177" s="451">
        <f>'Cost + BS Assumptions'!O385+'Cost + BS Assumptions'!O386+'Cost + BS Assumptions'!O387+'Cost + BS Assumptions'!O388</f>
        <v>3805.85</v>
      </c>
      <c r="P177" s="451">
        <f>'Cost + BS Assumptions'!P385+'Cost + BS Assumptions'!P386+'Cost + BS Assumptions'!P387+'Cost + BS Assumptions'!P388</f>
        <v>3635.4363360000002</v>
      </c>
      <c r="Q177" s="451">
        <f>'Cost + BS Assumptions'!Q385+'Cost + BS Assumptions'!Q386+'Cost + BS Assumptions'!Q387+'Cost + BS Assumptions'!Q388</f>
        <v>3622.7794638</v>
      </c>
      <c r="R177" s="451">
        <f>'Cost + BS Assumptions'!R385+'Cost + BS Assumptions'!R386+'Cost + BS Assumptions'!R387+'Cost + BS Assumptions'!R388</f>
        <v>3396.4180144000002</v>
      </c>
      <c r="S177" s="451">
        <f>'Cost + BS Assumptions'!S385+'Cost + BS Assumptions'!S386+'Cost + BS Assumptions'!S387+'Cost + BS Assumptions'!S388</f>
        <v>3035.8913063157897</v>
      </c>
      <c r="T177" s="451">
        <f>'Cost + BS Assumptions'!T385+'Cost + BS Assumptions'!T386+'Cost + BS Assumptions'!T387+'Cost + BS Assumptions'!T388</f>
        <v>3307</v>
      </c>
      <c r="U177" s="451">
        <f>'Cost + BS Assumptions'!U385+'Cost + BS Assumptions'!U386+'Cost + BS Assumptions'!U387+'Cost + BS Assumptions'!U388</f>
        <v>2863</v>
      </c>
      <c r="V177" s="451">
        <f>'Cost + BS Assumptions'!V369</f>
        <v>2042</v>
      </c>
      <c r="W177" s="451">
        <f>'Cost + BS Assumptions'!W369</f>
        <v>1536</v>
      </c>
      <c r="X177" s="451">
        <f>'Cost + BS Assumptions'!X369</f>
        <v>663</v>
      </c>
      <c r="Y177" s="451">
        <f>'Cost + BS Assumptions'!Y369</f>
        <v>404.47780503396245</v>
      </c>
      <c r="Z177" s="451">
        <f>'Cost + BS Assumptions'!Z369</f>
        <v>418.06321191286486</v>
      </c>
      <c r="AA177" s="451">
        <f>'Cost + BS Assumptions'!AA369</f>
        <v>432.84346370783692</v>
      </c>
      <c r="AB177" s="451">
        <f>'Cost + BS Assumptions'!AB369</f>
        <v>416.23580455826504</v>
      </c>
      <c r="AC177" s="466">
        <f>'Cost + BS Assumptions'!AC369</f>
        <v>402.00717727548778</v>
      </c>
      <c r="AD177" s="466">
        <f>'Cost + BS Assumptions'!AD369</f>
        <v>389.44277853993088</v>
      </c>
      <c r="AE177" s="466">
        <f>'Cost + BS Assumptions'!AE369</f>
        <v>378.06509821112326</v>
      </c>
      <c r="AF177" s="466">
        <f>'Cost + BS Assumptions'!AF369</f>
        <v>367.55443948949573</v>
      </c>
      <c r="AG177" s="466">
        <f>'Cost + BS Assumptions'!AG369</f>
        <v>357.69608302059652</v>
      </c>
      <c r="AH177" s="466">
        <f>'Cost + BS Assumptions'!AH369</f>
        <v>348.34516228803568</v>
      </c>
      <c r="AI177" s="466">
        <f>'Cost + BS Assumptions'!AI369</f>
        <v>339.40331243942268</v>
      </c>
      <c r="AJ177" s="466">
        <f>'Cost + BS Assumptions'!AJ369</f>
        <v>339.40331243942268</v>
      </c>
      <c r="AK177" s="466">
        <f>'Cost + BS Assumptions'!AK369</f>
        <v>339.40331243942268</v>
      </c>
      <c r="AL177" s="466">
        <f>'Cost + BS Assumptions'!AL369</f>
        <v>339.40331243942268</v>
      </c>
      <c r="AP177" s="615">
        <v>1061</v>
      </c>
      <c r="AQ177" s="254">
        <f t="shared" si="304"/>
        <v>981</v>
      </c>
      <c r="AR177" s="254">
        <f t="shared" si="305"/>
        <v>2042</v>
      </c>
      <c r="AS177" s="615">
        <v>862</v>
      </c>
      <c r="AT177" s="254">
        <f t="shared" si="306"/>
        <v>674</v>
      </c>
      <c r="AU177" s="254">
        <f t="shared" si="307"/>
        <v>1536</v>
      </c>
      <c r="AV177" s="615">
        <v>419</v>
      </c>
      <c r="AW177" s="254">
        <f t="shared" si="308"/>
        <v>244</v>
      </c>
      <c r="AX177" s="254">
        <f t="shared" si="309"/>
        <v>663</v>
      </c>
      <c r="AY177" s="961">
        <v>419</v>
      </c>
      <c r="AZ177" s="254">
        <f t="shared" si="310"/>
        <v>-14.522194966037546</v>
      </c>
      <c r="BA177" s="254">
        <f t="shared" si="311"/>
        <v>404.47780503396245</v>
      </c>
      <c r="BB177" s="961">
        <v>419</v>
      </c>
      <c r="BC177" s="254">
        <f t="shared" si="312"/>
        <v>-2.7641954417349552</v>
      </c>
      <c r="BD177" s="254">
        <f t="shared" si="313"/>
        <v>416.23580455826504</v>
      </c>
      <c r="BE177" s="961">
        <v>419</v>
      </c>
      <c r="BF177" s="254">
        <f t="shared" si="314"/>
        <v>13.843463707836918</v>
      </c>
      <c r="BG177" s="254">
        <f t="shared" si="315"/>
        <v>432.84346370783692</v>
      </c>
      <c r="BH177" s="254">
        <f t="shared" si="316"/>
        <v>416.23580455826504</v>
      </c>
      <c r="BI177" s="254">
        <f t="shared" si="317"/>
        <v>402.00717727548778</v>
      </c>
      <c r="BJ177" s="254">
        <f t="shared" si="318"/>
        <v>389.44277853993088</v>
      </c>
      <c r="BK177" s="254">
        <f t="shared" si="319"/>
        <v>378.06509821112326</v>
      </c>
      <c r="BL177" s="254">
        <f t="shared" si="320"/>
        <v>367.55443948949573</v>
      </c>
      <c r="BM177" s="254">
        <f t="shared" si="321"/>
        <v>357.69608302059652</v>
      </c>
      <c r="BN177" s="254">
        <f t="shared" si="322"/>
        <v>348.34516228803568</v>
      </c>
    </row>
    <row r="178" spans="1:66" hidden="1" outlineLevel="1">
      <c r="A178" s="55"/>
      <c r="B178" s="73" t="s">
        <v>1029</v>
      </c>
      <c r="C178" s="18" t="s">
        <v>732</v>
      </c>
      <c r="D178" s="56"/>
      <c r="E178" s="56"/>
      <c r="F178" s="56"/>
      <c r="G178" s="56"/>
      <c r="H178" s="56"/>
      <c r="I178" s="56"/>
      <c r="J178" s="56"/>
      <c r="K178" s="56"/>
      <c r="L178" s="56"/>
      <c r="M178" s="56"/>
      <c r="N178" s="56"/>
      <c r="O178" s="247"/>
      <c r="P178" s="247"/>
      <c r="Q178" s="247"/>
      <c r="R178" s="248"/>
      <c r="S178" s="248"/>
      <c r="T178" s="451">
        <f>'Cost + BS Assumptions'!T370</f>
        <v>349</v>
      </c>
      <c r="U178" s="451">
        <f>'Cost + BS Assumptions'!U370</f>
        <v>420</v>
      </c>
      <c r="V178" s="451">
        <f>'Cost + BS Assumptions'!V370</f>
        <v>579</v>
      </c>
      <c r="W178" s="451">
        <f>'Cost + BS Assumptions'!W370</f>
        <v>731</v>
      </c>
      <c r="X178" s="451">
        <f>'Cost + BS Assumptions'!X370</f>
        <v>820</v>
      </c>
      <c r="Y178" s="451">
        <f>'Cost + BS Assumptions'!Y370</f>
        <v>844.44</v>
      </c>
      <c r="Z178" s="451">
        <f>'Cost + BS Assumptions'!Z370</f>
        <v>864.90000000000009</v>
      </c>
      <c r="AA178" s="451">
        <f>'Cost + BS Assumptions'!AA370</f>
        <v>895.86639600000024</v>
      </c>
      <c r="AB178" s="451">
        <f>'Cost + BS Assumptions'!AB370</f>
        <v>922.74238788000014</v>
      </c>
      <c r="AC178" s="466">
        <f>'Cost + BS Assumptions'!AC370</f>
        <v>1024.8600000000001</v>
      </c>
      <c r="AD178" s="466">
        <f>'Cost + BS Assumptions'!AD370</f>
        <v>1055.6058000000003</v>
      </c>
      <c r="AE178" s="466">
        <f>'Cost + BS Assumptions'!AE370</f>
        <v>1087.2739740000002</v>
      </c>
      <c r="AF178" s="466">
        <f>'Cost + BS Assumptions'!AF370</f>
        <v>1119.8921932200003</v>
      </c>
      <c r="AG178" s="466">
        <f>'Cost + BS Assumptions'!AG370</f>
        <v>1153.4889590166003</v>
      </c>
      <c r="AH178" s="466">
        <f>'Cost + BS Assumptions'!AH370</f>
        <v>1188.0936277870983</v>
      </c>
      <c r="AI178" s="466">
        <f>'Cost + BS Assumptions'!AI370</f>
        <v>1223.7364366207114</v>
      </c>
      <c r="AJ178" s="466">
        <f>'Cost + BS Assumptions'!AJ370</f>
        <v>1260.4485297193326</v>
      </c>
      <c r="AK178" s="466">
        <f>'Cost + BS Assumptions'!AK370</f>
        <v>1298.2619856109127</v>
      </c>
      <c r="AL178" s="466">
        <f>'Cost + BS Assumptions'!AL370</f>
        <v>0</v>
      </c>
      <c r="AP178" s="615">
        <v>270</v>
      </c>
      <c r="AQ178" s="254">
        <f t="shared" si="304"/>
        <v>309</v>
      </c>
      <c r="AR178" s="254">
        <f t="shared" si="305"/>
        <v>579</v>
      </c>
      <c r="AS178" s="615">
        <v>345</v>
      </c>
      <c r="AT178" s="254">
        <f t="shared" si="306"/>
        <v>386</v>
      </c>
      <c r="AU178" s="254">
        <f t="shared" si="307"/>
        <v>731</v>
      </c>
      <c r="AV178" s="615">
        <v>405</v>
      </c>
      <c r="AW178" s="254">
        <f t="shared" si="308"/>
        <v>415</v>
      </c>
      <c r="AX178" s="254">
        <f t="shared" si="309"/>
        <v>820</v>
      </c>
      <c r="AY178" s="961">
        <v>405</v>
      </c>
      <c r="AZ178" s="254">
        <f t="shared" si="310"/>
        <v>439.44000000000005</v>
      </c>
      <c r="BA178" s="254">
        <f t="shared" si="311"/>
        <v>844.44</v>
      </c>
      <c r="BB178" s="961">
        <v>405</v>
      </c>
      <c r="BC178" s="254">
        <f t="shared" si="312"/>
        <v>517.74238788000014</v>
      </c>
      <c r="BD178" s="254">
        <f t="shared" si="313"/>
        <v>922.74238788000014</v>
      </c>
      <c r="BE178" s="961">
        <v>405</v>
      </c>
      <c r="BF178" s="254">
        <f t="shared" si="314"/>
        <v>490.86639600000024</v>
      </c>
      <c r="BG178" s="254">
        <f t="shared" si="315"/>
        <v>895.86639600000024</v>
      </c>
      <c r="BH178" s="254">
        <f t="shared" si="316"/>
        <v>922.74238788000014</v>
      </c>
      <c r="BI178" s="254">
        <f t="shared" si="317"/>
        <v>1024.8600000000001</v>
      </c>
      <c r="BJ178" s="254">
        <f t="shared" si="318"/>
        <v>1055.6058000000003</v>
      </c>
      <c r="BK178" s="254">
        <f t="shared" si="319"/>
        <v>1087.2739740000002</v>
      </c>
      <c r="BL178" s="254">
        <f t="shared" si="320"/>
        <v>1119.8921932200003</v>
      </c>
      <c r="BM178" s="254">
        <f t="shared" si="321"/>
        <v>1153.4889590166003</v>
      </c>
      <c r="BN178" s="254">
        <f t="shared" si="322"/>
        <v>1188.0936277870983</v>
      </c>
    </row>
    <row r="179" spans="1:66" hidden="1" outlineLevel="1">
      <c r="A179" s="55"/>
      <c r="B179" s="73" t="s">
        <v>1042</v>
      </c>
      <c r="C179" s="18" t="s">
        <v>732</v>
      </c>
      <c r="D179" s="452">
        <f>'Cost + BS Assumptions'!D371</f>
        <v>0</v>
      </c>
      <c r="E179" s="452">
        <f>'Cost + BS Assumptions'!E371</f>
        <v>0</v>
      </c>
      <c r="F179" s="452">
        <f>'Cost + BS Assumptions'!F371</f>
        <v>0</v>
      </c>
      <c r="G179" s="452">
        <f>'Cost + BS Assumptions'!G371</f>
        <v>0</v>
      </c>
      <c r="H179" s="452">
        <f>'Cost + BS Assumptions'!H371</f>
        <v>0</v>
      </c>
      <c r="I179" s="452">
        <f>'Cost + BS Assumptions'!I371</f>
        <v>761.4</v>
      </c>
      <c r="J179" s="452">
        <f>'Cost + BS Assumptions'!J371</f>
        <v>760.8</v>
      </c>
      <c r="K179" s="452">
        <f>'Cost + BS Assumptions'!K371</f>
        <v>758.69999999999993</v>
      </c>
      <c r="L179" s="452">
        <f>'Cost + BS Assumptions'!L371</f>
        <v>1759.45</v>
      </c>
      <c r="M179" s="452">
        <f>'Cost + BS Assumptions'!M371</f>
        <v>1847.4877443609021</v>
      </c>
      <c r="N179" s="452">
        <f>'Cost + BS Assumptions'!N371</f>
        <v>1978.3287297190343</v>
      </c>
      <c r="O179" s="451">
        <f>'Cost + BS Assumptions'!O371</f>
        <v>1919.650688563514</v>
      </c>
      <c r="P179" s="451">
        <f>'Cost + BS Assumptions'!P371</f>
        <v>1998.0800000000002</v>
      </c>
      <c r="Q179" s="451">
        <f>'Cost + BS Assumptions'!Q371</f>
        <v>1976.65</v>
      </c>
      <c r="R179" s="451">
        <f>'Cost + BS Assumptions'!R371</f>
        <v>1929.2</v>
      </c>
      <c r="S179" s="451">
        <f>'Cost + BS Assumptions'!S371</f>
        <v>1845.1200000000001</v>
      </c>
      <c r="T179" s="451">
        <f>'Cost + BS Assumptions'!T371</f>
        <v>1752.2825999999998</v>
      </c>
      <c r="U179" s="451">
        <f>'Cost + BS Assumptions'!U371</f>
        <v>1586.424</v>
      </c>
      <c r="V179" s="451">
        <f>'Cost + BS Assumptions'!V371</f>
        <v>1642</v>
      </c>
      <c r="W179" s="451">
        <f>'Cost + BS Assumptions'!W371</f>
        <v>1546</v>
      </c>
      <c r="X179" s="451">
        <f>'Cost + BS Assumptions'!X371</f>
        <v>1276</v>
      </c>
      <c r="Y179" s="451">
        <f>'Cost + BS Assumptions'!Y371</f>
        <v>2293.2870963905852</v>
      </c>
      <c r="Z179" s="451">
        <f>'Cost + BS Assumptions'!Z371</f>
        <v>2217.3752612139419</v>
      </c>
      <c r="AA179" s="451">
        <f>'Cost + BS Assumptions'!AA371</f>
        <v>2114.2041463738915</v>
      </c>
      <c r="AB179" s="451">
        <f>'Cost + BS Assumptions'!AB371</f>
        <v>2067.7390585596459</v>
      </c>
      <c r="AC179" s="466">
        <f>'Cost + BS Assumptions'!AC371</f>
        <v>2029.712438321706</v>
      </c>
      <c r="AD179" s="466">
        <f>'Cost + BS Assumptions'!AD371</f>
        <v>1996.792871497174</v>
      </c>
      <c r="AE179" s="466">
        <f>'Cost + BS Assumptions'!AE371</f>
        <v>1968.4001195453634</v>
      </c>
      <c r="AF179" s="466">
        <f>'Cost + BS Assumptions'!AF371</f>
        <v>1944.0329972163238</v>
      </c>
      <c r="AG179" s="466">
        <f>'Cost + BS Assumptions'!AG371</f>
        <v>1923.2581305126298</v>
      </c>
      <c r="AH179" s="466">
        <f>'Cost + BS Assumptions'!AH371</f>
        <v>1905.7003571938242</v>
      </c>
      <c r="AI179" s="466">
        <f>'Cost + BS Assumptions'!AI371</f>
        <v>1891.0345268990568</v>
      </c>
      <c r="AJ179" s="466">
        <f>'Cost + BS Assumptions'!AJ371</f>
        <v>1891.0345268990568</v>
      </c>
      <c r="AK179" s="466">
        <f>'Cost + BS Assumptions'!AK371</f>
        <v>1891.0345268990568</v>
      </c>
      <c r="AL179" s="466">
        <f>'Cost + BS Assumptions'!AL371</f>
        <v>1891.0345268990568</v>
      </c>
      <c r="AP179" s="615">
        <v>828</v>
      </c>
      <c r="AQ179" s="254">
        <f t="shared" si="304"/>
        <v>814</v>
      </c>
      <c r="AR179" s="254">
        <f t="shared" si="305"/>
        <v>1642</v>
      </c>
      <c r="AS179" s="615">
        <v>808</v>
      </c>
      <c r="AT179" s="254">
        <f t="shared" si="306"/>
        <v>738</v>
      </c>
      <c r="AU179" s="254">
        <f t="shared" si="307"/>
        <v>1546</v>
      </c>
      <c r="AV179" s="615">
        <v>647</v>
      </c>
      <c r="AW179" s="254">
        <f t="shared" si="308"/>
        <v>629</v>
      </c>
      <c r="AX179" s="254">
        <f t="shared" si="309"/>
        <v>1276</v>
      </c>
      <c r="AY179" s="961">
        <v>647</v>
      </c>
      <c r="AZ179" s="254">
        <f t="shared" si="310"/>
        <v>1646.2870963905852</v>
      </c>
      <c r="BA179" s="254">
        <f t="shared" si="311"/>
        <v>2293.2870963905852</v>
      </c>
      <c r="BB179" s="961">
        <v>647</v>
      </c>
      <c r="BC179" s="254">
        <f t="shared" si="312"/>
        <v>1420.7390585596459</v>
      </c>
      <c r="BD179" s="254">
        <f t="shared" si="313"/>
        <v>2067.7390585596459</v>
      </c>
      <c r="BE179" s="961">
        <v>647</v>
      </c>
      <c r="BF179" s="254">
        <f t="shared" si="314"/>
        <v>1467.2041463738915</v>
      </c>
      <c r="BG179" s="254">
        <f t="shared" si="315"/>
        <v>2114.2041463738915</v>
      </c>
      <c r="BH179" s="254">
        <f t="shared" si="316"/>
        <v>2067.7390585596459</v>
      </c>
      <c r="BI179" s="254">
        <f t="shared" si="317"/>
        <v>2029.712438321706</v>
      </c>
      <c r="BJ179" s="254">
        <f t="shared" si="318"/>
        <v>1996.792871497174</v>
      </c>
      <c r="BK179" s="254">
        <f t="shared" si="319"/>
        <v>1968.4001195453634</v>
      </c>
      <c r="BL179" s="254">
        <f t="shared" si="320"/>
        <v>1944.0329972163238</v>
      </c>
      <c r="BM179" s="254">
        <f t="shared" si="321"/>
        <v>1923.2581305126298</v>
      </c>
      <c r="BN179" s="254">
        <f t="shared" si="322"/>
        <v>1905.7003571938242</v>
      </c>
    </row>
    <row r="180" spans="1:66" hidden="1" outlineLevel="1">
      <c r="A180" s="55"/>
      <c r="B180" s="73" t="s">
        <v>1032</v>
      </c>
      <c r="C180" s="18" t="s">
        <v>732</v>
      </c>
      <c r="D180" s="56"/>
      <c r="E180" s="56"/>
      <c r="F180" s="56"/>
      <c r="G180" s="56"/>
      <c r="H180" s="56"/>
      <c r="I180" s="56"/>
      <c r="J180" s="56"/>
      <c r="K180" s="452">
        <f>'Cost + BS Assumptions'!K372</f>
        <v>0</v>
      </c>
      <c r="L180" s="452">
        <f>'Cost + BS Assumptions'!L372</f>
        <v>0</v>
      </c>
      <c r="M180" s="452">
        <f>'Cost + BS Assumptions'!M372</f>
        <v>0</v>
      </c>
      <c r="N180" s="452">
        <f>'Cost + BS Assumptions'!N372</f>
        <v>0</v>
      </c>
      <c r="O180" s="451">
        <f>'Cost + BS Assumptions'!O372</f>
        <v>0</v>
      </c>
      <c r="P180" s="451">
        <f>'Cost + BS Assumptions'!P372</f>
        <v>0</v>
      </c>
      <c r="Q180" s="451">
        <f>'Cost + BS Assumptions'!Q372</f>
        <v>0</v>
      </c>
      <c r="R180" s="451">
        <f>'Cost + BS Assumptions'!R372</f>
        <v>379.20000000000005</v>
      </c>
      <c r="S180" s="451">
        <f>'Cost + BS Assumptions'!S372</f>
        <v>241.8</v>
      </c>
      <c r="T180" s="451">
        <f>'Cost + BS Assumptions'!T372</f>
        <v>141.95500000000001</v>
      </c>
      <c r="U180" s="451">
        <f>'Cost + BS Assumptions'!U372</f>
        <v>290.46699999999998</v>
      </c>
      <c r="V180" s="451">
        <f>'Cost + BS Assumptions'!V372</f>
        <v>365</v>
      </c>
      <c r="W180" s="451">
        <f>'Cost + BS Assumptions'!W372</f>
        <v>360</v>
      </c>
      <c r="X180" s="451">
        <f>'Cost + BS Assumptions'!X372</f>
        <v>593</v>
      </c>
      <c r="Y180" s="451">
        <f>'Cost + BS Assumptions'!Y372</f>
        <v>675.80000000000007</v>
      </c>
      <c r="Z180" s="451">
        <f>'Cost + BS Assumptions'!Z372</f>
        <v>709.59</v>
      </c>
      <c r="AA180" s="451">
        <f>'Cost + BS Assumptions'!AA372</f>
        <v>743.38000000000011</v>
      </c>
      <c r="AB180" s="451">
        <f>'Cost + BS Assumptions'!AB372</f>
        <v>777.17000000000007</v>
      </c>
      <c r="AC180" s="466">
        <f>'Cost + BS Assumptions'!AC372</f>
        <v>777.17000000000007</v>
      </c>
      <c r="AD180" s="466">
        <f>'Cost + BS Assumptions'!AD372</f>
        <v>777.17000000000007</v>
      </c>
      <c r="AE180" s="466">
        <f>'Cost + BS Assumptions'!AE372</f>
        <v>777.17000000000007</v>
      </c>
      <c r="AF180" s="466">
        <f>'Cost + BS Assumptions'!AF372</f>
        <v>777.17000000000007</v>
      </c>
      <c r="AG180" s="466">
        <f>'Cost + BS Assumptions'!AG372</f>
        <v>777.17000000000007</v>
      </c>
      <c r="AH180" s="466">
        <f>'Cost + BS Assumptions'!AH372</f>
        <v>777.17000000000007</v>
      </c>
      <c r="AI180" s="466">
        <f>'Cost + BS Assumptions'!AI372</f>
        <v>777.17000000000007</v>
      </c>
      <c r="AJ180" s="466">
        <f>'Cost + BS Assumptions'!AJ372</f>
        <v>777.17000000000007</v>
      </c>
      <c r="AK180" s="466">
        <f>'Cost + BS Assumptions'!AK372</f>
        <v>777.17000000000007</v>
      </c>
      <c r="AL180" s="466">
        <f>'Cost + BS Assumptions'!AL372</f>
        <v>777.17000000000007</v>
      </c>
      <c r="AP180" s="615">
        <v>114</v>
      </c>
      <c r="AQ180" s="254">
        <f t="shared" si="304"/>
        <v>251</v>
      </c>
      <c r="AR180" s="254">
        <f t="shared" si="305"/>
        <v>365</v>
      </c>
      <c r="AS180" s="615">
        <v>53</v>
      </c>
      <c r="AT180" s="254">
        <f t="shared" si="306"/>
        <v>307</v>
      </c>
      <c r="AU180" s="254">
        <f t="shared" si="307"/>
        <v>360</v>
      </c>
      <c r="AV180" s="615">
        <v>248</v>
      </c>
      <c r="AW180" s="254">
        <f t="shared" si="308"/>
        <v>345</v>
      </c>
      <c r="AX180" s="254">
        <f t="shared" si="309"/>
        <v>593</v>
      </c>
      <c r="AY180" s="961">
        <v>248</v>
      </c>
      <c r="AZ180" s="254">
        <f t="shared" si="310"/>
        <v>427.80000000000007</v>
      </c>
      <c r="BA180" s="254">
        <f t="shared" si="311"/>
        <v>675.80000000000007</v>
      </c>
      <c r="BB180" s="961">
        <v>248</v>
      </c>
      <c r="BC180" s="254">
        <f t="shared" si="312"/>
        <v>529.17000000000007</v>
      </c>
      <c r="BD180" s="254">
        <f t="shared" si="313"/>
        <v>777.17000000000007</v>
      </c>
      <c r="BE180" s="961">
        <v>248</v>
      </c>
      <c r="BF180" s="254">
        <f t="shared" si="314"/>
        <v>495.38000000000011</v>
      </c>
      <c r="BG180" s="254">
        <f t="shared" si="315"/>
        <v>743.38000000000011</v>
      </c>
      <c r="BH180" s="254">
        <f t="shared" si="316"/>
        <v>777.17000000000007</v>
      </c>
      <c r="BI180" s="254">
        <f t="shared" si="317"/>
        <v>777.17000000000007</v>
      </c>
      <c r="BJ180" s="254">
        <f t="shared" si="318"/>
        <v>777.17000000000007</v>
      </c>
      <c r="BK180" s="254">
        <f t="shared" si="319"/>
        <v>777.17000000000007</v>
      </c>
      <c r="BL180" s="254">
        <f t="shared" si="320"/>
        <v>777.17000000000007</v>
      </c>
      <c r="BM180" s="254">
        <f t="shared" si="321"/>
        <v>777.17000000000007</v>
      </c>
      <c r="BN180" s="254">
        <f t="shared" si="322"/>
        <v>777.17000000000007</v>
      </c>
    </row>
    <row r="181" spans="1:66" hidden="1" outlineLevel="1">
      <c r="A181" s="55"/>
      <c r="B181" s="73" t="s">
        <v>1030</v>
      </c>
      <c r="C181" s="18" t="s">
        <v>732</v>
      </c>
      <c r="D181" s="56"/>
      <c r="E181" s="56"/>
      <c r="F181" s="56"/>
      <c r="G181" s="56"/>
      <c r="H181" s="56"/>
      <c r="I181" s="56"/>
      <c r="J181" s="56"/>
      <c r="K181" s="56"/>
      <c r="L181" s="56"/>
      <c r="M181" s="56"/>
      <c r="N181" s="56"/>
      <c r="O181" s="247"/>
      <c r="P181" s="247"/>
      <c r="Q181" s="247"/>
      <c r="R181" s="248"/>
      <c r="S181" s="248"/>
      <c r="T181" s="451">
        <f>'Cost + BS Assumptions'!T373</f>
        <v>265</v>
      </c>
      <c r="U181" s="451">
        <f>'Cost + BS Assumptions'!U373</f>
        <v>252.12599999999998</v>
      </c>
      <c r="V181" s="451">
        <f>'Cost + BS Assumptions'!V373</f>
        <v>293</v>
      </c>
      <c r="W181" s="451">
        <f>'Cost + BS Assumptions'!W373</f>
        <v>364</v>
      </c>
      <c r="X181" s="451">
        <f>'Cost + BS Assumptions'!X373</f>
        <v>454</v>
      </c>
      <c r="Y181" s="451">
        <f>'Cost + BS Assumptions'!Y373</f>
        <v>393.20347826086959</v>
      </c>
      <c r="Z181" s="451">
        <f>'Cost + BS Assumptions'!Z373</f>
        <v>408.1131014492754</v>
      </c>
      <c r="AA181" s="451">
        <f>'Cost + BS Assumptions'!AA373</f>
        <v>419.69069362318845</v>
      </c>
      <c r="AB181" s="451">
        <f>'Cost + BS Assumptions'!AB373</f>
        <v>430.44499035362327</v>
      </c>
      <c r="AC181" s="466">
        <f>'Cost + BS Assumptions'!AC373</f>
        <v>440.23140037831888</v>
      </c>
      <c r="AD181" s="466">
        <f>'Cost + BS Assumptions'!AD373</f>
        <v>448.91334412879883</v>
      </c>
      <c r="AE181" s="466">
        <f>'Cost + BS Assumptions'!AE373</f>
        <v>456.3653458479609</v>
      </c>
      <c r="AF181" s="466">
        <f>'Cost + BS Assumptions'!AF373</f>
        <v>465.53130796253015</v>
      </c>
      <c r="AG181" s="466">
        <f>'Cost + BS Assumptions'!AG373</f>
        <v>474.97224894053642</v>
      </c>
      <c r="AH181" s="466">
        <f>'Cost + BS Assumptions'!AH373</f>
        <v>484.69641814788298</v>
      </c>
      <c r="AI181" s="466">
        <f>'Cost + BS Assumptions'!AI373</f>
        <v>494.7123124314499</v>
      </c>
      <c r="AJ181" s="466">
        <f>'Cost + BS Assumptions'!AJ373</f>
        <v>494.7123124314499</v>
      </c>
      <c r="AK181" s="466">
        <f>'Cost + BS Assumptions'!AK373</f>
        <v>494.7123124314499</v>
      </c>
      <c r="AL181" s="466">
        <f>'Cost + BS Assumptions'!AL373</f>
        <v>494.7123124314499</v>
      </c>
      <c r="AP181" s="615">
        <v>135</v>
      </c>
      <c r="AQ181" s="254">
        <f t="shared" si="304"/>
        <v>158</v>
      </c>
      <c r="AR181" s="254">
        <f t="shared" si="305"/>
        <v>293</v>
      </c>
      <c r="AS181" s="615">
        <v>172</v>
      </c>
      <c r="AT181" s="254">
        <f t="shared" si="306"/>
        <v>192</v>
      </c>
      <c r="AU181" s="254">
        <f t="shared" si="307"/>
        <v>364</v>
      </c>
      <c r="AV181" s="615">
        <v>231</v>
      </c>
      <c r="AW181" s="254">
        <f t="shared" si="308"/>
        <v>223</v>
      </c>
      <c r="AX181" s="254">
        <f t="shared" si="309"/>
        <v>454</v>
      </c>
      <c r="AY181" s="961">
        <v>231</v>
      </c>
      <c r="AZ181" s="254">
        <f t="shared" si="310"/>
        <v>162.20347826086959</v>
      </c>
      <c r="BA181" s="254">
        <f t="shared" si="311"/>
        <v>393.20347826086959</v>
      </c>
      <c r="BB181" s="961">
        <v>231</v>
      </c>
      <c r="BC181" s="254">
        <f t="shared" si="312"/>
        <v>199.44499035362327</v>
      </c>
      <c r="BD181" s="254">
        <f t="shared" si="313"/>
        <v>430.44499035362327</v>
      </c>
      <c r="BE181" s="961">
        <v>231</v>
      </c>
      <c r="BF181" s="254">
        <f t="shared" si="314"/>
        <v>188.69069362318845</v>
      </c>
      <c r="BG181" s="254">
        <f t="shared" si="315"/>
        <v>419.69069362318845</v>
      </c>
      <c r="BH181" s="254">
        <f t="shared" si="316"/>
        <v>430.44499035362327</v>
      </c>
      <c r="BI181" s="254">
        <f t="shared" si="317"/>
        <v>440.23140037831888</v>
      </c>
      <c r="BJ181" s="254">
        <f t="shared" si="318"/>
        <v>448.91334412879883</v>
      </c>
      <c r="BK181" s="254">
        <f t="shared" si="319"/>
        <v>456.3653458479609</v>
      </c>
      <c r="BL181" s="254">
        <f t="shared" si="320"/>
        <v>465.53130796253015</v>
      </c>
      <c r="BM181" s="254">
        <f t="shared" si="321"/>
        <v>474.97224894053642</v>
      </c>
      <c r="BN181" s="254">
        <f t="shared" si="322"/>
        <v>484.69641814788298</v>
      </c>
    </row>
    <row r="182" spans="1:66" hidden="1" outlineLevel="1">
      <c r="A182" s="55"/>
      <c r="B182" s="73" t="s">
        <v>1031</v>
      </c>
      <c r="C182" s="18" t="s">
        <v>732</v>
      </c>
      <c r="D182" s="56"/>
      <c r="E182" s="56"/>
      <c r="F182" s="56"/>
      <c r="G182" s="56"/>
      <c r="H182" s="56"/>
      <c r="I182" s="56"/>
      <c r="J182" s="56"/>
      <c r="K182" s="56"/>
      <c r="L182" s="56"/>
      <c r="M182" s="56"/>
      <c r="N182" s="56"/>
      <c r="O182" s="247"/>
      <c r="P182" s="247"/>
      <c r="Q182" s="247"/>
      <c r="R182" s="248"/>
      <c r="S182" s="248"/>
      <c r="T182" s="451">
        <f>'Cost + BS Assumptions'!T374</f>
        <v>201</v>
      </c>
      <c r="U182" s="451">
        <f>'Cost + BS Assumptions'!U374</f>
        <v>-215</v>
      </c>
      <c r="V182" s="451">
        <f>'Cost + BS Assumptions'!V374</f>
        <v>49</v>
      </c>
      <c r="W182" s="451">
        <f>'Cost + BS Assumptions'!W374</f>
        <v>-86</v>
      </c>
      <c r="X182" s="451">
        <f>'Cost + BS Assumptions'!X374</f>
        <v>103</v>
      </c>
      <c r="Y182" s="451">
        <f>'Cost + BS Assumptions'!Y374</f>
        <v>103</v>
      </c>
      <c r="Z182" s="451">
        <f>'Cost + BS Assumptions'!Z374</f>
        <v>103</v>
      </c>
      <c r="AA182" s="451">
        <f>'Cost + BS Assumptions'!AA374</f>
        <v>103</v>
      </c>
      <c r="AB182" s="451">
        <f>'Cost + BS Assumptions'!AB374</f>
        <v>103</v>
      </c>
      <c r="AC182" s="466">
        <f>'Cost + BS Assumptions'!AC374</f>
        <v>103</v>
      </c>
      <c r="AD182" s="466">
        <f>'Cost + BS Assumptions'!AD374</f>
        <v>103</v>
      </c>
      <c r="AE182" s="466">
        <f>'Cost + BS Assumptions'!AE374</f>
        <v>103</v>
      </c>
      <c r="AF182" s="466">
        <f>'Cost + BS Assumptions'!AF374</f>
        <v>103</v>
      </c>
      <c r="AG182" s="466">
        <f>'Cost + BS Assumptions'!AG374</f>
        <v>103</v>
      </c>
      <c r="AH182" s="466">
        <f>'Cost + BS Assumptions'!AH374</f>
        <v>103</v>
      </c>
      <c r="AI182" s="466">
        <f>'Cost + BS Assumptions'!AI374</f>
        <v>103</v>
      </c>
      <c r="AJ182" s="466">
        <f>'Cost + BS Assumptions'!AJ374</f>
        <v>103</v>
      </c>
      <c r="AK182" s="466">
        <f>'Cost + BS Assumptions'!AK374</f>
        <v>103</v>
      </c>
      <c r="AL182" s="466">
        <f>'Cost + BS Assumptions'!AL374</f>
        <v>103</v>
      </c>
      <c r="AP182" s="615"/>
      <c r="AQ182" s="254">
        <f t="shared" si="304"/>
        <v>49</v>
      </c>
      <c r="AR182" s="254">
        <f t="shared" si="305"/>
        <v>49</v>
      </c>
      <c r="AS182" s="615"/>
      <c r="AT182" s="254">
        <f t="shared" si="306"/>
        <v>-86</v>
      </c>
      <c r="AU182" s="254">
        <f t="shared" si="307"/>
        <v>-86</v>
      </c>
      <c r="AV182" s="615"/>
      <c r="AW182" s="254">
        <f t="shared" si="308"/>
        <v>103</v>
      </c>
      <c r="AX182" s="254">
        <f t="shared" si="309"/>
        <v>103</v>
      </c>
      <c r="AY182" s="961"/>
      <c r="AZ182" s="254">
        <f t="shared" si="310"/>
        <v>103</v>
      </c>
      <c r="BA182" s="254">
        <f t="shared" si="311"/>
        <v>103</v>
      </c>
      <c r="BB182" s="961"/>
      <c r="BC182" s="254">
        <f t="shared" si="312"/>
        <v>103</v>
      </c>
      <c r="BD182" s="254">
        <f t="shared" si="313"/>
        <v>103</v>
      </c>
      <c r="BE182" s="961"/>
      <c r="BF182" s="254">
        <f t="shared" si="314"/>
        <v>103</v>
      </c>
      <c r="BG182" s="254">
        <f t="shared" si="315"/>
        <v>103</v>
      </c>
      <c r="BH182" s="254">
        <f t="shared" si="316"/>
        <v>103</v>
      </c>
      <c r="BI182" s="254">
        <f t="shared" si="317"/>
        <v>103</v>
      </c>
      <c r="BJ182" s="254">
        <f t="shared" si="318"/>
        <v>103</v>
      </c>
      <c r="BK182" s="254">
        <f t="shared" si="319"/>
        <v>103</v>
      </c>
      <c r="BL182" s="254">
        <f t="shared" si="320"/>
        <v>103</v>
      </c>
      <c r="BM182" s="254">
        <f t="shared" si="321"/>
        <v>103</v>
      </c>
      <c r="BN182" s="254">
        <f t="shared" si="322"/>
        <v>103</v>
      </c>
    </row>
    <row r="183" spans="1:66" hidden="1" outlineLevel="1">
      <c r="A183" s="55"/>
      <c r="B183" s="73" t="s">
        <v>1038</v>
      </c>
      <c r="C183" s="18" t="s">
        <v>732</v>
      </c>
      <c r="D183" s="56"/>
      <c r="E183" s="56"/>
      <c r="F183" s="56"/>
      <c r="G183" s="56"/>
      <c r="H183" s="56"/>
      <c r="I183" s="56"/>
      <c r="J183" s="56"/>
      <c r="K183" s="56"/>
      <c r="L183" s="56"/>
      <c r="M183" s="56"/>
      <c r="N183" s="56"/>
      <c r="O183" s="247"/>
      <c r="P183" s="247"/>
      <c r="Q183" s="247"/>
      <c r="R183" s="248"/>
      <c r="S183" s="248"/>
      <c r="T183" s="451">
        <f>'Cost + BS Assumptions'!T377</f>
        <v>-189</v>
      </c>
      <c r="U183" s="451">
        <f>'Cost + BS Assumptions'!U377</f>
        <v>-141</v>
      </c>
      <c r="V183" s="451">
        <f>'Cost + BS Assumptions'!V377</f>
        <v>-159</v>
      </c>
      <c r="W183" s="451">
        <f>'Cost + BS Assumptions'!W377</f>
        <v>0</v>
      </c>
      <c r="X183" s="451">
        <f>'Cost + BS Assumptions'!X377</f>
        <v>0</v>
      </c>
      <c r="Y183" s="451">
        <f>'Cost + BS Assumptions'!Y377</f>
        <v>0</v>
      </c>
      <c r="Z183" s="451">
        <f>'Cost + BS Assumptions'!Z377</f>
        <v>0</v>
      </c>
      <c r="AA183" s="451">
        <f>'Cost + BS Assumptions'!AA377</f>
        <v>0</v>
      </c>
      <c r="AB183" s="451">
        <f>'Cost + BS Assumptions'!AB377</f>
        <v>0</v>
      </c>
      <c r="AC183" s="466">
        <f>'Cost + BS Assumptions'!AC377</f>
        <v>0</v>
      </c>
      <c r="AD183" s="466">
        <f>'Cost + BS Assumptions'!AD377</f>
        <v>0</v>
      </c>
      <c r="AE183" s="466">
        <f>'Cost + BS Assumptions'!AE377</f>
        <v>0</v>
      </c>
      <c r="AF183" s="466">
        <f>'Cost + BS Assumptions'!AF377</f>
        <v>0</v>
      </c>
      <c r="AG183" s="466">
        <f>'Cost + BS Assumptions'!AG377</f>
        <v>0</v>
      </c>
      <c r="AH183" s="466">
        <f>'Cost + BS Assumptions'!AH377</f>
        <v>0</v>
      </c>
      <c r="AI183" s="466">
        <f>'Cost + BS Assumptions'!AI377</f>
        <v>0</v>
      </c>
      <c r="AJ183" s="466">
        <f>'Cost + BS Assumptions'!AJ377</f>
        <v>0</v>
      </c>
      <c r="AK183" s="466">
        <f>'Cost + BS Assumptions'!AK377</f>
        <v>0</v>
      </c>
      <c r="AL183" s="466">
        <f>'Cost + BS Assumptions'!AL377</f>
        <v>0</v>
      </c>
      <c r="AP183" s="615">
        <v>-92</v>
      </c>
      <c r="AQ183" s="254">
        <f t="shared" si="304"/>
        <v>-67</v>
      </c>
      <c r="AR183" s="254">
        <f t="shared" si="305"/>
        <v>-159</v>
      </c>
      <c r="AS183" s="615">
        <v>-28</v>
      </c>
      <c r="AT183" s="254">
        <f t="shared" si="306"/>
        <v>28</v>
      </c>
      <c r="AU183" s="254">
        <f t="shared" si="307"/>
        <v>0</v>
      </c>
      <c r="AV183" s="615">
        <v>35</v>
      </c>
      <c r="AW183" s="254">
        <f t="shared" si="308"/>
        <v>-35</v>
      </c>
      <c r="AX183" s="254">
        <f t="shared" si="309"/>
        <v>0</v>
      </c>
      <c r="AY183" s="961">
        <v>35</v>
      </c>
      <c r="AZ183" s="254">
        <f t="shared" si="310"/>
        <v>-35</v>
      </c>
      <c r="BA183" s="254">
        <f t="shared" si="311"/>
        <v>0</v>
      </c>
      <c r="BB183" s="961">
        <v>35</v>
      </c>
      <c r="BC183" s="254">
        <f t="shared" si="312"/>
        <v>-35</v>
      </c>
      <c r="BD183" s="254">
        <f t="shared" si="313"/>
        <v>0</v>
      </c>
      <c r="BE183" s="961">
        <v>35</v>
      </c>
      <c r="BF183" s="254">
        <f t="shared" si="314"/>
        <v>-35</v>
      </c>
      <c r="BG183" s="254">
        <f t="shared" si="315"/>
        <v>0</v>
      </c>
      <c r="BH183" s="254">
        <f t="shared" si="316"/>
        <v>0</v>
      </c>
      <c r="BI183" s="254">
        <f t="shared" si="317"/>
        <v>0</v>
      </c>
      <c r="BJ183" s="254">
        <f t="shared" si="318"/>
        <v>0</v>
      </c>
      <c r="BK183" s="254">
        <f t="shared" si="319"/>
        <v>0</v>
      </c>
      <c r="BL183" s="254">
        <f t="shared" si="320"/>
        <v>0</v>
      </c>
      <c r="BM183" s="254">
        <f t="shared" si="321"/>
        <v>0</v>
      </c>
      <c r="BN183" s="254">
        <f t="shared" si="322"/>
        <v>0</v>
      </c>
    </row>
    <row r="184" spans="1:66" hidden="1" outlineLevel="1">
      <c r="A184" s="59"/>
      <c r="B184" s="337" t="s">
        <v>1187</v>
      </c>
      <c r="C184" s="21" t="s">
        <v>732</v>
      </c>
      <c r="D184" s="60"/>
      <c r="E184" s="60"/>
      <c r="F184" s="60"/>
      <c r="G184" s="60"/>
      <c r="H184" s="60"/>
      <c r="I184" s="60"/>
      <c r="J184" s="60"/>
      <c r="K184" s="60"/>
      <c r="L184" s="60"/>
      <c r="M184" s="60"/>
      <c r="N184" s="60"/>
      <c r="O184" s="249"/>
      <c r="P184" s="249"/>
      <c r="Q184" s="249"/>
      <c r="R184" s="250"/>
      <c r="S184" s="250"/>
      <c r="T184" s="250">
        <f>SUM(T176:T183)</f>
        <v>10204.8976</v>
      </c>
      <c r="U184" s="250">
        <f t="shared" ref="U184:AB184" si="323">SUM(U176:U183)</f>
        <v>9368.6370000000006</v>
      </c>
      <c r="V184" s="250">
        <f>SUM(V176:V183)</f>
        <v>8732</v>
      </c>
      <c r="W184" s="250">
        <f>SUM(W176:W183)</f>
        <v>8203</v>
      </c>
      <c r="X184" s="250">
        <f>SUM(X176:X183)</f>
        <v>7409</v>
      </c>
      <c r="Y184" s="250">
        <f t="shared" si="323"/>
        <v>7930.8914991326046</v>
      </c>
      <c r="Z184" s="250">
        <f>SUM(Z176:Z183)</f>
        <v>7993.0060365701602</v>
      </c>
      <c r="AA184" s="250">
        <f t="shared" si="323"/>
        <v>8278.8547737424306</v>
      </c>
      <c r="AB184" s="250">
        <f t="shared" si="323"/>
        <v>8475.4832087750292</v>
      </c>
      <c r="AC184" s="940">
        <f t="shared" ref="AC184:AH184" si="324">SUM(AC176:AC183)</f>
        <v>8665.3684419380006</v>
      </c>
      <c r="AD184" s="940">
        <f t="shared" si="324"/>
        <v>8866.5442399652729</v>
      </c>
      <c r="AE184" s="940">
        <f t="shared" si="324"/>
        <v>9082.3759499193475</v>
      </c>
      <c r="AF184" s="940">
        <f t="shared" si="324"/>
        <v>9290.0133798083407</v>
      </c>
      <c r="AG184" s="940">
        <f t="shared" si="324"/>
        <v>9517.3432962335028</v>
      </c>
      <c r="AH184" s="940">
        <f t="shared" si="324"/>
        <v>9765.0748225299358</v>
      </c>
      <c r="AI184" s="940">
        <f>SUM(AI176:AI183)</f>
        <v>10034.144622136932</v>
      </c>
      <c r="AJ184" s="940">
        <f t="shared" ref="AJ184:AK184" si="325">SUM(AJ176:AJ183)</f>
        <v>10336.04978408508</v>
      </c>
      <c r="AK184" s="940">
        <f t="shared" si="325"/>
        <v>10658.860518414622</v>
      </c>
      <c r="AL184" s="940">
        <f t="shared" ref="AL184" si="326">SUM(AL176:AL183)</f>
        <v>9667.2128045104419</v>
      </c>
      <c r="AP184" s="259">
        <f>SUM(AP176:AP183)</f>
        <v>4344</v>
      </c>
      <c r="AQ184" s="259">
        <f>SUM(AQ176:AQ183)</f>
        <v>4388</v>
      </c>
      <c r="AR184" s="259">
        <f t="shared" si="305"/>
        <v>8732</v>
      </c>
      <c r="AS184" s="259">
        <f>SUM(AS176:AS183)</f>
        <v>4149</v>
      </c>
      <c r="AT184" s="259">
        <f>SUM(AT176:AT183)</f>
        <v>4054</v>
      </c>
      <c r="AU184" s="259">
        <f t="shared" si="307"/>
        <v>8203</v>
      </c>
      <c r="AV184" s="259">
        <f>SUM(AV176:AV183)</f>
        <v>3875</v>
      </c>
      <c r="AW184" s="259">
        <f>SUM(AW176:AW183)</f>
        <v>3534</v>
      </c>
      <c r="AX184" s="259">
        <f t="shared" si="309"/>
        <v>7409</v>
      </c>
      <c r="AY184" s="259">
        <f>SUM(AY176:AY183)</f>
        <v>3875</v>
      </c>
      <c r="AZ184" s="259">
        <f>SUM(AZ176:AZ183)</f>
        <v>4055.8914991326046</v>
      </c>
      <c r="BA184" s="259">
        <f t="shared" si="311"/>
        <v>7930.8914991326046</v>
      </c>
      <c r="BB184" s="259">
        <f>SUM(BB176:BB183)</f>
        <v>3875</v>
      </c>
      <c r="BC184" s="259">
        <f>SUM(BC176:BC183)</f>
        <v>4600.4832087750292</v>
      </c>
      <c r="BD184" s="259">
        <f t="shared" si="313"/>
        <v>8475.4832087750292</v>
      </c>
      <c r="BE184" s="259">
        <f>SUM(BE176:BE183)</f>
        <v>3875</v>
      </c>
      <c r="BF184" s="259">
        <f>SUM(BF176:BF183)</f>
        <v>4403.8547737424287</v>
      </c>
      <c r="BG184" s="259">
        <f t="shared" si="315"/>
        <v>8278.8547737424306</v>
      </c>
      <c r="BH184" s="259">
        <f t="shared" si="316"/>
        <v>8475.4832087750292</v>
      </c>
      <c r="BI184" s="259">
        <f t="shared" si="317"/>
        <v>8665.3684419380006</v>
      </c>
      <c r="BJ184" s="259">
        <f t="shared" si="318"/>
        <v>8866.5442399652729</v>
      </c>
      <c r="BK184" s="259">
        <f t="shared" si="319"/>
        <v>9082.3759499193475</v>
      </c>
      <c r="BL184" s="259">
        <f t="shared" si="320"/>
        <v>9290.0133798083407</v>
      </c>
      <c r="BM184" s="259">
        <f t="shared" si="321"/>
        <v>9517.3432962335028</v>
      </c>
      <c r="BN184" s="259">
        <f t="shared" si="322"/>
        <v>9765.0748225299358</v>
      </c>
    </row>
    <row r="185" spans="1:66" hidden="1" outlineLevel="1">
      <c r="A185" s="55"/>
      <c r="B185" s="73" t="s">
        <v>1151</v>
      </c>
      <c r="C185" s="18" t="s">
        <v>732</v>
      </c>
      <c r="D185" s="56"/>
      <c r="E185" s="56"/>
      <c r="F185" s="56"/>
      <c r="G185" s="56"/>
      <c r="H185" s="56"/>
      <c r="I185" s="56"/>
      <c r="J185" s="56"/>
      <c r="K185" s="56"/>
      <c r="L185" s="56"/>
      <c r="M185" s="56"/>
      <c r="N185" s="56"/>
      <c r="O185" s="247"/>
      <c r="P185" s="247"/>
      <c r="Q185" s="247"/>
      <c r="R185" s="248"/>
      <c r="S185" s="248"/>
      <c r="T185" s="451">
        <f>'Cost + BS Assumptions'!T376</f>
        <v>500</v>
      </c>
      <c r="U185" s="451">
        <f>'Cost + BS Assumptions'!U376</f>
        <v>1382</v>
      </c>
      <c r="V185" s="451">
        <f>'Cost + BS Assumptions'!V376</f>
        <v>1836</v>
      </c>
      <c r="W185" s="451">
        <f>'Cost + BS Assumptions'!W376</f>
        <v>1613</v>
      </c>
      <c r="X185" s="451">
        <f>'Cost + BS Assumptions'!X376</f>
        <v>1536</v>
      </c>
      <c r="Y185" s="451">
        <f>'Cost + BS Assumptions'!Y376</f>
        <v>822.27407508532428</v>
      </c>
      <c r="Z185" s="451">
        <f>'Cost + BS Assumptions'!Z376</f>
        <v>257.92624728100196</v>
      </c>
      <c r="AA185" s="451">
        <f>'Cost + BS Assumptions'!AA376</f>
        <v>104.36650397345477</v>
      </c>
      <c r="AB185" s="451">
        <f>'Cost + BS Assumptions'!AB376</f>
        <v>100.98448933106569</v>
      </c>
      <c r="AC185" s="466">
        <f>'Cost + BS Assumptions'!AC376</f>
        <v>0</v>
      </c>
      <c r="AD185" s="466">
        <f>'Cost + BS Assumptions'!AD376</f>
        <v>0</v>
      </c>
      <c r="AE185" s="466">
        <f>'Cost + BS Assumptions'!AE376</f>
        <v>0</v>
      </c>
      <c r="AF185" s="466">
        <f>'Cost + BS Assumptions'!AF376</f>
        <v>0</v>
      </c>
      <c r="AG185" s="466">
        <f>'Cost + BS Assumptions'!AG376</f>
        <v>0</v>
      </c>
      <c r="AH185" s="466">
        <f>'Cost + BS Assumptions'!AH376</f>
        <v>0</v>
      </c>
      <c r="AI185" s="466">
        <f>'Cost + BS Assumptions'!AI376</f>
        <v>0</v>
      </c>
      <c r="AJ185" s="466">
        <f>'Cost + BS Assumptions'!AJ376</f>
        <v>0</v>
      </c>
      <c r="AK185" s="466">
        <f>'Cost + BS Assumptions'!AK376</f>
        <v>0</v>
      </c>
      <c r="AL185" s="466">
        <f>'Cost + BS Assumptions'!AL376</f>
        <v>0</v>
      </c>
      <c r="AP185" s="615">
        <v>1089</v>
      </c>
      <c r="AQ185" s="254">
        <f>+AR185-AP185</f>
        <v>747</v>
      </c>
      <c r="AR185" s="254">
        <f t="shared" si="305"/>
        <v>1836</v>
      </c>
      <c r="AS185" s="615">
        <v>752</v>
      </c>
      <c r="AT185" s="254">
        <f>+AU185-AS185</f>
        <v>861</v>
      </c>
      <c r="AU185" s="254">
        <f t="shared" si="307"/>
        <v>1613</v>
      </c>
      <c r="AV185" s="615">
        <v>788</v>
      </c>
      <c r="AW185" s="254">
        <f>+AX185-AV185</f>
        <v>748</v>
      </c>
      <c r="AX185" s="254">
        <f t="shared" si="309"/>
        <v>1536</v>
      </c>
      <c r="AY185" s="961">
        <v>788</v>
      </c>
      <c r="AZ185" s="254">
        <f>+BA185-AY185</f>
        <v>34.274075085324284</v>
      </c>
      <c r="BA185" s="254">
        <f t="shared" si="311"/>
        <v>822.27407508532428</v>
      </c>
      <c r="BB185" s="961">
        <v>788</v>
      </c>
      <c r="BC185" s="254">
        <f>+BD185-BB185</f>
        <v>-687.01551066893433</v>
      </c>
      <c r="BD185" s="254">
        <f t="shared" si="313"/>
        <v>100.98448933106569</v>
      </c>
      <c r="BE185" s="961">
        <v>788</v>
      </c>
      <c r="BF185" s="254">
        <f>+BG185-BE185</f>
        <v>-683.63349602654523</v>
      </c>
      <c r="BG185" s="254">
        <f t="shared" si="315"/>
        <v>104.36650397345477</v>
      </c>
      <c r="BH185" s="254">
        <f t="shared" si="316"/>
        <v>100.98448933106569</v>
      </c>
      <c r="BI185" s="254">
        <f t="shared" si="317"/>
        <v>0</v>
      </c>
      <c r="BJ185" s="254">
        <f t="shared" si="318"/>
        <v>0</v>
      </c>
      <c r="BK185" s="254">
        <f t="shared" si="319"/>
        <v>0</v>
      </c>
      <c r="BL185" s="254">
        <f t="shared" si="320"/>
        <v>0</v>
      </c>
      <c r="BM185" s="254">
        <f t="shared" si="321"/>
        <v>0</v>
      </c>
      <c r="BN185" s="254">
        <f t="shared" si="322"/>
        <v>0</v>
      </c>
    </row>
    <row r="186" spans="1:66" hidden="1" outlineLevel="1">
      <c r="A186" s="674"/>
      <c r="B186" s="675" t="s">
        <v>1188</v>
      </c>
      <c r="C186" s="659" t="s">
        <v>732</v>
      </c>
      <c r="D186" s="672"/>
      <c r="E186" s="672"/>
      <c r="F186" s="672"/>
      <c r="G186" s="672"/>
      <c r="H186" s="672"/>
      <c r="I186" s="672"/>
      <c r="J186" s="676">
        <f t="shared" ref="J186:R186" si="327">J189</f>
        <v>9575</v>
      </c>
      <c r="K186" s="676">
        <f t="shared" si="327"/>
        <v>9860.9999999999982</v>
      </c>
      <c r="L186" s="676">
        <f t="shared" si="327"/>
        <v>10416</v>
      </c>
      <c r="M186" s="676">
        <f t="shared" si="327"/>
        <v>10948</v>
      </c>
      <c r="N186" s="676">
        <f t="shared" si="327"/>
        <v>10847</v>
      </c>
      <c r="O186" s="677">
        <f t="shared" si="327"/>
        <v>10151</v>
      </c>
      <c r="P186" s="677">
        <f t="shared" si="327"/>
        <v>10320.817287899999</v>
      </c>
      <c r="Q186" s="677">
        <f t="shared" si="327"/>
        <v>10735.105465133809</v>
      </c>
      <c r="R186" s="677">
        <f t="shared" si="327"/>
        <v>11135</v>
      </c>
      <c r="S186" s="677">
        <f>S189</f>
        <v>10533</v>
      </c>
      <c r="T186" s="677">
        <f>T184+T185</f>
        <v>10704.8976</v>
      </c>
      <c r="U186" s="677">
        <f t="shared" ref="U186:AB186" si="328">U184+U185</f>
        <v>10750.637000000001</v>
      </c>
      <c r="V186" s="677">
        <f t="shared" si="328"/>
        <v>10568</v>
      </c>
      <c r="W186" s="677">
        <f>W184+W185</f>
        <v>9816</v>
      </c>
      <c r="X186" s="677">
        <f t="shared" si="328"/>
        <v>8945</v>
      </c>
      <c r="Y186" s="677">
        <f t="shared" si="328"/>
        <v>8753.1655742179282</v>
      </c>
      <c r="Z186" s="677">
        <f t="shared" si="328"/>
        <v>8250.9322838511616</v>
      </c>
      <c r="AA186" s="677">
        <f t="shared" si="328"/>
        <v>8383.2212777158857</v>
      </c>
      <c r="AB186" s="677">
        <f t="shared" si="328"/>
        <v>8576.4676981060948</v>
      </c>
      <c r="AC186" s="662">
        <f t="shared" ref="AC186:AH186" si="329">AC184+AC185</f>
        <v>8665.3684419380006</v>
      </c>
      <c r="AD186" s="662">
        <f t="shared" si="329"/>
        <v>8866.5442399652729</v>
      </c>
      <c r="AE186" s="662">
        <f t="shared" si="329"/>
        <v>9082.3759499193475</v>
      </c>
      <c r="AF186" s="662">
        <f t="shared" si="329"/>
        <v>9290.0133798083407</v>
      </c>
      <c r="AG186" s="662">
        <f t="shared" si="329"/>
        <v>9517.3432962335028</v>
      </c>
      <c r="AH186" s="662">
        <f t="shared" si="329"/>
        <v>9765.0748225299358</v>
      </c>
      <c r="AI186" s="662">
        <f>AI184+AI185</f>
        <v>10034.144622136932</v>
      </c>
      <c r="AJ186" s="662">
        <f t="shared" ref="AJ186:AK186" si="330">AJ184+AJ185</f>
        <v>10336.04978408508</v>
      </c>
      <c r="AK186" s="662">
        <f t="shared" si="330"/>
        <v>10658.860518414622</v>
      </c>
      <c r="AL186" s="662">
        <f t="shared" ref="AL186" si="331">AL184+AL185</f>
        <v>9667.2128045104419</v>
      </c>
      <c r="AP186" s="661">
        <f>AP184+AP185</f>
        <v>5433</v>
      </c>
      <c r="AQ186" s="661">
        <f>AQ184+AQ185</f>
        <v>5135</v>
      </c>
      <c r="AR186" s="661">
        <f t="shared" si="305"/>
        <v>10568</v>
      </c>
      <c r="AS186" s="661">
        <f>AS184+AS185</f>
        <v>4901</v>
      </c>
      <c r="AT186" s="661">
        <f>AT184+AT185</f>
        <v>4915</v>
      </c>
      <c r="AU186" s="661">
        <f t="shared" si="307"/>
        <v>9816</v>
      </c>
      <c r="AV186" s="661">
        <f>AV184+AV185</f>
        <v>4663</v>
      </c>
      <c r="AW186" s="661">
        <f>AW184+AW185</f>
        <v>4282</v>
      </c>
      <c r="AX186" s="661">
        <f t="shared" si="309"/>
        <v>8945</v>
      </c>
      <c r="AY186" s="661">
        <f>AY184+AY185</f>
        <v>4663</v>
      </c>
      <c r="AZ186" s="661">
        <f>AZ184+AZ185</f>
        <v>4090.1655742179291</v>
      </c>
      <c r="BA186" s="661">
        <f t="shared" si="311"/>
        <v>8753.1655742179282</v>
      </c>
      <c r="BB186" s="661">
        <f>BB184+BB185</f>
        <v>4663</v>
      </c>
      <c r="BC186" s="661">
        <f>BC184+BC185</f>
        <v>3913.4676981060948</v>
      </c>
      <c r="BD186" s="661">
        <f t="shared" si="313"/>
        <v>8576.4676981060948</v>
      </c>
      <c r="BE186" s="661">
        <f>BE184+BE185</f>
        <v>4663</v>
      </c>
      <c r="BF186" s="661">
        <f>BF184+BF185</f>
        <v>3720.2212777158834</v>
      </c>
      <c r="BG186" s="661">
        <f t="shared" si="315"/>
        <v>8383.2212777158857</v>
      </c>
      <c r="BH186" s="661">
        <f t="shared" si="316"/>
        <v>8576.4676981060948</v>
      </c>
      <c r="BI186" s="661">
        <f t="shared" si="317"/>
        <v>8665.3684419380006</v>
      </c>
      <c r="BJ186" s="661">
        <f t="shared" si="318"/>
        <v>8866.5442399652729</v>
      </c>
      <c r="BK186" s="661">
        <f t="shared" si="319"/>
        <v>9082.3759499193475</v>
      </c>
      <c r="BL186" s="661">
        <f t="shared" si="320"/>
        <v>9290.0133798083407</v>
      </c>
      <c r="BM186" s="661">
        <f t="shared" si="321"/>
        <v>9517.3432962335028</v>
      </c>
      <c r="BN186" s="661">
        <f t="shared" si="322"/>
        <v>9765.0748225299358</v>
      </c>
    </row>
    <row r="187" spans="1:66" hidden="1" outlineLevel="1">
      <c r="A187" s="59"/>
      <c r="B187" s="962" t="s">
        <v>1162</v>
      </c>
      <c r="C187" s="18" t="s">
        <v>732</v>
      </c>
      <c r="D187" s="60"/>
      <c r="E187" s="60"/>
      <c r="F187" s="60"/>
      <c r="G187" s="60"/>
      <c r="H187" s="60"/>
      <c r="I187" s="60"/>
      <c r="J187" s="60"/>
      <c r="K187" s="60"/>
      <c r="L187" s="60"/>
      <c r="M187" s="60"/>
      <c r="N187" s="60"/>
      <c r="O187" s="249"/>
      <c r="P187" s="249"/>
      <c r="Q187" s="249"/>
      <c r="R187" s="250"/>
      <c r="S187" s="250"/>
      <c r="T187" s="451">
        <f>'Cost + BS Assumptions'!T380</f>
        <v>-246</v>
      </c>
      <c r="U187" s="451">
        <f>'Cost + BS Assumptions'!U380</f>
        <v>-516</v>
      </c>
      <c r="V187" s="451">
        <f>'Cost + BS Assumptions'!V380</f>
        <v>0</v>
      </c>
      <c r="W187" s="451">
        <f>'Cost + BS Assumptions'!W380</f>
        <v>-801</v>
      </c>
      <c r="X187" s="451">
        <f>'Cost + BS Assumptions'!X380</f>
        <v>-246</v>
      </c>
      <c r="Y187" s="451">
        <f>'Cost + BS Assumptions'!Y380</f>
        <v>-100</v>
      </c>
      <c r="Z187" s="451">
        <f>'Cost + BS Assumptions'!Z380</f>
        <v>-50</v>
      </c>
      <c r="AA187" s="451">
        <f>'Cost + BS Assumptions'!AA380</f>
        <v>0</v>
      </c>
      <c r="AB187" s="451">
        <f>'Cost + BS Assumptions'!AB380</f>
        <v>0</v>
      </c>
      <c r="AC187" s="466">
        <f>'Cost + BS Assumptions'!AC380</f>
        <v>0</v>
      </c>
      <c r="AD187" s="466">
        <f>'Cost + BS Assumptions'!AD380</f>
        <v>0</v>
      </c>
      <c r="AE187" s="466">
        <f>'Cost + BS Assumptions'!AE380</f>
        <v>0</v>
      </c>
      <c r="AF187" s="466">
        <f>'Cost + BS Assumptions'!AF380</f>
        <v>0</v>
      </c>
      <c r="AG187" s="466">
        <f>'Cost + BS Assumptions'!AG380</f>
        <v>0</v>
      </c>
      <c r="AH187" s="466">
        <f>'Cost + BS Assumptions'!AH380</f>
        <v>0</v>
      </c>
      <c r="AI187" s="466">
        <f>'Cost + BS Assumptions'!AI380</f>
        <v>0</v>
      </c>
      <c r="AJ187" s="466">
        <f>'Cost + BS Assumptions'!AJ380</f>
        <v>0</v>
      </c>
      <c r="AK187" s="466">
        <f>'Cost + BS Assumptions'!AK380</f>
        <v>0</v>
      </c>
      <c r="AL187" s="466">
        <f>'Cost + BS Assumptions'!AL380</f>
        <v>0</v>
      </c>
      <c r="AP187" s="965"/>
      <c r="AQ187" s="254">
        <f>+AR187-AP187</f>
        <v>0</v>
      </c>
      <c r="AR187" s="254">
        <f t="shared" si="305"/>
        <v>0</v>
      </c>
      <c r="AS187" s="615">
        <f>-328-90</f>
        <v>-418</v>
      </c>
      <c r="AT187" s="254">
        <f>+AU187-AS187</f>
        <v>-383</v>
      </c>
      <c r="AU187" s="254">
        <f t="shared" si="307"/>
        <v>-801</v>
      </c>
      <c r="AV187" s="615">
        <v>-184</v>
      </c>
      <c r="AW187" s="254">
        <f>+AX187-AV187</f>
        <v>-62</v>
      </c>
      <c r="AX187" s="254">
        <f t="shared" si="309"/>
        <v>-246</v>
      </c>
      <c r="AY187" s="961">
        <v>-184</v>
      </c>
      <c r="AZ187" s="254">
        <f>+BA187-AY187</f>
        <v>84</v>
      </c>
      <c r="BA187" s="254">
        <f t="shared" si="311"/>
        <v>-100</v>
      </c>
      <c r="BB187" s="961">
        <v>-184</v>
      </c>
      <c r="BC187" s="254">
        <f>+BD187-BB187</f>
        <v>184</v>
      </c>
      <c r="BD187" s="254">
        <f t="shared" si="313"/>
        <v>0</v>
      </c>
      <c r="BE187" s="961">
        <v>-184</v>
      </c>
      <c r="BF187" s="254">
        <f>+BG187-BE187</f>
        <v>184</v>
      </c>
      <c r="BG187" s="254">
        <f t="shared" si="315"/>
        <v>0</v>
      </c>
      <c r="BH187" s="254">
        <f t="shared" si="316"/>
        <v>0</v>
      </c>
      <c r="BI187" s="254">
        <f t="shared" si="317"/>
        <v>0</v>
      </c>
      <c r="BJ187" s="254">
        <f t="shared" si="318"/>
        <v>0</v>
      </c>
      <c r="BK187" s="254">
        <f t="shared" si="319"/>
        <v>0</v>
      </c>
      <c r="BL187" s="254">
        <f t="shared" si="320"/>
        <v>0</v>
      </c>
      <c r="BM187" s="254">
        <f t="shared" si="321"/>
        <v>0</v>
      </c>
      <c r="BN187" s="254">
        <f t="shared" si="322"/>
        <v>0</v>
      </c>
    </row>
    <row r="188" spans="1:66" hidden="1" outlineLevel="1">
      <c r="A188" s="59"/>
      <c r="B188" s="962" t="s">
        <v>1186</v>
      </c>
      <c r="C188" s="18" t="s">
        <v>732</v>
      </c>
      <c r="D188" s="60"/>
      <c r="E188" s="60"/>
      <c r="F188" s="60"/>
      <c r="G188" s="60"/>
      <c r="H188" s="60"/>
      <c r="I188" s="60"/>
      <c r="J188" s="60"/>
      <c r="K188" s="60"/>
      <c r="L188" s="60"/>
      <c r="M188" s="60"/>
      <c r="N188" s="60"/>
      <c r="O188" s="249"/>
      <c r="P188" s="249"/>
      <c r="Q188" s="249"/>
      <c r="R188" s="250"/>
      <c r="S188" s="250"/>
      <c r="T188" s="451"/>
      <c r="U188" s="451"/>
      <c r="V188" s="451"/>
      <c r="W188" s="451">
        <f>'Cost + BS Assumptions'!W381</f>
        <v>-581</v>
      </c>
      <c r="X188" s="451">
        <f>'Cost + BS Assumptions'!X381</f>
        <v>-288</v>
      </c>
      <c r="Y188" s="451">
        <f>'Cost + BS Assumptions'!Y381</f>
        <v>0</v>
      </c>
      <c r="Z188" s="451">
        <f>'Cost + BS Assumptions'!Z381</f>
        <v>0</v>
      </c>
      <c r="AA188" s="451">
        <f>'Cost + BS Assumptions'!AA381</f>
        <v>0</v>
      </c>
      <c r="AB188" s="451">
        <f>'Cost + BS Assumptions'!AB381</f>
        <v>0</v>
      </c>
      <c r="AC188" s="466">
        <f>'Cost + BS Assumptions'!AC381</f>
        <v>0</v>
      </c>
      <c r="AD188" s="466">
        <f>'Cost + BS Assumptions'!AD381</f>
        <v>0</v>
      </c>
      <c r="AE188" s="466">
        <f>'Cost + BS Assumptions'!AE381</f>
        <v>0</v>
      </c>
      <c r="AF188" s="466">
        <f>'Cost + BS Assumptions'!AF381</f>
        <v>0</v>
      </c>
      <c r="AG188" s="466">
        <f>'Cost + BS Assumptions'!AG381</f>
        <v>0</v>
      </c>
      <c r="AH188" s="466">
        <f>'Cost + BS Assumptions'!AH381</f>
        <v>0</v>
      </c>
      <c r="AI188" s="466">
        <f>'Cost + BS Assumptions'!AI381</f>
        <v>0</v>
      </c>
      <c r="AJ188" s="466">
        <f>'Cost + BS Assumptions'!AJ381</f>
        <v>0</v>
      </c>
      <c r="AK188" s="466">
        <f>'Cost + BS Assumptions'!AK381</f>
        <v>0</v>
      </c>
      <c r="AL188" s="466">
        <f>'Cost + BS Assumptions'!AL381</f>
        <v>0</v>
      </c>
      <c r="AP188" s="965"/>
      <c r="AQ188" s="254"/>
      <c r="AR188" s="254"/>
      <c r="AS188" s="615"/>
      <c r="AT188" s="254"/>
      <c r="AU188" s="254"/>
      <c r="AV188" s="615"/>
      <c r="AW188" s="254"/>
      <c r="AX188" s="254"/>
      <c r="AY188" s="615"/>
      <c r="AZ188" s="254"/>
      <c r="BA188" s="254"/>
      <c r="BB188" s="615"/>
      <c r="BC188" s="254"/>
      <c r="BD188" s="254"/>
      <c r="BE188" s="615"/>
      <c r="BF188" s="254"/>
      <c r="BG188" s="254"/>
      <c r="BH188" s="254"/>
      <c r="BI188" s="254"/>
      <c r="BJ188" s="254"/>
      <c r="BK188" s="254"/>
      <c r="BL188" s="254"/>
      <c r="BM188" s="254"/>
      <c r="BN188" s="254"/>
    </row>
    <row r="189" spans="1:66" hidden="1" outlineLevel="1">
      <c r="A189" s="6"/>
      <c r="B189" s="9" t="s">
        <v>292</v>
      </c>
      <c r="C189" s="21" t="s">
        <v>732</v>
      </c>
      <c r="D189" s="550">
        <v>8563</v>
      </c>
      <c r="E189" s="550">
        <v>9834</v>
      </c>
      <c r="F189" s="550">
        <v>9483</v>
      </c>
      <c r="G189" s="550">
        <v>9170</v>
      </c>
      <c r="H189" s="550">
        <v>10175</v>
      </c>
      <c r="I189" s="550">
        <v>10463.999999999998</v>
      </c>
      <c r="J189" s="550">
        <v>9575</v>
      </c>
      <c r="K189" s="550">
        <v>9860.9999999999982</v>
      </c>
      <c r="L189" s="550">
        <v>10416</v>
      </c>
      <c r="M189" s="550">
        <v>10948</v>
      </c>
      <c r="N189" s="550">
        <v>10847</v>
      </c>
      <c r="O189" s="529">
        <v>10151</v>
      </c>
      <c r="P189" s="529">
        <v>10320.817287899999</v>
      </c>
      <c r="Q189" s="529">
        <v>10735.105465133809</v>
      </c>
      <c r="R189" s="529">
        <v>11135</v>
      </c>
      <c r="S189" s="529">
        <v>10533</v>
      </c>
      <c r="T189" s="250">
        <f>T186+T187</f>
        <v>10458.8976</v>
      </c>
      <c r="U189" s="250">
        <f>U186+U187</f>
        <v>10234.637000000001</v>
      </c>
      <c r="V189" s="250">
        <f>V186+V187</f>
        <v>10568</v>
      </c>
      <c r="W189" s="250">
        <f>W186+W187+W188</f>
        <v>8434</v>
      </c>
      <c r="X189" s="250">
        <f t="shared" ref="X189:AH189" si="332">X186+X187+X188</f>
        <v>8411</v>
      </c>
      <c r="Y189" s="250">
        <f t="shared" si="332"/>
        <v>8653.1655742179282</v>
      </c>
      <c r="Z189" s="250">
        <f t="shared" si="332"/>
        <v>8200.9322838511616</v>
      </c>
      <c r="AA189" s="250">
        <f t="shared" si="332"/>
        <v>8383.2212777158857</v>
      </c>
      <c r="AB189" s="250">
        <f t="shared" si="332"/>
        <v>8576.4676981060948</v>
      </c>
      <c r="AC189" s="250">
        <f t="shared" si="332"/>
        <v>8665.3684419380006</v>
      </c>
      <c r="AD189" s="250">
        <f t="shared" si="332"/>
        <v>8866.5442399652729</v>
      </c>
      <c r="AE189" s="250">
        <f t="shared" si="332"/>
        <v>9082.3759499193475</v>
      </c>
      <c r="AF189" s="250">
        <f t="shared" si="332"/>
        <v>9290.0133798083407</v>
      </c>
      <c r="AG189" s="250">
        <f t="shared" si="332"/>
        <v>9517.3432962335028</v>
      </c>
      <c r="AH189" s="250">
        <f t="shared" si="332"/>
        <v>9765.0748225299358</v>
      </c>
      <c r="AI189" s="250">
        <f>AI186+AI187+AI188</f>
        <v>10034.144622136932</v>
      </c>
      <c r="AJ189" s="250">
        <f t="shared" ref="AJ189:AK189" si="333">AJ186+AJ187+AJ188</f>
        <v>10336.04978408508</v>
      </c>
      <c r="AK189" s="250">
        <f t="shared" si="333"/>
        <v>10658.860518414622</v>
      </c>
      <c r="AL189" s="250">
        <f t="shared" ref="AL189" si="334">AL186+AL187+AL188</f>
        <v>9667.2128045104419</v>
      </c>
      <c r="AP189" s="259">
        <f>AP186+AP187</f>
        <v>5433</v>
      </c>
      <c r="AQ189" s="259">
        <f>AQ186+AQ187</f>
        <v>5135</v>
      </c>
      <c r="AR189" s="259">
        <f>V189</f>
        <v>10568</v>
      </c>
      <c r="AS189" s="259">
        <f>AS186+AS187</f>
        <v>4483</v>
      </c>
      <c r="AT189" s="259">
        <f>AT186+AT187</f>
        <v>4532</v>
      </c>
      <c r="AU189" s="259">
        <f>W189</f>
        <v>8434</v>
      </c>
      <c r="AV189" s="259">
        <f>AV186+AV187</f>
        <v>4479</v>
      </c>
      <c r="AW189" s="259">
        <f>AW186+AW187</f>
        <v>4220</v>
      </c>
      <c r="AX189" s="259">
        <f>X189</f>
        <v>8411</v>
      </c>
      <c r="AY189" s="259">
        <f>AY186+AY187</f>
        <v>4479</v>
      </c>
      <c r="AZ189" s="259">
        <f>AZ186+AZ187</f>
        <v>4174.1655742179291</v>
      </c>
      <c r="BA189" s="259">
        <f>Y189</f>
        <v>8653.1655742179282</v>
      </c>
      <c r="BB189" s="259">
        <f>BB186+BB187</f>
        <v>4479</v>
      </c>
      <c r="BC189" s="259">
        <f>BC186+BC187</f>
        <v>4097.4676981060948</v>
      </c>
      <c r="BD189" s="259">
        <f>AB189</f>
        <v>8576.4676981060948</v>
      </c>
      <c r="BE189" s="259">
        <f>BE186+BE187</f>
        <v>4479</v>
      </c>
      <c r="BF189" s="259">
        <f>BF186+BF187</f>
        <v>3904.2212777158834</v>
      </c>
      <c r="BG189" s="259">
        <f t="shared" ref="BG189:BN190" si="335">AA189</f>
        <v>8383.2212777158857</v>
      </c>
      <c r="BH189" s="259">
        <f t="shared" si="335"/>
        <v>8576.4676981060948</v>
      </c>
      <c r="BI189" s="259">
        <f t="shared" si="335"/>
        <v>8665.3684419380006</v>
      </c>
      <c r="BJ189" s="259">
        <f t="shared" si="335"/>
        <v>8866.5442399652729</v>
      </c>
      <c r="BK189" s="259">
        <f t="shared" si="335"/>
        <v>9082.3759499193475</v>
      </c>
      <c r="BL189" s="259">
        <f t="shared" si="335"/>
        <v>9290.0133798083407</v>
      </c>
      <c r="BM189" s="259">
        <f t="shared" si="335"/>
        <v>9517.3432962335028</v>
      </c>
      <c r="BN189" s="259">
        <f t="shared" si="335"/>
        <v>9765.0748225299358</v>
      </c>
    </row>
    <row r="190" spans="1:66" hidden="1" outlineLevel="1" collapsed="1">
      <c r="A190" s="312"/>
      <c r="B190" s="325" t="s">
        <v>880</v>
      </c>
      <c r="C190" s="811" t="s">
        <v>733</v>
      </c>
      <c r="D190" s="311"/>
      <c r="E190" s="311"/>
      <c r="F190" s="311"/>
      <c r="G190" s="311"/>
      <c r="H190" s="311"/>
      <c r="I190" s="311"/>
      <c r="J190" s="311"/>
      <c r="K190" s="311"/>
      <c r="L190" s="311">
        <f t="shared" ref="L190:S190" si="336">(L189/K189)-1</f>
        <v>5.6282324307879827E-2</v>
      </c>
      <c r="M190" s="311">
        <f t="shared" si="336"/>
        <v>5.1075268817204256E-2</v>
      </c>
      <c r="N190" s="311">
        <f t="shared" si="336"/>
        <v>-9.2254293021556411E-3</v>
      </c>
      <c r="O190" s="311">
        <f t="shared" si="336"/>
        <v>-6.4165206969668986E-2</v>
      </c>
      <c r="P190" s="311">
        <f t="shared" si="336"/>
        <v>1.672911909171515E-2</v>
      </c>
      <c r="Q190" s="311">
        <f t="shared" si="336"/>
        <v>4.0141024269416681E-2</v>
      </c>
      <c r="R190" s="311">
        <f t="shared" si="336"/>
        <v>3.7251104440938709E-2</v>
      </c>
      <c r="S190" s="311">
        <f t="shared" si="336"/>
        <v>-5.4063762909744018E-2</v>
      </c>
      <c r="T190" s="311">
        <f>(T189/S189)-1</f>
        <v>-7.0352606095129833E-3</v>
      </c>
      <c r="U190" s="311">
        <f>(U189/T189)-1</f>
        <v>-2.1442087739725002E-2</v>
      </c>
      <c r="V190" s="311">
        <f>(V189/U189)-1</f>
        <v>3.2572039438233169E-2</v>
      </c>
      <c r="W190" s="311">
        <f t="shared" ref="W190:AB190" si="337">(W189/V189)-1</f>
        <v>-0.20193035579106733</v>
      </c>
      <c r="X190" s="311">
        <f t="shared" si="337"/>
        <v>-2.7270571496323948E-3</v>
      </c>
      <c r="Y190" s="311">
        <f t="shared" si="337"/>
        <v>2.879153182950045E-2</v>
      </c>
      <c r="Z190" s="311">
        <f t="shared" si="337"/>
        <v>-5.2262179255438523E-2</v>
      </c>
      <c r="AA190" s="311">
        <f t="shared" si="337"/>
        <v>2.2227837952482288E-2</v>
      </c>
      <c r="AB190" s="311">
        <f t="shared" si="337"/>
        <v>2.3051570987860259E-2</v>
      </c>
      <c r="AC190" s="312">
        <f t="shared" ref="AC190:AI190" si="338">(AC189/AB189)-1</f>
        <v>1.0365659495404689E-2</v>
      </c>
      <c r="AD190" s="312">
        <f t="shared" si="338"/>
        <v>2.3216069734973699E-2</v>
      </c>
      <c r="AE190" s="312">
        <f t="shared" si="338"/>
        <v>2.4342258281555784E-2</v>
      </c>
      <c r="AF190" s="312">
        <f t="shared" si="338"/>
        <v>2.2861576203618617E-2</v>
      </c>
      <c r="AG190" s="312">
        <f t="shared" si="338"/>
        <v>2.4470354038376163E-2</v>
      </c>
      <c r="AH190" s="312">
        <f t="shared" si="338"/>
        <v>2.6029483080060034E-2</v>
      </c>
      <c r="AI190" s="312">
        <f t="shared" si="338"/>
        <v>2.7554299838665752E-2</v>
      </c>
      <c r="AJ190" s="312">
        <f t="shared" ref="AJ190" si="339">(AJ189/AI189)-1</f>
        <v>3.0087782598040125E-2</v>
      </c>
      <c r="AK190" s="312">
        <f t="shared" ref="AK190:AL190" si="340">(AK189/AJ189)-1</f>
        <v>3.1231538263930325E-2</v>
      </c>
      <c r="AL190" s="312">
        <f t="shared" si="340"/>
        <v>-9.3035058690464578E-2</v>
      </c>
      <c r="AP190" s="312"/>
      <c r="AQ190" s="312"/>
      <c r="AR190" s="312">
        <f>V190</f>
        <v>3.2572039438233169E-2</v>
      </c>
      <c r="AS190" s="312"/>
      <c r="AT190" s="312"/>
      <c r="AU190" s="312">
        <f>W190</f>
        <v>-0.20193035579106733</v>
      </c>
      <c r="AV190" s="312">
        <f>AV189/AS189-1</f>
        <v>-8.9225964755745846E-4</v>
      </c>
      <c r="AW190" s="312">
        <f>AW189/AT189-1</f>
        <v>-6.8843777581641619E-2</v>
      </c>
      <c r="AX190" s="312">
        <f>X190</f>
        <v>-2.7270571496323948E-3</v>
      </c>
      <c r="AY190" s="312">
        <f>AY189/AV189-1</f>
        <v>0</v>
      </c>
      <c r="AZ190" s="312">
        <f>AZ189/AW189-1</f>
        <v>-1.0861238336983603E-2</v>
      </c>
      <c r="BA190" s="312">
        <f>Y190</f>
        <v>2.879153182950045E-2</v>
      </c>
      <c r="BB190" s="312">
        <f>BB189/AY189-1</f>
        <v>0</v>
      </c>
      <c r="BC190" s="312">
        <f>BC189/AZ189-1</f>
        <v>-1.8374421126360008E-2</v>
      </c>
      <c r="BD190" s="312">
        <f>AB190</f>
        <v>2.3051570987860259E-2</v>
      </c>
      <c r="BE190" s="312">
        <f>BE189/BB189-1</f>
        <v>0</v>
      </c>
      <c r="BF190" s="312">
        <f>BF189/BC189-1</f>
        <v>-4.7162402397835201E-2</v>
      </c>
      <c r="BG190" s="312">
        <f t="shared" si="335"/>
        <v>2.2227837952482288E-2</v>
      </c>
      <c r="BH190" s="312">
        <f t="shared" si="335"/>
        <v>2.3051570987860259E-2</v>
      </c>
      <c r="BI190" s="312">
        <f t="shared" si="335"/>
        <v>1.0365659495404689E-2</v>
      </c>
      <c r="BJ190" s="312">
        <f t="shared" si="335"/>
        <v>2.3216069734973699E-2</v>
      </c>
      <c r="BK190" s="312">
        <f t="shared" si="335"/>
        <v>2.4342258281555784E-2</v>
      </c>
      <c r="BL190" s="312">
        <f t="shared" si="335"/>
        <v>2.2861576203618617E-2</v>
      </c>
      <c r="BM190" s="312">
        <f t="shared" si="335"/>
        <v>2.4470354038376163E-2</v>
      </c>
      <c r="BN190" s="312">
        <f t="shared" si="335"/>
        <v>2.6029483080060034E-2</v>
      </c>
    </row>
    <row r="191" spans="1:66" hidden="1" outlineLevel="1">
      <c r="A191" s="2"/>
      <c r="B191" s="36"/>
      <c r="C191" s="18"/>
      <c r="D191" s="56"/>
      <c r="E191" s="56"/>
      <c r="F191" s="56"/>
      <c r="G191" s="56"/>
      <c r="H191" s="56"/>
      <c r="I191" s="56"/>
      <c r="J191" s="56"/>
      <c r="K191" s="56"/>
      <c r="L191" s="56"/>
      <c r="M191" s="56"/>
      <c r="N191" s="56"/>
      <c r="O191" s="56"/>
      <c r="P191" s="56"/>
      <c r="Q191" s="56"/>
      <c r="R191" s="56"/>
      <c r="S191" s="56"/>
      <c r="T191" s="56"/>
      <c r="U191" s="56"/>
      <c r="V191" s="56"/>
      <c r="W191" s="56"/>
      <c r="X191" s="56"/>
      <c r="Y191" s="56"/>
      <c r="Z191" s="56"/>
      <c r="AA191" s="56"/>
      <c r="AB191" s="56"/>
      <c r="AC191" s="2"/>
      <c r="AD191" s="2"/>
      <c r="AE191" s="2"/>
      <c r="AF191" s="2"/>
      <c r="AG191" s="2"/>
      <c r="AH191" s="2"/>
      <c r="AI191" s="2"/>
      <c r="AJ191" s="2"/>
      <c r="AK191" s="2"/>
      <c r="AL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row>
    <row r="192" spans="1:66" hidden="1" outlineLevel="1">
      <c r="A192" s="6"/>
      <c r="B192" s="35" t="s">
        <v>984</v>
      </c>
      <c r="C192" s="21" t="s">
        <v>732</v>
      </c>
      <c r="D192" s="60">
        <v>8563</v>
      </c>
      <c r="E192" s="60">
        <v>9834</v>
      </c>
      <c r="F192" s="60"/>
      <c r="G192" s="60">
        <f>G189</f>
        <v>9170</v>
      </c>
      <c r="H192" s="60"/>
      <c r="I192" s="60">
        <f>I189</f>
        <v>10463.999999999998</v>
      </c>
      <c r="J192" s="60"/>
      <c r="K192" s="60">
        <v>9860.9999999999982</v>
      </c>
      <c r="L192" s="60">
        <v>10416</v>
      </c>
      <c r="M192" s="60">
        <v>10948</v>
      </c>
      <c r="N192" s="60">
        <v>10847</v>
      </c>
      <c r="O192" s="249">
        <v>10151</v>
      </c>
      <c r="P192" s="249">
        <v>10213.159509814008</v>
      </c>
      <c r="Q192" s="249">
        <v>10447.309877524007</v>
      </c>
      <c r="R192" s="249">
        <v>10783.834779056866</v>
      </c>
      <c r="S192" s="249">
        <v>9865.1280790568653</v>
      </c>
      <c r="T192" s="249">
        <f>T189-'Cost + BS Assumptions'!T376-T187</f>
        <v>10204.8976</v>
      </c>
      <c r="U192" s="249">
        <f>U189-'Cost + BS Assumptions'!U376-U187</f>
        <v>9368.6370000000006</v>
      </c>
      <c r="V192" s="249">
        <f>V189-'Cost + BS Assumptions'!V376-V187</f>
        <v>8732</v>
      </c>
      <c r="W192" s="249">
        <f>W189-'Cost + BS Assumptions'!W376-W187</f>
        <v>7622</v>
      </c>
      <c r="X192" s="249">
        <f>X189-'Cost + BS Assumptions'!X376-X187</f>
        <v>7121</v>
      </c>
      <c r="Y192" s="249">
        <f>Y189-'Cost + BS Assumptions'!Y376-Y187</f>
        <v>7930.8914991326037</v>
      </c>
      <c r="Z192" s="249">
        <f>Z189-'Cost + BS Assumptions'!Z376-Z187</f>
        <v>7993.0060365701593</v>
      </c>
      <c r="AA192" s="249">
        <f>AA189-'Cost + BS Assumptions'!AA376-AA187</f>
        <v>8278.8547737424306</v>
      </c>
      <c r="AB192" s="249">
        <f>AB189-'Cost + BS Assumptions'!AB376-AB187</f>
        <v>8475.4832087750292</v>
      </c>
      <c r="AC192" s="940">
        <f>AC189-'Cost + BS Assumptions'!AC376-AC187</f>
        <v>8665.3684419380006</v>
      </c>
      <c r="AD192" s="940">
        <f>AD189-'Cost + BS Assumptions'!AD376-AD187</f>
        <v>8866.5442399652729</v>
      </c>
      <c r="AE192" s="940">
        <f>AE189-'Cost + BS Assumptions'!AE376-AE187</f>
        <v>9082.3759499193475</v>
      </c>
      <c r="AF192" s="940">
        <f>AF189-'Cost + BS Assumptions'!AF376-AF187</f>
        <v>9290.0133798083407</v>
      </c>
      <c r="AG192" s="940">
        <f>AG189-'Cost + BS Assumptions'!AG376-AG187</f>
        <v>9517.3432962335028</v>
      </c>
      <c r="AH192" s="940">
        <f>AH189-'Cost + BS Assumptions'!AH376-AH187</f>
        <v>9765.0748225299358</v>
      </c>
      <c r="AI192" s="940">
        <f>AI189-'Cost + BS Assumptions'!AI376-AI187</f>
        <v>10034.144622136932</v>
      </c>
      <c r="AJ192" s="940">
        <f>AJ189-'Cost + BS Assumptions'!AJ376-AJ187</f>
        <v>10336.04978408508</v>
      </c>
      <c r="AK192" s="940">
        <f>AK189-'Cost + BS Assumptions'!AK376-AK187</f>
        <v>10658.860518414622</v>
      </c>
      <c r="AL192" s="940">
        <f>AL189-'Cost + BS Assumptions'!AL376-AL187</f>
        <v>9667.2128045104419</v>
      </c>
      <c r="AP192" s="6"/>
      <c r="AQ192" s="6"/>
      <c r="AR192" s="6">
        <f>V192</f>
        <v>8732</v>
      </c>
      <c r="AS192" s="6">
        <f>AS184</f>
        <v>4149</v>
      </c>
      <c r="AT192" s="6">
        <f>AT184</f>
        <v>4054</v>
      </c>
      <c r="AU192" s="6">
        <f>W192</f>
        <v>7622</v>
      </c>
      <c r="AV192" s="6">
        <f>AV184</f>
        <v>3875</v>
      </c>
      <c r="AW192" s="6">
        <f>AX192-AV192</f>
        <v>3246</v>
      </c>
      <c r="AX192" s="6">
        <f>X192</f>
        <v>7121</v>
      </c>
      <c r="AY192" s="6">
        <f>AY184</f>
        <v>3875</v>
      </c>
      <c r="AZ192" s="6">
        <f>BA192-AY192</f>
        <v>4055.8914991326037</v>
      </c>
      <c r="BA192" s="6">
        <f>Y192</f>
        <v>7930.8914991326037</v>
      </c>
      <c r="BB192" s="6">
        <f>BB184</f>
        <v>3875</v>
      </c>
      <c r="BC192" s="6">
        <f>BD192-BB192</f>
        <v>4600.4832087750292</v>
      </c>
      <c r="BD192" s="6">
        <f>AB192</f>
        <v>8475.4832087750292</v>
      </c>
      <c r="BE192" s="6">
        <f>BE184</f>
        <v>3875</v>
      </c>
      <c r="BF192" s="6">
        <f>BG192-BE192</f>
        <v>4403.8547737424306</v>
      </c>
      <c r="BG192" s="6">
        <f t="shared" ref="BG192:BN193" si="341">AA192</f>
        <v>8278.8547737424306</v>
      </c>
      <c r="BH192" s="6">
        <f t="shared" si="341"/>
        <v>8475.4832087750292</v>
      </c>
      <c r="BI192" s="6">
        <f t="shared" si="341"/>
        <v>8665.3684419380006</v>
      </c>
      <c r="BJ192" s="6">
        <f t="shared" si="341"/>
        <v>8866.5442399652729</v>
      </c>
      <c r="BK192" s="6">
        <f t="shared" si="341"/>
        <v>9082.3759499193475</v>
      </c>
      <c r="BL192" s="6">
        <f t="shared" si="341"/>
        <v>9290.0133798083407</v>
      </c>
      <c r="BM192" s="6">
        <f t="shared" si="341"/>
        <v>9517.3432962335028</v>
      </c>
      <c r="BN192" s="6">
        <f t="shared" si="341"/>
        <v>9765.0748225299358</v>
      </c>
    </row>
    <row r="193" spans="1:66" hidden="1" outlineLevel="1">
      <c r="A193" s="312"/>
      <c r="B193" s="325" t="s">
        <v>880</v>
      </c>
      <c r="C193" s="811" t="s">
        <v>733</v>
      </c>
      <c r="D193" s="311"/>
      <c r="E193" s="311">
        <f t="shared" ref="E193:U193" si="342">(E192/D192)-1</f>
        <v>0.14842928880065398</v>
      </c>
      <c r="F193" s="311">
        <f t="shared" si="342"/>
        <v>-1</v>
      </c>
      <c r="G193" s="311" t="str">
        <f>IFERROR((G192/F192)-1,"")</f>
        <v/>
      </c>
      <c r="H193" s="311">
        <f t="shared" si="342"/>
        <v>-1</v>
      </c>
      <c r="I193" s="311" t="str">
        <f>IFERROR((I192/H192)-1,"")</f>
        <v/>
      </c>
      <c r="J193" s="311">
        <f t="shared" si="342"/>
        <v>-1</v>
      </c>
      <c r="K193" s="311" t="str">
        <f>IFERROR((K192/J192)-1,"")</f>
        <v/>
      </c>
      <c r="L193" s="311">
        <f t="shared" si="342"/>
        <v>5.6282324307879827E-2</v>
      </c>
      <c r="M193" s="311">
        <f t="shared" si="342"/>
        <v>5.1075268817204256E-2</v>
      </c>
      <c r="N193" s="311">
        <f t="shared" si="342"/>
        <v>-9.2254293021556411E-3</v>
      </c>
      <c r="O193" s="311">
        <f t="shared" si="342"/>
        <v>-6.4165206969668986E-2</v>
      </c>
      <c r="P193" s="311">
        <f t="shared" si="342"/>
        <v>6.1234863377015447E-3</v>
      </c>
      <c r="Q193" s="311">
        <f t="shared" si="342"/>
        <v>2.2926340030722026E-2</v>
      </c>
      <c r="R193" s="311">
        <f t="shared" si="342"/>
        <v>3.2211632035233029E-2</v>
      </c>
      <c r="S193" s="311">
        <f t="shared" si="342"/>
        <v>-8.519295026516982E-2</v>
      </c>
      <c r="T193" s="311">
        <f t="shared" si="342"/>
        <v>3.4441470827373033E-2</v>
      </c>
      <c r="U193" s="311">
        <f t="shared" si="342"/>
        <v>-8.1946985925659854E-2</v>
      </c>
      <c r="V193" s="311">
        <f t="shared" ref="V193:AB193" si="343">(V192/U192)-1</f>
        <v>-6.7954068452006466E-2</v>
      </c>
      <c r="W193" s="311">
        <f t="shared" si="343"/>
        <v>-0.1271186440677966</v>
      </c>
      <c r="X193" s="311">
        <f t="shared" si="343"/>
        <v>-6.5730779323012301E-2</v>
      </c>
      <c r="Y193" s="311">
        <f t="shared" si="343"/>
        <v>0.11373283234554177</v>
      </c>
      <c r="Z193" s="311">
        <f t="shared" si="343"/>
        <v>7.8319741789871777E-3</v>
      </c>
      <c r="AA193" s="311">
        <f t="shared" si="343"/>
        <v>3.5762357223857455E-2</v>
      </c>
      <c r="AB193" s="311">
        <f t="shared" si="343"/>
        <v>2.3750680547777403E-2</v>
      </c>
      <c r="AC193" s="312">
        <f t="shared" ref="AC193:AI193" si="344">(AC192/AB192)-1</f>
        <v>2.2404059861315551E-2</v>
      </c>
      <c r="AD193" s="312">
        <f t="shared" si="344"/>
        <v>2.3216069734973699E-2</v>
      </c>
      <c r="AE193" s="312">
        <f t="shared" si="344"/>
        <v>2.4342258281555784E-2</v>
      </c>
      <c r="AF193" s="312">
        <f t="shared" si="344"/>
        <v>2.2861576203618617E-2</v>
      </c>
      <c r="AG193" s="312">
        <f t="shared" si="344"/>
        <v>2.4470354038376163E-2</v>
      </c>
      <c r="AH193" s="312">
        <f t="shared" si="344"/>
        <v>2.6029483080060034E-2</v>
      </c>
      <c r="AI193" s="312">
        <f t="shared" si="344"/>
        <v>2.7554299838665752E-2</v>
      </c>
      <c r="AJ193" s="312">
        <f t="shared" ref="AJ193" si="345">(AJ192/AI192)-1</f>
        <v>3.0087782598040125E-2</v>
      </c>
      <c r="AK193" s="312">
        <f t="shared" ref="AK193:AL193" si="346">(AK192/AJ192)-1</f>
        <v>3.1231538263930325E-2</v>
      </c>
      <c r="AL193" s="312">
        <f t="shared" si="346"/>
        <v>-9.3035058690464578E-2</v>
      </c>
      <c r="AP193" s="312"/>
      <c r="AQ193" s="312"/>
      <c r="AR193" s="312">
        <f>V193</f>
        <v>-6.7954068452006466E-2</v>
      </c>
      <c r="AS193" s="312"/>
      <c r="AT193" s="312"/>
      <c r="AU193" s="312">
        <f>W193</f>
        <v>-0.1271186440677966</v>
      </c>
      <c r="AV193" s="312">
        <f>AV192/AS192-1</f>
        <v>-6.6040009640877306E-2</v>
      </c>
      <c r="AW193" s="312">
        <f>AW192/AT192-1</f>
        <v>-0.19930932412432167</v>
      </c>
      <c r="AX193" s="312">
        <f>X193</f>
        <v>-6.5730779323012301E-2</v>
      </c>
      <c r="AY193" s="312">
        <f>AY192/AV192-1</f>
        <v>0</v>
      </c>
      <c r="AZ193" s="312">
        <f>AZ192/AW192-1</f>
        <v>0.2495044667691324</v>
      </c>
      <c r="BA193" s="312">
        <f>Y193</f>
        <v>0.11373283234554177</v>
      </c>
      <c r="BB193" s="312">
        <f>BB192/AY192-1</f>
        <v>0</v>
      </c>
      <c r="BC193" s="312">
        <f>BC192/AZ192-1</f>
        <v>0.13427176485339709</v>
      </c>
      <c r="BD193" s="312">
        <f>AB193</f>
        <v>2.3750680547777403E-2</v>
      </c>
      <c r="BE193" s="312">
        <f>BE192/BB192-1</f>
        <v>0</v>
      </c>
      <c r="BF193" s="312">
        <f>BF192/BC192-1</f>
        <v>-4.2740822237443798E-2</v>
      </c>
      <c r="BG193" s="312">
        <f t="shared" si="341"/>
        <v>3.5762357223857455E-2</v>
      </c>
      <c r="BH193" s="312">
        <f t="shared" si="341"/>
        <v>2.3750680547777403E-2</v>
      </c>
      <c r="BI193" s="312">
        <f t="shared" si="341"/>
        <v>2.2404059861315551E-2</v>
      </c>
      <c r="BJ193" s="312">
        <f t="shared" si="341"/>
        <v>2.3216069734973699E-2</v>
      </c>
      <c r="BK193" s="312">
        <f t="shared" si="341"/>
        <v>2.4342258281555784E-2</v>
      </c>
      <c r="BL193" s="312">
        <f t="shared" si="341"/>
        <v>2.2861576203618617E-2</v>
      </c>
      <c r="BM193" s="312">
        <f t="shared" si="341"/>
        <v>2.4470354038376163E-2</v>
      </c>
      <c r="BN193" s="312">
        <f t="shared" si="341"/>
        <v>2.6029483080060034E-2</v>
      </c>
    </row>
    <row r="194" spans="1:66" hidden="1" outlineLevel="1">
      <c r="A194" s="2"/>
      <c r="B194" s="36"/>
      <c r="C194" s="18"/>
      <c r="D194" s="29"/>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
      <c r="AD194" s="2"/>
      <c r="AE194" s="2"/>
      <c r="AF194" s="2"/>
      <c r="AG194" s="2"/>
      <c r="AH194" s="2"/>
      <c r="AI194" s="2"/>
      <c r="AJ194" s="2"/>
      <c r="AK194" s="2"/>
      <c r="AL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row>
    <row r="195" spans="1:66" hidden="1" outlineLevel="1">
      <c r="A195" s="2"/>
      <c r="B195" s="36" t="s">
        <v>398</v>
      </c>
      <c r="C195" s="18" t="s">
        <v>732</v>
      </c>
      <c r="D195" s="599">
        <v>-58</v>
      </c>
      <c r="E195" s="599">
        <v>-182.7</v>
      </c>
      <c r="F195" s="599">
        <v>-81</v>
      </c>
      <c r="G195" s="599">
        <v>-1025</v>
      </c>
      <c r="H195" s="599">
        <v>-78</v>
      </c>
      <c r="I195" s="599">
        <v>-94</v>
      </c>
      <c r="J195" s="599">
        <v>5</v>
      </c>
      <c r="K195" s="599">
        <v>-7</v>
      </c>
      <c r="L195" s="599">
        <v>-1</v>
      </c>
      <c r="M195" s="599">
        <v>3</v>
      </c>
      <c r="N195" s="599">
        <v>-2</v>
      </c>
      <c r="O195" s="600">
        <v>-1</v>
      </c>
      <c r="P195" s="600">
        <v>0</v>
      </c>
      <c r="Q195" s="600">
        <v>1</v>
      </c>
      <c r="R195" s="600">
        <v>24</v>
      </c>
      <c r="S195" s="600">
        <v>19</v>
      </c>
      <c r="T195" s="600">
        <v>15</v>
      </c>
      <c r="U195" s="600">
        <v>32</v>
      </c>
      <c r="V195" s="600">
        <v>-22</v>
      </c>
      <c r="W195" s="600">
        <v>12</v>
      </c>
      <c r="X195" s="251"/>
      <c r="Y195" s="247"/>
      <c r="Z195" s="247"/>
      <c r="AA195" s="247"/>
      <c r="AB195" s="247"/>
      <c r="AC195" s="2"/>
      <c r="AD195" s="2"/>
      <c r="AE195" s="2"/>
      <c r="AF195" s="2"/>
      <c r="AG195" s="2"/>
      <c r="AH195" s="2"/>
      <c r="AI195" s="2"/>
      <c r="AJ195" s="2"/>
      <c r="AK195" s="2"/>
      <c r="AL195" s="2"/>
      <c r="AP195" s="530">
        <v>-31</v>
      </c>
      <c r="AQ195" s="2">
        <f>+AR195-AP195</f>
        <v>9</v>
      </c>
      <c r="AR195" s="2">
        <f>V195</f>
        <v>-22</v>
      </c>
      <c r="AS195" s="530">
        <v>1</v>
      </c>
      <c r="AT195" s="2">
        <f>+AU195-AS195</f>
        <v>11</v>
      </c>
      <c r="AU195" s="2">
        <f>W195</f>
        <v>12</v>
      </c>
      <c r="AV195" s="530">
        <v>-2</v>
      </c>
      <c r="AW195" s="2">
        <f>+AX195-AV195</f>
        <v>2</v>
      </c>
      <c r="AX195" s="2">
        <f>X195</f>
        <v>0</v>
      </c>
      <c r="AY195" s="530">
        <v>-2</v>
      </c>
      <c r="AZ195" s="2">
        <f>+BA195-AY195</f>
        <v>2</v>
      </c>
      <c r="BA195" s="2">
        <f>Y195</f>
        <v>0</v>
      </c>
      <c r="BB195" s="530">
        <v>-2</v>
      </c>
      <c r="BC195" s="2">
        <f>+BD195-BB195</f>
        <v>2</v>
      </c>
      <c r="BD195" s="2">
        <f>AB195</f>
        <v>0</v>
      </c>
      <c r="BE195" s="530">
        <v>-2</v>
      </c>
      <c r="BF195" s="2">
        <f>+BG195-BE195</f>
        <v>2</v>
      </c>
      <c r="BG195" s="2">
        <f t="shared" ref="BG195:BN195" si="347">AA195</f>
        <v>0</v>
      </c>
      <c r="BH195" s="2">
        <f t="shared" si="347"/>
        <v>0</v>
      </c>
      <c r="BI195" s="2">
        <f t="shared" si="347"/>
        <v>0</v>
      </c>
      <c r="BJ195" s="2">
        <f t="shared" si="347"/>
        <v>0</v>
      </c>
      <c r="BK195" s="2">
        <f t="shared" si="347"/>
        <v>0</v>
      </c>
      <c r="BL195" s="2">
        <f t="shared" si="347"/>
        <v>0</v>
      </c>
      <c r="BM195" s="2">
        <f t="shared" si="347"/>
        <v>0</v>
      </c>
      <c r="BN195" s="2">
        <f t="shared" si="347"/>
        <v>0</v>
      </c>
    </row>
    <row r="196" spans="1:66" hidden="1" outlineLevel="1"/>
    <row r="197" spans="1:66" hidden="1" outlineLevel="1"/>
    <row r="198" spans="1:66" hidden="1" outlineLevel="1">
      <c r="B198" s="520" t="s">
        <v>1465</v>
      </c>
    </row>
    <row r="199" spans="1:66" hidden="1" outlineLevel="1">
      <c r="B199" s="164" t="s">
        <v>266</v>
      </c>
      <c r="W199" s="1164">
        <f>W36/W9</f>
        <v>0.35280308010141798</v>
      </c>
      <c r="X199" s="1164">
        <f t="shared" ref="X199:AI199" si="348">X36/X9</f>
        <v>0.34323790720631786</v>
      </c>
      <c r="Y199" s="1164">
        <f t="shared" si="348"/>
        <v>0.39172932330827065</v>
      </c>
      <c r="Z199" s="1164">
        <f t="shared" si="348"/>
        <v>0.42038014783526928</v>
      </c>
      <c r="AA199" s="1164">
        <f t="shared" si="348"/>
        <v>0.44862546305322676</v>
      </c>
      <c r="AB199" s="1164">
        <f t="shared" si="348"/>
        <v>0.46875582913635516</v>
      </c>
      <c r="AC199" s="1164">
        <f t="shared" si="348"/>
        <v>0.47762142532909668</v>
      </c>
      <c r="AD199" s="1164">
        <f t="shared" si="348"/>
        <v>0.47799999999999998</v>
      </c>
      <c r="AE199" s="1164">
        <f t="shared" si="348"/>
        <v>0.47799999999999998</v>
      </c>
      <c r="AF199" s="1164">
        <f t="shared" si="348"/>
        <v>0.47799999999999998</v>
      </c>
      <c r="AG199" s="1164">
        <f t="shared" si="348"/>
        <v>0.47799999999999998</v>
      </c>
      <c r="AH199" s="1164">
        <f t="shared" si="348"/>
        <v>0.47799999999999998</v>
      </c>
      <c r="AI199" s="1164">
        <f t="shared" si="348"/>
        <v>0.47799999999999998</v>
      </c>
      <c r="AJ199" s="1164">
        <f t="shared" ref="AJ199:AK199" si="349">AJ36/AJ9</f>
        <v>0.47799999999999998</v>
      </c>
      <c r="AK199" s="1164">
        <f t="shared" si="349"/>
        <v>0.47799999999999998</v>
      </c>
      <c r="AL199" s="1164">
        <f t="shared" ref="AL199" si="350">AL36/AL9</f>
        <v>0.47799999999999998</v>
      </c>
    </row>
    <row r="200" spans="1:66" hidden="1" outlineLevel="1">
      <c r="B200" s="510" t="s">
        <v>1250</v>
      </c>
      <c r="W200" s="1164">
        <f>W37/W10</f>
        <v>0.18924339106654511</v>
      </c>
      <c r="X200" s="1164">
        <f t="shared" ref="X200:AI200" si="351">X37/X10</f>
        <v>0.11154829824906551</v>
      </c>
      <c r="Y200" s="1164">
        <f t="shared" si="351"/>
        <v>5.7643581081081079E-2</v>
      </c>
      <c r="Z200" s="1164">
        <f t="shared" si="351"/>
        <v>1.2260365581810076E-2</v>
      </c>
      <c r="AA200" s="1164">
        <f t="shared" si="351"/>
        <v>3.0289432353601077E-2</v>
      </c>
      <c r="AB200" s="1164">
        <f t="shared" si="351"/>
        <v>5.8323765786452354E-2</v>
      </c>
      <c r="AC200" s="1164">
        <f t="shared" si="351"/>
        <v>8.4438241451500348E-2</v>
      </c>
      <c r="AD200" s="1164">
        <f t="shared" si="351"/>
        <v>8.5999999999999993E-2</v>
      </c>
      <c r="AE200" s="1164">
        <f t="shared" si="351"/>
        <v>8.5999999999999993E-2</v>
      </c>
      <c r="AF200" s="1164">
        <f t="shared" si="351"/>
        <v>8.5999999999999993E-2</v>
      </c>
      <c r="AG200" s="1164">
        <f t="shared" si="351"/>
        <v>8.5999999999999993E-2</v>
      </c>
      <c r="AH200" s="1164">
        <f t="shared" si="351"/>
        <v>8.5999999999999993E-2</v>
      </c>
      <c r="AI200" s="1164">
        <f t="shared" si="351"/>
        <v>8.5999999999999993E-2</v>
      </c>
      <c r="AJ200" s="1164">
        <f t="shared" ref="AJ200:AK200" si="352">AJ37/AJ10</f>
        <v>8.5999999999999993E-2</v>
      </c>
      <c r="AK200" s="1164">
        <f t="shared" si="352"/>
        <v>8.5999999999999993E-2</v>
      </c>
      <c r="AL200" s="1164">
        <f t="shared" ref="AL200" si="353">AL37/AL10</f>
        <v>8.5999999999999993E-2</v>
      </c>
    </row>
    <row r="201" spans="1:66" hidden="1" outlineLevel="1">
      <c r="B201" s="8" t="s">
        <v>1324</v>
      </c>
      <c r="W201" s="1164">
        <f>W40/W13</f>
        <v>0.27786606129398411</v>
      </c>
      <c r="X201" s="1164">
        <f t="shared" ref="X201:AI201" si="354">X40/X13</f>
        <v>0.2798343886994642</v>
      </c>
      <c r="Y201" s="1164">
        <f t="shared" si="354"/>
        <v>0.23818474758324382</v>
      </c>
      <c r="Z201" s="1164">
        <f t="shared" si="354"/>
        <v>0.17699115044247787</v>
      </c>
      <c r="AA201" s="1164">
        <f t="shared" si="354"/>
        <v>0.11303600705074057</v>
      </c>
      <c r="AB201" s="1164">
        <f t="shared" si="354"/>
        <v>3.8450664404862875E-2</v>
      </c>
      <c r="AC201" s="1164">
        <f t="shared" si="354"/>
        <v>6.9375907111756174E-2</v>
      </c>
      <c r="AD201" s="1164">
        <f t="shared" si="354"/>
        <v>4.4999999999999998E-2</v>
      </c>
      <c r="AE201" s="1164">
        <f t="shared" si="354"/>
        <v>4.5000000000000005E-2</v>
      </c>
      <c r="AF201" s="1164">
        <f t="shared" si="354"/>
        <v>4.4999999999999998E-2</v>
      </c>
      <c r="AG201" s="1164">
        <f t="shared" si="354"/>
        <v>4.4999999999999998E-2</v>
      </c>
      <c r="AH201" s="1164">
        <f t="shared" si="354"/>
        <v>4.4999999999999998E-2</v>
      </c>
      <c r="AI201" s="1164">
        <f t="shared" si="354"/>
        <v>4.4999999999999998E-2</v>
      </c>
      <c r="AJ201" s="1164">
        <f t="shared" ref="AJ201:AK201" si="355">AJ40/AJ13</f>
        <v>4.4999999999999998E-2</v>
      </c>
      <c r="AK201" s="1164">
        <f t="shared" si="355"/>
        <v>4.4999999999999998E-2</v>
      </c>
      <c r="AL201" s="1164">
        <f t="shared" ref="AL201" si="356">AL40/AL13</f>
        <v>4.4999999999999991E-2</v>
      </c>
    </row>
    <row r="202" spans="1:66" hidden="1" outlineLevel="1">
      <c r="B202" s="510" t="s">
        <v>1321</v>
      </c>
      <c r="W202" s="1164">
        <f>W41/W14</f>
        <v>0.51185855972401895</v>
      </c>
      <c r="X202" s="1164">
        <f t="shared" ref="X202:AI202" si="357">X41/X14</f>
        <v>0.47916666666666669</v>
      </c>
      <c r="Y202" s="1164">
        <f t="shared" si="357"/>
        <v>0.45796460176991149</v>
      </c>
      <c r="Z202" s="1164">
        <f t="shared" si="357"/>
        <v>0.33333333333333331</v>
      </c>
      <c r="AA202" s="1164">
        <f t="shared" si="357"/>
        <v>0.29032258064516131</v>
      </c>
      <c r="AB202" s="1164">
        <f t="shared" si="357"/>
        <v>0.25683060109289618</v>
      </c>
      <c r="AC202" s="1164">
        <f t="shared" si="357"/>
        <v>0.23495702005730659</v>
      </c>
      <c r="AD202" s="1164">
        <f t="shared" si="357"/>
        <v>0.2</v>
      </c>
      <c r="AE202" s="1164">
        <f t="shared" si="357"/>
        <v>0.2</v>
      </c>
      <c r="AF202" s="1164">
        <f t="shared" si="357"/>
        <v>0.19999999999999998</v>
      </c>
      <c r="AG202" s="1164">
        <f t="shared" si="357"/>
        <v>0.19999999999999998</v>
      </c>
      <c r="AH202" s="1164">
        <f t="shared" si="357"/>
        <v>0.19999999999999998</v>
      </c>
      <c r="AI202" s="1164">
        <f t="shared" si="357"/>
        <v>0.2</v>
      </c>
      <c r="AJ202" s="1164">
        <f t="shared" ref="AJ202:AK202" si="358">AJ41/AJ14</f>
        <v>0.2</v>
      </c>
      <c r="AK202" s="1164">
        <f t="shared" si="358"/>
        <v>0.2</v>
      </c>
      <c r="AL202" s="1164">
        <f t="shared" ref="AL202" si="359">AL41/AL14</f>
        <v>0.2</v>
      </c>
    </row>
    <row r="203" spans="1:66" hidden="1" outlineLevel="1">
      <c r="B203" s="510" t="s">
        <v>237</v>
      </c>
      <c r="W203" s="1164">
        <f>W42/W15</f>
        <v>0.15894428152492668</v>
      </c>
      <c r="X203" s="1164">
        <f t="shared" ref="X203:AI203" si="360">X42/X15</f>
        <v>0.25116588940706197</v>
      </c>
      <c r="Y203" s="1164">
        <f t="shared" si="360"/>
        <v>0.22459893048128343</v>
      </c>
      <c r="Z203" s="1164">
        <f t="shared" si="360"/>
        <v>0.25782811459027316</v>
      </c>
      <c r="AA203" s="1164">
        <f t="shared" si="360"/>
        <v>0.2935364347468094</v>
      </c>
      <c r="AB203" s="1164">
        <f t="shared" si="360"/>
        <v>0.30023273855702093</v>
      </c>
      <c r="AC203" s="1164">
        <f t="shared" si="360"/>
        <v>0.26207962891379977</v>
      </c>
      <c r="AD203" s="1164">
        <f t="shared" si="360"/>
        <v>0.26207962891379977</v>
      </c>
      <c r="AE203" s="1164">
        <f t="shared" si="360"/>
        <v>0.26207962891379977</v>
      </c>
      <c r="AF203" s="1164">
        <f t="shared" si="360"/>
        <v>0.26207962891379977</v>
      </c>
      <c r="AG203" s="1164">
        <f t="shared" si="360"/>
        <v>0.26207962891379977</v>
      </c>
      <c r="AH203" s="1164">
        <f t="shared" si="360"/>
        <v>0.26207962891379977</v>
      </c>
      <c r="AI203" s="1164">
        <f t="shared" si="360"/>
        <v>0.26207962891379977</v>
      </c>
      <c r="AJ203" s="1164">
        <f t="shared" ref="AJ203:AK203" si="361">AJ42/AJ15</f>
        <v>0.26207962891379977</v>
      </c>
      <c r="AK203" s="1164">
        <f t="shared" si="361"/>
        <v>0.26207962891379977</v>
      </c>
      <c r="AL203" s="1164">
        <f t="shared" ref="AL203" si="362">AL42/AL15</f>
        <v>0.26207962891379977</v>
      </c>
    </row>
    <row r="204" spans="1:66" hidden="1" outlineLevel="1">
      <c r="B204" s="510" t="s">
        <v>1463</v>
      </c>
      <c r="W204" s="1164">
        <f>W43/W16</f>
        <v>0.93239795918367352</v>
      </c>
      <c r="X204" s="1164">
        <f t="shared" ref="X204:AI204" si="363">X43/X16</f>
        <v>0.93821510297482835</v>
      </c>
      <c r="Y204" s="1164">
        <f t="shared" si="363"/>
        <v>0.94713656387665202</v>
      </c>
      <c r="Z204" s="1164">
        <f t="shared" si="363"/>
        <v>0.67385993485342022</v>
      </c>
      <c r="AA204" s="1164">
        <f t="shared" si="363"/>
        <v>0.65062597809076683</v>
      </c>
      <c r="AB204" s="1164">
        <f t="shared" si="363"/>
        <v>0.64056809905316825</v>
      </c>
      <c r="AC204" s="1164">
        <f t="shared" si="363"/>
        <v>0.66900369003690041</v>
      </c>
      <c r="AD204" s="1164">
        <f t="shared" si="363"/>
        <v>0.72007747908501762</v>
      </c>
      <c r="AE204" s="1164">
        <f t="shared" si="363"/>
        <v>0.71945124010438344</v>
      </c>
      <c r="AF204" s="1164">
        <f t="shared" si="363"/>
        <v>0.71882206890479261</v>
      </c>
      <c r="AG204" s="1164">
        <f t="shared" si="363"/>
        <v>0.71819022154136969</v>
      </c>
      <c r="AH204" s="1164">
        <f t="shared" si="363"/>
        <v>0.71755595859898602</v>
      </c>
      <c r="AI204" s="1164">
        <f t="shared" si="363"/>
        <v>0.71691954477620312</v>
      </c>
      <c r="AJ204" s="1164">
        <f t="shared" ref="AJ204:AK204" si="364">AJ43/AJ16</f>
        <v>0.71628124845447161</v>
      </c>
      <c r="AK204" s="1164">
        <f t="shared" si="364"/>
        <v>0.71564134125403256</v>
      </c>
      <c r="AL204" s="1164">
        <f t="shared" ref="AL204" si="365">AL43/AL16</f>
        <v>0.71500009757804672</v>
      </c>
    </row>
    <row r="205" spans="1:66" hidden="1" outlineLevel="1">
      <c r="B205" s="510" t="s">
        <v>1459</v>
      </c>
      <c r="W205" s="1164" t="str">
        <f>IFERROR(W44/W17,"")</f>
        <v/>
      </c>
      <c r="X205" s="1164" t="str">
        <f t="shared" ref="X205:Y205" si="366">IFERROR(X44/X17,"")</f>
        <v/>
      </c>
      <c r="Y205" s="1164" t="str">
        <f t="shared" si="366"/>
        <v/>
      </c>
      <c r="Z205" s="1164">
        <f t="shared" ref="Z205:AI205" si="367">Z44/Z17</f>
        <v>0.79891304347826086</v>
      </c>
      <c r="AA205" s="1164">
        <f t="shared" si="367"/>
        <v>0.79301745635910226</v>
      </c>
      <c r="AB205" s="1164">
        <f t="shared" si="367"/>
        <v>0.81456953642384111</v>
      </c>
      <c r="AC205" s="1164">
        <f t="shared" si="367"/>
        <v>0.81276595744680846</v>
      </c>
      <c r="AD205" s="1164">
        <f t="shared" si="367"/>
        <v>0.81276595744680846</v>
      </c>
      <c r="AE205" s="1164">
        <f t="shared" si="367"/>
        <v>0.81276595744680846</v>
      </c>
      <c r="AF205" s="1164">
        <f t="shared" si="367"/>
        <v>0.81276595744680846</v>
      </c>
      <c r="AG205" s="1164">
        <f t="shared" si="367"/>
        <v>0.81276595744680846</v>
      </c>
      <c r="AH205" s="1164">
        <f t="shared" si="367"/>
        <v>0.81276595744680846</v>
      </c>
      <c r="AI205" s="1164">
        <f t="shared" si="367"/>
        <v>0.81276595744680846</v>
      </c>
      <c r="AJ205" s="1164">
        <f t="shared" ref="AJ205:AK205" si="368">AJ44/AJ17</f>
        <v>0.81276595744680846</v>
      </c>
      <c r="AK205" s="1164">
        <f t="shared" si="368"/>
        <v>0.81276595744680846</v>
      </c>
      <c r="AL205" s="1164">
        <f t="shared" ref="AL205" si="369">AL44/AL17</f>
        <v>0.81276595744680846</v>
      </c>
    </row>
    <row r="206" spans="1:66" hidden="1" outlineLevel="1"/>
    <row r="207" spans="1:66" hidden="1" outlineLevel="1">
      <c r="A207" s="2"/>
      <c r="B207" s="20"/>
      <c r="C207" s="18"/>
      <c r="D207" s="937"/>
      <c r="E207" s="937"/>
      <c r="F207" s="937"/>
      <c r="G207" s="937"/>
      <c r="H207" s="937"/>
      <c r="I207" s="937"/>
      <c r="J207" s="937"/>
      <c r="K207" s="937"/>
      <c r="L207" s="937"/>
      <c r="M207" s="937"/>
      <c r="N207" s="937"/>
      <c r="O207" s="253"/>
      <c r="P207" s="253"/>
      <c r="Q207" s="253"/>
      <c r="R207" s="254"/>
      <c r="S207" s="615"/>
      <c r="T207" s="615"/>
      <c r="U207" s="615"/>
      <c r="V207" s="615"/>
      <c r="W207" s="254">
        <f>27807-19385-2742-1540-219</f>
        <v>3921</v>
      </c>
      <c r="X207" s="254"/>
      <c r="Y207" s="254"/>
      <c r="Z207" s="254"/>
      <c r="AA207" s="254"/>
      <c r="AB207" s="254"/>
      <c r="AC207" s="254"/>
      <c r="AD207" s="254"/>
      <c r="AE207" s="254"/>
      <c r="AF207" s="254"/>
      <c r="AG207" s="254"/>
      <c r="AH207" s="254"/>
      <c r="AI207" s="254"/>
      <c r="AJ207" s="254"/>
      <c r="AK207" s="254"/>
      <c r="AL207" s="254"/>
      <c r="AP207" s="530"/>
      <c r="AQ207" s="2"/>
      <c r="AR207" s="2"/>
      <c r="AS207" s="530"/>
      <c r="AT207" s="2"/>
      <c r="AU207" s="2"/>
      <c r="AV207" s="293"/>
      <c r="AW207" s="2"/>
      <c r="AX207" s="2"/>
      <c r="AY207" s="293"/>
      <c r="AZ207" s="2"/>
      <c r="BA207" s="2"/>
      <c r="BB207" s="293"/>
      <c r="BC207" s="2"/>
      <c r="BD207" s="2"/>
      <c r="BE207" s="293"/>
      <c r="BF207" s="2"/>
      <c r="BG207" s="2"/>
      <c r="BH207" s="2"/>
      <c r="BI207" s="2"/>
      <c r="BJ207" s="2"/>
      <c r="BK207" s="2"/>
      <c r="BL207" s="2"/>
      <c r="BM207" s="2"/>
      <c r="BN207" s="2"/>
    </row>
    <row r="208" spans="1:66" hidden="1" outlineLevel="1">
      <c r="A208" s="2"/>
      <c r="B208" s="73" t="s">
        <v>812</v>
      </c>
      <c r="C208" s="18" t="s">
        <v>732</v>
      </c>
      <c r="D208" s="599">
        <v>842</v>
      </c>
      <c r="E208" s="599">
        <v>931</v>
      </c>
      <c r="F208" s="599">
        <v>302</v>
      </c>
      <c r="G208" s="599">
        <v>859</v>
      </c>
      <c r="H208" s="599">
        <v>289</v>
      </c>
      <c r="I208" s="599">
        <v>303</v>
      </c>
      <c r="J208" s="599">
        <v>139</v>
      </c>
      <c r="K208" s="599">
        <v>291</v>
      </c>
      <c r="L208" s="599">
        <v>37</v>
      </c>
      <c r="M208" s="154"/>
      <c r="N208" s="154"/>
      <c r="O208" s="600">
        <v>59</v>
      </c>
      <c r="P208" s="615">
        <v>-130</v>
      </c>
      <c r="Q208" s="615">
        <v>-130</v>
      </c>
      <c r="R208" s="254"/>
      <c r="S208" s="254"/>
      <c r="T208" s="254"/>
      <c r="U208" s="254"/>
      <c r="V208" s="254"/>
      <c r="W208" s="254"/>
      <c r="X208" s="254"/>
      <c r="Y208" s="254"/>
      <c r="Z208" s="254"/>
      <c r="AA208" s="254"/>
      <c r="AB208" s="254"/>
      <c r="AC208" s="2"/>
      <c r="AD208" s="2"/>
      <c r="AE208" s="2"/>
      <c r="AF208" s="2"/>
      <c r="AG208" s="2"/>
      <c r="AH208" s="2"/>
      <c r="AI208" s="2"/>
      <c r="AJ208" s="2"/>
      <c r="AK208" s="2"/>
      <c r="AL208" s="2"/>
      <c r="AP208" s="530"/>
      <c r="AQ208" s="2">
        <f t="shared" ref="AQ208:AQ218" si="370">+AR208-AP208</f>
        <v>0</v>
      </c>
      <c r="AR208" s="2">
        <f t="shared" ref="AR208:AR218" si="371">V208</f>
        <v>0</v>
      </c>
      <c r="AS208" s="530"/>
      <c r="AT208" s="2">
        <f t="shared" ref="AT208:AT218" si="372">+AU208-AS208</f>
        <v>0</v>
      </c>
      <c r="AU208" s="2">
        <f t="shared" ref="AU208:AU218" si="373">W208</f>
        <v>0</v>
      </c>
      <c r="AV208" s="530"/>
      <c r="AW208" s="2">
        <f t="shared" ref="AW208:AW218" si="374">+AX208-AV208</f>
        <v>0</v>
      </c>
      <c r="AX208" s="2">
        <f t="shared" ref="AX208:AX218" si="375">X208</f>
        <v>0</v>
      </c>
      <c r="AY208" s="530"/>
      <c r="AZ208" s="2">
        <f t="shared" ref="AZ208:AZ218" si="376">+BA208-AY208</f>
        <v>0</v>
      </c>
      <c r="BA208" s="2">
        <f t="shared" ref="BA208:BA218" si="377">Y208</f>
        <v>0</v>
      </c>
      <c r="BB208" s="530"/>
      <c r="BC208" s="2">
        <f t="shared" ref="BC208:BC218" si="378">+BD208-BB208</f>
        <v>0</v>
      </c>
      <c r="BD208" s="2">
        <f t="shared" ref="BD208:BD218" si="379">Z208</f>
        <v>0</v>
      </c>
      <c r="BE208" s="530"/>
      <c r="BF208" s="2">
        <f t="shared" ref="BF208:BF218" si="380">+BG208-BE208</f>
        <v>0</v>
      </c>
      <c r="BG208" s="2">
        <f t="shared" ref="BG208:BG218" si="381">AA208</f>
        <v>0</v>
      </c>
      <c r="BH208" s="2">
        <f t="shared" ref="BH208:BH218" si="382">AB208</f>
        <v>0</v>
      </c>
      <c r="BI208" s="2">
        <f t="shared" ref="BI208:BI218" si="383">AC208</f>
        <v>0</v>
      </c>
      <c r="BJ208" s="2">
        <f t="shared" ref="BJ208:BJ218" si="384">AD208</f>
        <v>0</v>
      </c>
      <c r="BK208" s="2">
        <f t="shared" ref="BK208:BK218" si="385">AE208</f>
        <v>0</v>
      </c>
      <c r="BL208" s="2">
        <f t="shared" ref="BL208:BL218" si="386">AF208</f>
        <v>0</v>
      </c>
      <c r="BM208" s="2">
        <f t="shared" ref="BM208:BM218" si="387">AG208</f>
        <v>0</v>
      </c>
      <c r="BN208" s="2">
        <f t="shared" ref="BN208:BN218" si="388">AH208</f>
        <v>0</v>
      </c>
    </row>
    <row r="209" spans="1:66" hidden="1" outlineLevel="1">
      <c r="A209" s="2"/>
      <c r="B209" s="73" t="s">
        <v>915</v>
      </c>
      <c r="C209" s="18" t="s">
        <v>732</v>
      </c>
      <c r="D209" s="172"/>
      <c r="E209" s="599">
        <v>725</v>
      </c>
      <c r="F209" s="172"/>
      <c r="G209" s="172"/>
      <c r="H209" s="172"/>
      <c r="I209" s="172"/>
      <c r="J209" s="172"/>
      <c r="K209" s="172"/>
      <c r="L209" s="79"/>
      <c r="M209" s="79"/>
      <c r="N209" s="79"/>
      <c r="O209" s="254"/>
      <c r="P209" s="254"/>
      <c r="Q209" s="254"/>
      <c r="R209" s="254"/>
      <c r="S209" s="254"/>
      <c r="T209" s="254"/>
      <c r="U209" s="254"/>
      <c r="V209" s="254"/>
      <c r="W209" s="254"/>
      <c r="X209" s="254"/>
      <c r="Y209" s="254"/>
      <c r="Z209" s="254"/>
      <c r="AA209" s="254"/>
      <c r="AB209" s="254"/>
      <c r="AC209" s="2"/>
      <c r="AD209" s="2"/>
      <c r="AE209" s="2"/>
      <c r="AF209" s="2"/>
      <c r="AG209" s="2"/>
      <c r="AH209" s="2"/>
      <c r="AI209" s="2"/>
      <c r="AJ209" s="2"/>
      <c r="AK209" s="2"/>
      <c r="AL209" s="2"/>
      <c r="AP209" s="530"/>
      <c r="AQ209" s="2">
        <f t="shared" si="370"/>
        <v>0</v>
      </c>
      <c r="AR209" s="2">
        <f t="shared" si="371"/>
        <v>0</v>
      </c>
      <c r="AS209" s="530"/>
      <c r="AT209" s="2">
        <f t="shared" si="372"/>
        <v>0</v>
      </c>
      <c r="AU209" s="2">
        <f t="shared" si="373"/>
        <v>0</v>
      </c>
      <c r="AV209" s="530"/>
      <c r="AW209" s="2">
        <f t="shared" si="374"/>
        <v>0</v>
      </c>
      <c r="AX209" s="2">
        <f t="shared" si="375"/>
        <v>0</v>
      </c>
      <c r="AY209" s="530"/>
      <c r="AZ209" s="2">
        <f t="shared" si="376"/>
        <v>0</v>
      </c>
      <c r="BA209" s="2">
        <f t="shared" si="377"/>
        <v>0</v>
      </c>
      <c r="BB209" s="530"/>
      <c r="BC209" s="2">
        <f t="shared" si="378"/>
        <v>0</v>
      </c>
      <c r="BD209" s="2">
        <f t="shared" si="379"/>
        <v>0</v>
      </c>
      <c r="BE209" s="530"/>
      <c r="BF209" s="2">
        <f t="shared" si="380"/>
        <v>0</v>
      </c>
      <c r="BG209" s="2">
        <f t="shared" si="381"/>
        <v>0</v>
      </c>
      <c r="BH209" s="2">
        <f t="shared" si="382"/>
        <v>0</v>
      </c>
      <c r="BI209" s="2">
        <f t="shared" si="383"/>
        <v>0</v>
      </c>
      <c r="BJ209" s="2">
        <f t="shared" si="384"/>
        <v>0</v>
      </c>
      <c r="BK209" s="2">
        <f t="shared" si="385"/>
        <v>0</v>
      </c>
      <c r="BL209" s="2">
        <f t="shared" si="386"/>
        <v>0</v>
      </c>
      <c r="BM209" s="2">
        <f t="shared" si="387"/>
        <v>0</v>
      </c>
      <c r="BN209" s="2">
        <f t="shared" si="388"/>
        <v>0</v>
      </c>
    </row>
    <row r="210" spans="1:66" hidden="1" outlineLevel="1">
      <c r="A210" s="2"/>
      <c r="B210" s="73" t="s">
        <v>916</v>
      </c>
      <c r="C210" s="18" t="s">
        <v>732</v>
      </c>
      <c r="D210" s="172"/>
      <c r="E210" s="172"/>
      <c r="F210" s="172"/>
      <c r="G210" s="172"/>
      <c r="H210" s="172"/>
      <c r="I210" s="172"/>
      <c r="J210" s="172"/>
      <c r="K210" s="172"/>
      <c r="L210" s="79"/>
      <c r="M210" s="79"/>
      <c r="N210" s="79"/>
      <c r="O210" s="254"/>
      <c r="P210" s="254"/>
      <c r="Q210" s="254"/>
      <c r="R210" s="254"/>
      <c r="S210" s="254"/>
      <c r="T210" s="254"/>
      <c r="U210" s="254"/>
      <c r="V210" s="254"/>
      <c r="W210" s="254"/>
      <c r="X210" s="254"/>
      <c r="Y210" s="254"/>
      <c r="Z210" s="254"/>
      <c r="AA210" s="254"/>
      <c r="AB210" s="254"/>
      <c r="AC210" s="2"/>
      <c r="AD210" s="2"/>
      <c r="AE210" s="2"/>
      <c r="AF210" s="2"/>
      <c r="AG210" s="2"/>
      <c r="AH210" s="2"/>
      <c r="AI210" s="2"/>
      <c r="AJ210" s="2"/>
      <c r="AK210" s="2"/>
      <c r="AL210" s="2"/>
      <c r="AP210" s="530"/>
      <c r="AQ210" s="2">
        <f t="shared" si="370"/>
        <v>0</v>
      </c>
      <c r="AR210" s="2">
        <f t="shared" si="371"/>
        <v>0</v>
      </c>
      <c r="AS210" s="530"/>
      <c r="AT210" s="2">
        <f t="shared" si="372"/>
        <v>0</v>
      </c>
      <c r="AU210" s="2">
        <f t="shared" si="373"/>
        <v>0</v>
      </c>
      <c r="AV210" s="530"/>
      <c r="AW210" s="2">
        <f t="shared" si="374"/>
        <v>0</v>
      </c>
      <c r="AX210" s="2">
        <f t="shared" si="375"/>
        <v>0</v>
      </c>
      <c r="AY210" s="530"/>
      <c r="AZ210" s="2">
        <f t="shared" si="376"/>
        <v>0</v>
      </c>
      <c r="BA210" s="2">
        <f t="shared" si="377"/>
        <v>0</v>
      </c>
      <c r="BB210" s="530"/>
      <c r="BC210" s="2">
        <f t="shared" si="378"/>
        <v>0</v>
      </c>
      <c r="BD210" s="2">
        <f t="shared" si="379"/>
        <v>0</v>
      </c>
      <c r="BE210" s="530"/>
      <c r="BF210" s="2">
        <f t="shared" si="380"/>
        <v>0</v>
      </c>
      <c r="BG210" s="2">
        <f t="shared" si="381"/>
        <v>0</v>
      </c>
      <c r="BH210" s="2">
        <f t="shared" si="382"/>
        <v>0</v>
      </c>
      <c r="BI210" s="2">
        <f t="shared" si="383"/>
        <v>0</v>
      </c>
      <c r="BJ210" s="2">
        <f t="shared" si="384"/>
        <v>0</v>
      </c>
      <c r="BK210" s="2">
        <f t="shared" si="385"/>
        <v>0</v>
      </c>
      <c r="BL210" s="2">
        <f t="shared" si="386"/>
        <v>0</v>
      </c>
      <c r="BM210" s="2">
        <f t="shared" si="387"/>
        <v>0</v>
      </c>
      <c r="BN210" s="2">
        <f t="shared" si="388"/>
        <v>0</v>
      </c>
    </row>
    <row r="211" spans="1:66" hidden="1" outlineLevel="1">
      <c r="A211" s="2"/>
      <c r="B211" s="20" t="s">
        <v>917</v>
      </c>
      <c r="C211" s="18" t="s">
        <v>732</v>
      </c>
      <c r="D211" s="937">
        <f t="shared" ref="D211:Q211" si="389">SUM(D208:D210)</f>
        <v>842</v>
      </c>
      <c r="E211" s="937">
        <f t="shared" si="389"/>
        <v>1656</v>
      </c>
      <c r="F211" s="937">
        <f t="shared" si="389"/>
        <v>302</v>
      </c>
      <c r="G211" s="937">
        <f t="shared" si="389"/>
        <v>859</v>
      </c>
      <c r="H211" s="937">
        <f t="shared" si="389"/>
        <v>289</v>
      </c>
      <c r="I211" s="937">
        <f t="shared" si="389"/>
        <v>303</v>
      </c>
      <c r="J211" s="937">
        <f t="shared" si="389"/>
        <v>139</v>
      </c>
      <c r="K211" s="937">
        <f t="shared" si="389"/>
        <v>291</v>
      </c>
      <c r="L211" s="937">
        <f t="shared" si="389"/>
        <v>37</v>
      </c>
      <c r="M211" s="937">
        <f t="shared" si="389"/>
        <v>0</v>
      </c>
      <c r="N211" s="937">
        <f t="shared" si="389"/>
        <v>0</v>
      </c>
      <c r="O211" s="253">
        <f t="shared" si="389"/>
        <v>59</v>
      </c>
      <c r="P211" s="253">
        <f t="shared" si="389"/>
        <v>-130</v>
      </c>
      <c r="Q211" s="253">
        <f t="shared" si="389"/>
        <v>-130</v>
      </c>
      <c r="R211" s="254"/>
      <c r="S211" s="254"/>
      <c r="T211" s="254"/>
      <c r="U211" s="254"/>
      <c r="V211" s="254"/>
      <c r="W211" s="254"/>
      <c r="X211" s="254"/>
      <c r="Y211" s="254"/>
      <c r="Z211" s="254"/>
      <c r="AA211" s="254"/>
      <c r="AB211" s="254"/>
      <c r="AC211" s="2"/>
      <c r="AD211" s="2"/>
      <c r="AE211" s="2"/>
      <c r="AF211" s="2"/>
      <c r="AG211" s="2"/>
      <c r="AH211" s="2"/>
      <c r="AI211" s="2"/>
      <c r="AJ211" s="2"/>
      <c r="AK211" s="2"/>
      <c r="AL211" s="2"/>
      <c r="AP211" s="530"/>
      <c r="AQ211" s="2">
        <f t="shared" si="370"/>
        <v>0</v>
      </c>
      <c r="AR211" s="2">
        <f t="shared" si="371"/>
        <v>0</v>
      </c>
      <c r="AS211" s="530"/>
      <c r="AT211" s="2">
        <f t="shared" si="372"/>
        <v>0</v>
      </c>
      <c r="AU211" s="2">
        <f t="shared" si="373"/>
        <v>0</v>
      </c>
      <c r="AV211" s="530"/>
      <c r="AW211" s="2">
        <f t="shared" si="374"/>
        <v>0</v>
      </c>
      <c r="AX211" s="2">
        <f t="shared" si="375"/>
        <v>0</v>
      </c>
      <c r="AY211" s="530"/>
      <c r="AZ211" s="2">
        <f t="shared" si="376"/>
        <v>0</v>
      </c>
      <c r="BA211" s="2">
        <f t="shared" si="377"/>
        <v>0</v>
      </c>
      <c r="BB211" s="530"/>
      <c r="BC211" s="2">
        <f t="shared" si="378"/>
        <v>0</v>
      </c>
      <c r="BD211" s="2">
        <f t="shared" si="379"/>
        <v>0</v>
      </c>
      <c r="BE211" s="530"/>
      <c r="BF211" s="2">
        <f t="shared" si="380"/>
        <v>0</v>
      </c>
      <c r="BG211" s="2">
        <f t="shared" si="381"/>
        <v>0</v>
      </c>
      <c r="BH211" s="2">
        <f t="shared" si="382"/>
        <v>0</v>
      </c>
      <c r="BI211" s="2">
        <f t="shared" si="383"/>
        <v>0</v>
      </c>
      <c r="BJ211" s="2">
        <f t="shared" si="384"/>
        <v>0</v>
      </c>
      <c r="BK211" s="2">
        <f t="shared" si="385"/>
        <v>0</v>
      </c>
      <c r="BL211" s="2">
        <f t="shared" si="386"/>
        <v>0</v>
      </c>
      <c r="BM211" s="2">
        <f t="shared" si="387"/>
        <v>0</v>
      </c>
      <c r="BN211" s="2">
        <f t="shared" si="388"/>
        <v>0</v>
      </c>
    </row>
    <row r="212" spans="1:66" hidden="1" outlineLevel="1">
      <c r="A212" s="2"/>
      <c r="B212" s="73" t="s">
        <v>918</v>
      </c>
      <c r="C212" s="18" t="s">
        <v>732</v>
      </c>
      <c r="D212" s="457">
        <f>'Cost + BS Assumptions'!D207</f>
        <v>610</v>
      </c>
      <c r="E212" s="457">
        <f>'Cost + BS Assumptions'!E207</f>
        <v>44</v>
      </c>
      <c r="F212" s="457">
        <f>'Cost + BS Assumptions'!F207</f>
        <v>289</v>
      </c>
      <c r="G212" s="457">
        <f>'Cost + BS Assumptions'!G207</f>
        <v>281</v>
      </c>
      <c r="H212" s="457">
        <f>'Cost + BS Assumptions'!H207</f>
        <v>170</v>
      </c>
      <c r="I212" s="457">
        <f>'Cost + BS Assumptions'!I207</f>
        <v>91</v>
      </c>
      <c r="J212" s="457">
        <f>'Cost + BS Assumptions'!J207</f>
        <v>534</v>
      </c>
      <c r="K212" s="457">
        <f>'Cost + BS Assumptions'!K207</f>
        <v>149</v>
      </c>
      <c r="L212" s="457">
        <f>'Cost + BS Assumptions'!L207</f>
        <v>238</v>
      </c>
      <c r="M212" s="457">
        <f>'Cost + BS Assumptions'!M207</f>
        <v>219</v>
      </c>
      <c r="N212" s="457">
        <f>'Cost + BS Assumptions'!N207</f>
        <v>128</v>
      </c>
      <c r="O212" s="465">
        <f>'Cost + BS Assumptions'!O207</f>
        <v>224</v>
      </c>
      <c r="P212" s="465">
        <f>'Cost + BS Assumptions'!P207</f>
        <v>162</v>
      </c>
      <c r="Q212" s="465">
        <f>'Cost + BS Assumptions'!Q207</f>
        <v>189</v>
      </c>
      <c r="R212" s="254"/>
      <c r="S212" s="254"/>
      <c r="T212" s="254"/>
      <c r="U212" s="254"/>
      <c r="V212" s="254"/>
      <c r="W212" s="254"/>
      <c r="X212" s="254"/>
      <c r="Y212" s="254"/>
      <c r="Z212" s="254"/>
      <c r="AA212" s="254"/>
      <c r="AB212" s="254"/>
      <c r="AC212" s="2"/>
      <c r="AD212" s="2"/>
      <c r="AE212" s="2"/>
      <c r="AF212" s="2"/>
      <c r="AG212" s="2"/>
      <c r="AH212" s="2"/>
      <c r="AI212" s="2"/>
      <c r="AJ212" s="2"/>
      <c r="AK212" s="2"/>
      <c r="AL212" s="2"/>
      <c r="AP212" s="530"/>
      <c r="AQ212" s="2">
        <f t="shared" si="370"/>
        <v>0</v>
      </c>
      <c r="AR212" s="2">
        <f t="shared" si="371"/>
        <v>0</v>
      </c>
      <c r="AS212" s="530"/>
      <c r="AT212" s="2">
        <f t="shared" si="372"/>
        <v>0</v>
      </c>
      <c r="AU212" s="2">
        <f t="shared" si="373"/>
        <v>0</v>
      </c>
      <c r="AV212" s="530"/>
      <c r="AW212" s="2">
        <f t="shared" si="374"/>
        <v>0</v>
      </c>
      <c r="AX212" s="2">
        <f t="shared" si="375"/>
        <v>0</v>
      </c>
      <c r="AY212" s="530"/>
      <c r="AZ212" s="2">
        <f t="shared" si="376"/>
        <v>0</v>
      </c>
      <c r="BA212" s="2">
        <f t="shared" si="377"/>
        <v>0</v>
      </c>
      <c r="BB212" s="530"/>
      <c r="BC212" s="2">
        <f t="shared" si="378"/>
        <v>0</v>
      </c>
      <c r="BD212" s="2">
        <f t="shared" si="379"/>
        <v>0</v>
      </c>
      <c r="BE212" s="530"/>
      <c r="BF212" s="2">
        <f t="shared" si="380"/>
        <v>0</v>
      </c>
      <c r="BG212" s="2">
        <f t="shared" si="381"/>
        <v>0</v>
      </c>
      <c r="BH212" s="2">
        <f t="shared" si="382"/>
        <v>0</v>
      </c>
      <c r="BI212" s="2">
        <f t="shared" si="383"/>
        <v>0</v>
      </c>
      <c r="BJ212" s="2">
        <f t="shared" si="384"/>
        <v>0</v>
      </c>
      <c r="BK212" s="2">
        <f t="shared" si="385"/>
        <v>0</v>
      </c>
      <c r="BL212" s="2">
        <f t="shared" si="386"/>
        <v>0</v>
      </c>
      <c r="BM212" s="2">
        <f t="shared" si="387"/>
        <v>0</v>
      </c>
      <c r="BN212" s="2">
        <f t="shared" si="388"/>
        <v>0</v>
      </c>
    </row>
    <row r="213" spans="1:66" hidden="1" outlineLevel="1">
      <c r="A213" s="2"/>
      <c r="B213" s="73" t="s">
        <v>919</v>
      </c>
      <c r="C213" s="18" t="s">
        <v>732</v>
      </c>
      <c r="D213" s="19">
        <f t="shared" ref="D213:Q213" si="390">D214-D212</f>
        <v>1237</v>
      </c>
      <c r="E213" s="19">
        <f t="shared" si="390"/>
        <v>2656</v>
      </c>
      <c r="F213" s="19">
        <f t="shared" si="390"/>
        <v>429</v>
      </c>
      <c r="G213" s="19">
        <f t="shared" si="390"/>
        <v>752</v>
      </c>
      <c r="H213" s="19">
        <f t="shared" si="390"/>
        <v>428</v>
      </c>
      <c r="I213" s="19">
        <f t="shared" si="390"/>
        <v>221</v>
      </c>
      <c r="J213" s="19">
        <f t="shared" si="390"/>
        <v>295</v>
      </c>
      <c r="K213" s="19">
        <f t="shared" si="390"/>
        <v>492</v>
      </c>
      <c r="L213" s="19">
        <f t="shared" si="390"/>
        <v>21</v>
      </c>
      <c r="M213" s="19">
        <f t="shared" si="390"/>
        <v>0</v>
      </c>
      <c r="N213" s="19">
        <f t="shared" si="390"/>
        <v>0</v>
      </c>
      <c r="O213" s="254">
        <f t="shared" si="390"/>
        <v>133</v>
      </c>
      <c r="P213" s="254">
        <f t="shared" si="390"/>
        <v>138</v>
      </c>
      <c r="Q213" s="254">
        <f t="shared" si="390"/>
        <v>111</v>
      </c>
      <c r="R213" s="254"/>
      <c r="S213" s="254"/>
      <c r="T213" s="254"/>
      <c r="U213" s="254"/>
      <c r="V213" s="254"/>
      <c r="W213" s="254"/>
      <c r="X213" s="254"/>
      <c r="Y213" s="254"/>
      <c r="Z213" s="254"/>
      <c r="AA213" s="254"/>
      <c r="AB213" s="254"/>
      <c r="AC213" s="2"/>
      <c r="AD213" s="2"/>
      <c r="AE213" s="2"/>
      <c r="AF213" s="2"/>
      <c r="AG213" s="2"/>
      <c r="AH213" s="2"/>
      <c r="AI213" s="2"/>
      <c r="AJ213" s="2"/>
      <c r="AK213" s="2"/>
      <c r="AL213" s="2"/>
      <c r="AP213" s="530"/>
      <c r="AQ213" s="2">
        <f t="shared" si="370"/>
        <v>0</v>
      </c>
      <c r="AR213" s="2">
        <f t="shared" si="371"/>
        <v>0</v>
      </c>
      <c r="AS213" s="530"/>
      <c r="AT213" s="2">
        <f t="shared" si="372"/>
        <v>0</v>
      </c>
      <c r="AU213" s="2">
        <f t="shared" si="373"/>
        <v>0</v>
      </c>
      <c r="AV213" s="530"/>
      <c r="AW213" s="2">
        <f t="shared" si="374"/>
        <v>0</v>
      </c>
      <c r="AX213" s="2">
        <f t="shared" si="375"/>
        <v>0</v>
      </c>
      <c r="AY213" s="530"/>
      <c r="AZ213" s="2">
        <f t="shared" si="376"/>
        <v>0</v>
      </c>
      <c r="BA213" s="2">
        <f t="shared" si="377"/>
        <v>0</v>
      </c>
      <c r="BB213" s="530"/>
      <c r="BC213" s="2">
        <f t="shared" si="378"/>
        <v>0</v>
      </c>
      <c r="BD213" s="2">
        <f t="shared" si="379"/>
        <v>0</v>
      </c>
      <c r="BE213" s="530"/>
      <c r="BF213" s="2">
        <f t="shared" si="380"/>
        <v>0</v>
      </c>
      <c r="BG213" s="2">
        <f t="shared" si="381"/>
        <v>0</v>
      </c>
      <c r="BH213" s="2">
        <f t="shared" si="382"/>
        <v>0</v>
      </c>
      <c r="BI213" s="2">
        <f t="shared" si="383"/>
        <v>0</v>
      </c>
      <c r="BJ213" s="2">
        <f t="shared" si="384"/>
        <v>0</v>
      </c>
      <c r="BK213" s="2">
        <f t="shared" si="385"/>
        <v>0</v>
      </c>
      <c r="BL213" s="2">
        <f t="shared" si="386"/>
        <v>0</v>
      </c>
      <c r="BM213" s="2">
        <f t="shared" si="387"/>
        <v>0</v>
      </c>
      <c r="BN213" s="2">
        <f t="shared" si="388"/>
        <v>0</v>
      </c>
    </row>
    <row r="214" spans="1:66" hidden="1" outlineLevel="1">
      <c r="A214" s="2"/>
      <c r="B214" s="20" t="s">
        <v>920</v>
      </c>
      <c r="C214" s="18" t="s">
        <v>732</v>
      </c>
      <c r="D214" s="570">
        <v>1847</v>
      </c>
      <c r="E214" s="570">
        <v>2700</v>
      </c>
      <c r="F214" s="570">
        <v>718</v>
      </c>
      <c r="G214" s="570">
        <v>1033</v>
      </c>
      <c r="H214" s="570">
        <v>598</v>
      </c>
      <c r="I214" s="570">
        <v>312</v>
      </c>
      <c r="J214" s="570">
        <v>829</v>
      </c>
      <c r="K214" s="570">
        <v>641</v>
      </c>
      <c r="L214" s="570">
        <v>259</v>
      </c>
      <c r="M214" s="570">
        <v>219</v>
      </c>
      <c r="N214" s="570">
        <v>128</v>
      </c>
      <c r="O214" s="615">
        <v>357</v>
      </c>
      <c r="P214" s="615">
        <v>300</v>
      </c>
      <c r="Q214" s="615">
        <v>300</v>
      </c>
      <c r="R214" s="254"/>
      <c r="S214" s="254"/>
      <c r="T214" s="254"/>
      <c r="U214" s="254"/>
      <c r="V214" s="254"/>
      <c r="W214" s="254"/>
      <c r="X214" s="254"/>
      <c r="Y214" s="254"/>
      <c r="Z214" s="254"/>
      <c r="AA214" s="254"/>
      <c r="AB214" s="254"/>
      <c r="AC214" s="2"/>
      <c r="AD214" s="2"/>
      <c r="AE214" s="2"/>
      <c r="AF214" s="2"/>
      <c r="AG214" s="2"/>
      <c r="AH214" s="2"/>
      <c r="AI214" s="2"/>
      <c r="AJ214" s="2"/>
      <c r="AK214" s="2"/>
      <c r="AL214" s="2"/>
      <c r="AP214" s="530"/>
      <c r="AQ214" s="2">
        <f t="shared" si="370"/>
        <v>0</v>
      </c>
      <c r="AR214" s="2">
        <f t="shared" si="371"/>
        <v>0</v>
      </c>
      <c r="AS214" s="530"/>
      <c r="AT214" s="2">
        <f t="shared" si="372"/>
        <v>0</v>
      </c>
      <c r="AU214" s="2">
        <f t="shared" si="373"/>
        <v>0</v>
      </c>
      <c r="AV214" s="530"/>
      <c r="AW214" s="2">
        <f t="shared" si="374"/>
        <v>0</v>
      </c>
      <c r="AX214" s="2">
        <f t="shared" si="375"/>
        <v>0</v>
      </c>
      <c r="AY214" s="530"/>
      <c r="AZ214" s="2">
        <f t="shared" si="376"/>
        <v>0</v>
      </c>
      <c r="BA214" s="2">
        <f t="shared" si="377"/>
        <v>0</v>
      </c>
      <c r="BB214" s="530"/>
      <c r="BC214" s="2">
        <f t="shared" si="378"/>
        <v>0</v>
      </c>
      <c r="BD214" s="2">
        <f t="shared" si="379"/>
        <v>0</v>
      </c>
      <c r="BE214" s="530"/>
      <c r="BF214" s="2">
        <f t="shared" si="380"/>
        <v>0</v>
      </c>
      <c r="BG214" s="2">
        <f t="shared" si="381"/>
        <v>0</v>
      </c>
      <c r="BH214" s="2">
        <f t="shared" si="382"/>
        <v>0</v>
      </c>
      <c r="BI214" s="2">
        <f t="shared" si="383"/>
        <v>0</v>
      </c>
      <c r="BJ214" s="2">
        <f t="shared" si="384"/>
        <v>0</v>
      </c>
      <c r="BK214" s="2">
        <f t="shared" si="385"/>
        <v>0</v>
      </c>
      <c r="BL214" s="2">
        <f t="shared" si="386"/>
        <v>0</v>
      </c>
      <c r="BM214" s="2">
        <f t="shared" si="387"/>
        <v>0</v>
      </c>
      <c r="BN214" s="2">
        <f t="shared" si="388"/>
        <v>0</v>
      </c>
    </row>
    <row r="215" spans="1:66" hidden="1" outlineLevel="1">
      <c r="A215" s="2"/>
      <c r="B215" s="20" t="s">
        <v>956</v>
      </c>
      <c r="C215" s="18" t="s">
        <v>732</v>
      </c>
      <c r="D215" s="75"/>
      <c r="E215" s="75"/>
      <c r="F215" s="75"/>
      <c r="G215" s="75"/>
      <c r="H215" s="75"/>
      <c r="I215" s="75"/>
      <c r="J215" s="75"/>
      <c r="K215" s="75"/>
      <c r="L215" s="75"/>
      <c r="M215" s="75"/>
      <c r="N215" s="75"/>
      <c r="O215" s="255"/>
      <c r="P215" s="254"/>
      <c r="Q215" s="254"/>
      <c r="R215" s="254"/>
      <c r="S215" s="254"/>
      <c r="T215" s="465">
        <f>'Cost + BS Assumptions'!T376*0.7</f>
        <v>350</v>
      </c>
      <c r="U215" s="465">
        <f>'Cost + BS Assumptions'!U376*0.7</f>
        <v>967.4</v>
      </c>
      <c r="V215" s="465">
        <f>'Cost + BS Assumptions'!V376*0.7</f>
        <v>1285.1999999999998</v>
      </c>
      <c r="W215" s="465">
        <f>'Cost + BS Assumptions'!W376*0.7</f>
        <v>1129.0999999999999</v>
      </c>
      <c r="X215" s="465">
        <f>'Cost + BS Assumptions'!X376*0.7</f>
        <v>1075.1999999999998</v>
      </c>
      <c r="Y215" s="465">
        <f>'Cost + BS Assumptions'!Y376*0.7</f>
        <v>575.59185255972693</v>
      </c>
      <c r="Z215" s="466">
        <f>'Cost + BS Assumptions'!Z376*0.7</f>
        <v>180.54837309670137</v>
      </c>
      <c r="AA215" s="466">
        <f>'Cost + BS Assumptions'!AA376*0.7</f>
        <v>73.056552781418333</v>
      </c>
      <c r="AB215" s="466">
        <f>'Cost + BS Assumptions'!AB376*0.7</f>
        <v>70.689142531745972</v>
      </c>
      <c r="AC215" s="466">
        <f>'Cost + BS Assumptions'!AC376*0.7</f>
        <v>0</v>
      </c>
      <c r="AD215" s="466">
        <f>'Cost + BS Assumptions'!AD376*0.7</f>
        <v>0</v>
      </c>
      <c r="AE215" s="466">
        <f>'Cost + BS Assumptions'!AE376*0.7</f>
        <v>0</v>
      </c>
      <c r="AF215" s="466">
        <f>'Cost + BS Assumptions'!AF376*0.7</f>
        <v>0</v>
      </c>
      <c r="AG215" s="466">
        <f>'Cost + BS Assumptions'!AG376*0.7</f>
        <v>0</v>
      </c>
      <c r="AH215" s="466">
        <f>'Cost + BS Assumptions'!AH376*0.7</f>
        <v>0</v>
      </c>
      <c r="AI215" s="466">
        <f>'Cost + BS Assumptions'!AI376*0.7</f>
        <v>0</v>
      </c>
      <c r="AJ215" s="466">
        <f>'Cost + BS Assumptions'!AJ376*0.7</f>
        <v>0</v>
      </c>
      <c r="AK215" s="466">
        <f>'Cost + BS Assumptions'!AK376*0.7</f>
        <v>0</v>
      </c>
      <c r="AL215" s="466">
        <f>'Cost + BS Assumptions'!AL376*0.7</f>
        <v>0</v>
      </c>
      <c r="AP215" s="530"/>
      <c r="AQ215" s="2">
        <f t="shared" si="370"/>
        <v>1285.1999999999998</v>
      </c>
      <c r="AR215" s="2">
        <f t="shared" si="371"/>
        <v>1285.1999999999998</v>
      </c>
      <c r="AS215" s="530"/>
      <c r="AT215" s="2">
        <f t="shared" si="372"/>
        <v>1129.0999999999999</v>
      </c>
      <c r="AU215" s="2">
        <f t="shared" si="373"/>
        <v>1129.0999999999999</v>
      </c>
      <c r="AV215" s="530"/>
      <c r="AW215" s="2">
        <f t="shared" si="374"/>
        <v>1075.1999999999998</v>
      </c>
      <c r="AX215" s="2">
        <f t="shared" si="375"/>
        <v>1075.1999999999998</v>
      </c>
      <c r="AY215" s="530"/>
      <c r="AZ215" s="2">
        <f t="shared" si="376"/>
        <v>575.59185255972693</v>
      </c>
      <c r="BA215" s="2">
        <f t="shared" si="377"/>
        <v>575.59185255972693</v>
      </c>
      <c r="BB215" s="530"/>
      <c r="BC215" s="2">
        <f t="shared" si="378"/>
        <v>180.54837309670137</v>
      </c>
      <c r="BD215" s="2">
        <f t="shared" si="379"/>
        <v>180.54837309670137</v>
      </c>
      <c r="BE215" s="530"/>
      <c r="BF215" s="2">
        <f t="shared" si="380"/>
        <v>73.056552781418333</v>
      </c>
      <c r="BG215" s="2">
        <f t="shared" si="381"/>
        <v>73.056552781418333</v>
      </c>
      <c r="BH215" s="2">
        <f t="shared" si="382"/>
        <v>70.689142531745972</v>
      </c>
      <c r="BI215" s="2">
        <f t="shared" si="383"/>
        <v>0</v>
      </c>
      <c r="BJ215" s="2">
        <f t="shared" si="384"/>
        <v>0</v>
      </c>
      <c r="BK215" s="2">
        <f t="shared" si="385"/>
        <v>0</v>
      </c>
      <c r="BL215" s="2">
        <f t="shared" si="386"/>
        <v>0</v>
      </c>
      <c r="BM215" s="2">
        <f t="shared" si="387"/>
        <v>0</v>
      </c>
      <c r="BN215" s="2">
        <f t="shared" si="388"/>
        <v>0</v>
      </c>
    </row>
    <row r="216" spans="1:66" hidden="1" outlineLevel="1">
      <c r="A216" s="2"/>
      <c r="B216" s="20" t="s">
        <v>1040</v>
      </c>
      <c r="C216" s="18" t="s">
        <v>732</v>
      </c>
      <c r="D216" s="75"/>
      <c r="E216" s="75"/>
      <c r="F216" s="75"/>
      <c r="G216" s="75"/>
      <c r="H216" s="75"/>
      <c r="I216" s="75"/>
      <c r="J216" s="75"/>
      <c r="K216" s="75"/>
      <c r="L216" s="75"/>
      <c r="M216" s="75"/>
      <c r="N216" s="75"/>
      <c r="O216" s="255"/>
      <c r="P216" s="254"/>
      <c r="Q216" s="254"/>
      <c r="R216" s="254"/>
      <c r="S216" s="254"/>
      <c r="T216" s="465">
        <f>'Cost + BS Assumptions'!T370*0.7</f>
        <v>244.29999999999998</v>
      </c>
      <c r="U216" s="465">
        <f>'Cost + BS Assumptions'!U370*0.7</f>
        <v>294</v>
      </c>
      <c r="V216" s="465">
        <f>'Cost + BS Assumptions'!V370*0.7</f>
        <v>405.29999999999995</v>
      </c>
      <c r="W216" s="465">
        <f>'Cost + BS Assumptions'!W370*0.7</f>
        <v>511.7</v>
      </c>
      <c r="X216" s="465">
        <f>'Cost + BS Assumptions'!X370*0.7</f>
        <v>574</v>
      </c>
      <c r="Y216" s="465">
        <f>'Cost + BS Assumptions'!Y370*0.7</f>
        <v>591.10799999999995</v>
      </c>
      <c r="Z216" s="466">
        <f>'Cost + BS Assumptions'!Z370*0.7</f>
        <v>605.43000000000006</v>
      </c>
      <c r="AA216" s="466">
        <f>'Cost + BS Assumptions'!AA370*0.7</f>
        <v>627.10647720000009</v>
      </c>
      <c r="AB216" s="466">
        <f>'Cost + BS Assumptions'!AB370*0.7</f>
        <v>645.91967151600011</v>
      </c>
      <c r="AC216" s="466">
        <f>'Cost + BS Assumptions'!AC370*0.7</f>
        <v>717.40200000000004</v>
      </c>
      <c r="AD216" s="466">
        <f>'Cost + BS Assumptions'!AD370*0.7</f>
        <v>738.92406000000017</v>
      </c>
      <c r="AE216" s="466">
        <f>'Cost + BS Assumptions'!AE370*0.7</f>
        <v>761.09178180000004</v>
      </c>
      <c r="AF216" s="466">
        <f>'Cost + BS Assumptions'!AF370*0.7</f>
        <v>783.92453525400015</v>
      </c>
      <c r="AG216" s="466">
        <f>'Cost + BS Assumptions'!AG370*0.7</f>
        <v>807.44227131162017</v>
      </c>
      <c r="AH216" s="466">
        <f>'Cost + BS Assumptions'!AH370*0.7</f>
        <v>831.66553945096871</v>
      </c>
      <c r="AI216" s="466">
        <f>'Cost + BS Assumptions'!AI370*0.7</f>
        <v>856.61550563449794</v>
      </c>
      <c r="AJ216" s="466">
        <f>'Cost + BS Assumptions'!AJ370*0.7</f>
        <v>882.3139708035327</v>
      </c>
      <c r="AK216" s="466">
        <f>'Cost + BS Assumptions'!AK370*0.7</f>
        <v>908.78338992763884</v>
      </c>
      <c r="AL216" s="466">
        <f>'Cost + BS Assumptions'!AL370*0.7</f>
        <v>0</v>
      </c>
      <c r="AP216" s="530"/>
      <c r="AQ216" s="2">
        <f t="shared" si="370"/>
        <v>405.29999999999995</v>
      </c>
      <c r="AR216" s="2">
        <f t="shared" si="371"/>
        <v>405.29999999999995</v>
      </c>
      <c r="AS216" s="530"/>
      <c r="AT216" s="2">
        <f t="shared" si="372"/>
        <v>511.7</v>
      </c>
      <c r="AU216" s="2">
        <f t="shared" si="373"/>
        <v>511.7</v>
      </c>
      <c r="AV216" s="530"/>
      <c r="AW216" s="2">
        <f t="shared" si="374"/>
        <v>574</v>
      </c>
      <c r="AX216" s="2">
        <f t="shared" si="375"/>
        <v>574</v>
      </c>
      <c r="AY216" s="530"/>
      <c r="AZ216" s="2">
        <f t="shared" si="376"/>
        <v>591.10799999999995</v>
      </c>
      <c r="BA216" s="2">
        <f t="shared" si="377"/>
        <v>591.10799999999995</v>
      </c>
      <c r="BB216" s="530"/>
      <c r="BC216" s="2">
        <f t="shared" si="378"/>
        <v>605.43000000000006</v>
      </c>
      <c r="BD216" s="2">
        <f t="shared" si="379"/>
        <v>605.43000000000006</v>
      </c>
      <c r="BE216" s="530"/>
      <c r="BF216" s="2">
        <f t="shared" si="380"/>
        <v>627.10647720000009</v>
      </c>
      <c r="BG216" s="2">
        <f t="shared" si="381"/>
        <v>627.10647720000009</v>
      </c>
      <c r="BH216" s="2">
        <f t="shared" si="382"/>
        <v>645.91967151600011</v>
      </c>
      <c r="BI216" s="2">
        <f t="shared" si="383"/>
        <v>717.40200000000004</v>
      </c>
      <c r="BJ216" s="2">
        <f t="shared" si="384"/>
        <v>738.92406000000017</v>
      </c>
      <c r="BK216" s="2">
        <f t="shared" si="385"/>
        <v>761.09178180000004</v>
      </c>
      <c r="BL216" s="2">
        <f t="shared" si="386"/>
        <v>783.92453525400015</v>
      </c>
      <c r="BM216" s="2">
        <f t="shared" si="387"/>
        <v>807.44227131162017</v>
      </c>
      <c r="BN216" s="2">
        <f t="shared" si="388"/>
        <v>831.66553945096871</v>
      </c>
    </row>
    <row r="217" spans="1:66" hidden="1" outlineLevel="1">
      <c r="A217" s="2"/>
      <c r="B217" s="20" t="s">
        <v>921</v>
      </c>
      <c r="C217" s="18" t="s">
        <v>732</v>
      </c>
      <c r="D217" s="937">
        <f t="shared" ref="D217:O217" si="391">D211-D214</f>
        <v>-1005</v>
      </c>
      <c r="E217" s="937">
        <f t="shared" si="391"/>
        <v>-1044</v>
      </c>
      <c r="F217" s="937">
        <f t="shared" si="391"/>
        <v>-416</v>
      </c>
      <c r="G217" s="937">
        <f t="shared" si="391"/>
        <v>-174</v>
      </c>
      <c r="H217" s="937">
        <f t="shared" si="391"/>
        <v>-309</v>
      </c>
      <c r="I217" s="937">
        <f t="shared" si="391"/>
        <v>-9</v>
      </c>
      <c r="J217" s="937">
        <f t="shared" si="391"/>
        <v>-690</v>
      </c>
      <c r="K217" s="937">
        <f t="shared" si="391"/>
        <v>-350</v>
      </c>
      <c r="L217" s="937">
        <f t="shared" si="391"/>
        <v>-222</v>
      </c>
      <c r="M217" s="937">
        <f t="shared" si="391"/>
        <v>-219</v>
      </c>
      <c r="N217" s="937">
        <f t="shared" si="391"/>
        <v>-128</v>
      </c>
      <c r="O217" s="253">
        <f t="shared" si="391"/>
        <v>-298</v>
      </c>
      <c r="P217" s="254"/>
      <c r="Q217" s="254"/>
      <c r="R217" s="254"/>
      <c r="S217" s="254"/>
      <c r="T217" s="254"/>
      <c r="U217" s="254"/>
      <c r="V217" s="254"/>
      <c r="W217" s="254"/>
      <c r="X217" s="254"/>
      <c r="Y217" s="254"/>
      <c r="Z217" s="254"/>
      <c r="AA217" s="254"/>
      <c r="AB217" s="254"/>
      <c r="AC217" s="2"/>
      <c r="AD217" s="2"/>
      <c r="AE217" s="2"/>
      <c r="AF217" s="2"/>
      <c r="AG217" s="2"/>
      <c r="AH217" s="2"/>
      <c r="AI217" s="2"/>
      <c r="AJ217" s="2"/>
      <c r="AK217" s="2"/>
      <c r="AL217" s="2"/>
      <c r="AP217" s="530"/>
      <c r="AQ217" s="2">
        <f t="shared" si="370"/>
        <v>0</v>
      </c>
      <c r="AR217" s="2">
        <f t="shared" si="371"/>
        <v>0</v>
      </c>
      <c r="AS217" s="530"/>
      <c r="AT217" s="2">
        <f t="shared" si="372"/>
        <v>0</v>
      </c>
      <c r="AU217" s="2">
        <f t="shared" si="373"/>
        <v>0</v>
      </c>
      <c r="AV217" s="530"/>
      <c r="AW217" s="2">
        <f t="shared" si="374"/>
        <v>0</v>
      </c>
      <c r="AX217" s="2">
        <f t="shared" si="375"/>
        <v>0</v>
      </c>
      <c r="AY217" s="530"/>
      <c r="AZ217" s="2">
        <f t="shared" si="376"/>
        <v>0</v>
      </c>
      <c r="BA217" s="2">
        <f t="shared" si="377"/>
        <v>0</v>
      </c>
      <c r="BB217" s="530"/>
      <c r="BC217" s="2">
        <f t="shared" si="378"/>
        <v>0</v>
      </c>
      <c r="BD217" s="2">
        <f t="shared" si="379"/>
        <v>0</v>
      </c>
      <c r="BE217" s="530"/>
      <c r="BF217" s="2">
        <f t="shared" si="380"/>
        <v>0</v>
      </c>
      <c r="BG217" s="2">
        <f t="shared" si="381"/>
        <v>0</v>
      </c>
      <c r="BH217" s="2">
        <f t="shared" si="382"/>
        <v>0</v>
      </c>
      <c r="BI217" s="2">
        <f t="shared" si="383"/>
        <v>0</v>
      </c>
      <c r="BJ217" s="2">
        <f t="shared" si="384"/>
        <v>0</v>
      </c>
      <c r="BK217" s="2">
        <f t="shared" si="385"/>
        <v>0</v>
      </c>
      <c r="BL217" s="2">
        <f t="shared" si="386"/>
        <v>0</v>
      </c>
      <c r="BM217" s="2">
        <f t="shared" si="387"/>
        <v>0</v>
      </c>
      <c r="BN217" s="2">
        <f t="shared" si="388"/>
        <v>0</v>
      </c>
    </row>
    <row r="218" spans="1:66" hidden="1" outlineLevel="1">
      <c r="A218" s="2"/>
      <c r="B218" s="20" t="s">
        <v>392</v>
      </c>
      <c r="C218" s="18" t="s">
        <v>732</v>
      </c>
      <c r="D218" s="937">
        <f t="shared" ref="D218:O218" si="392">D217*0.7</f>
        <v>-703.5</v>
      </c>
      <c r="E218" s="937">
        <f t="shared" si="392"/>
        <v>-730.8</v>
      </c>
      <c r="F218" s="937">
        <f t="shared" si="392"/>
        <v>-291.2</v>
      </c>
      <c r="G218" s="937">
        <f t="shared" si="392"/>
        <v>-121.8</v>
      </c>
      <c r="H218" s="937">
        <f t="shared" si="392"/>
        <v>-216.29999999999998</v>
      </c>
      <c r="I218" s="937">
        <f t="shared" si="392"/>
        <v>-6.3</v>
      </c>
      <c r="J218" s="937">
        <f t="shared" si="392"/>
        <v>-482.99999999999994</v>
      </c>
      <c r="K218" s="937">
        <f t="shared" si="392"/>
        <v>-244.99999999999997</v>
      </c>
      <c r="L218" s="937">
        <f t="shared" si="392"/>
        <v>-155.39999999999998</v>
      </c>
      <c r="M218" s="937">
        <f t="shared" si="392"/>
        <v>-153.29999999999998</v>
      </c>
      <c r="N218" s="937">
        <f t="shared" si="392"/>
        <v>-89.6</v>
      </c>
      <c r="O218" s="253">
        <f t="shared" si="392"/>
        <v>-208.6</v>
      </c>
      <c r="P218" s="253">
        <f>P208*0.7</f>
        <v>-91</v>
      </c>
      <c r="Q218" s="253">
        <f>Q208*0.7</f>
        <v>-91</v>
      </c>
      <c r="R218" s="254"/>
      <c r="S218" s="254"/>
      <c r="T218" s="254"/>
      <c r="U218" s="254"/>
      <c r="V218" s="254"/>
      <c r="W218" s="254"/>
      <c r="X218" s="254"/>
      <c r="Y218" s="254"/>
      <c r="Z218" s="254"/>
      <c r="AA218" s="254"/>
      <c r="AB218" s="254"/>
      <c r="AC218" s="2"/>
      <c r="AD218" s="2"/>
      <c r="AE218" s="2"/>
      <c r="AF218" s="2"/>
      <c r="AG218" s="2"/>
      <c r="AH218" s="2"/>
      <c r="AI218" s="2"/>
      <c r="AJ218" s="2"/>
      <c r="AK218" s="2"/>
      <c r="AL218" s="2"/>
      <c r="AP218" s="530"/>
      <c r="AQ218" s="2">
        <f t="shared" si="370"/>
        <v>0</v>
      </c>
      <c r="AR218" s="2">
        <f t="shared" si="371"/>
        <v>0</v>
      </c>
      <c r="AS218" s="530"/>
      <c r="AT218" s="2">
        <f t="shared" si="372"/>
        <v>0</v>
      </c>
      <c r="AU218" s="2">
        <f t="shared" si="373"/>
        <v>0</v>
      </c>
      <c r="AV218" s="530"/>
      <c r="AW218" s="2">
        <f t="shared" si="374"/>
        <v>0</v>
      </c>
      <c r="AX218" s="2">
        <f t="shared" si="375"/>
        <v>0</v>
      </c>
      <c r="AY218" s="530"/>
      <c r="AZ218" s="2">
        <f t="shared" si="376"/>
        <v>0</v>
      </c>
      <c r="BA218" s="2">
        <f t="shared" si="377"/>
        <v>0</v>
      </c>
      <c r="BB218" s="530"/>
      <c r="BC218" s="2">
        <f t="shared" si="378"/>
        <v>0</v>
      </c>
      <c r="BD218" s="2">
        <f t="shared" si="379"/>
        <v>0</v>
      </c>
      <c r="BE218" s="530"/>
      <c r="BF218" s="2">
        <f t="shared" si="380"/>
        <v>0</v>
      </c>
      <c r="BG218" s="2">
        <f t="shared" si="381"/>
        <v>0</v>
      </c>
      <c r="BH218" s="2">
        <f t="shared" si="382"/>
        <v>0</v>
      </c>
      <c r="BI218" s="2">
        <f t="shared" si="383"/>
        <v>0</v>
      </c>
      <c r="BJ218" s="2">
        <f t="shared" si="384"/>
        <v>0</v>
      </c>
      <c r="BK218" s="2">
        <f t="shared" si="385"/>
        <v>0</v>
      </c>
      <c r="BL218" s="2">
        <f t="shared" si="386"/>
        <v>0</v>
      </c>
      <c r="BM218" s="2">
        <f t="shared" si="387"/>
        <v>0</v>
      </c>
      <c r="BN218" s="2">
        <f t="shared" si="388"/>
        <v>0</v>
      </c>
    </row>
    <row r="219" spans="1:66" hidden="1" outlineLevel="1">
      <c r="A219" s="2"/>
      <c r="B219" s="2"/>
      <c r="C219" s="18"/>
      <c r="D219" s="2"/>
      <c r="E219" s="2"/>
      <c r="F219" s="2"/>
      <c r="G219" s="2"/>
      <c r="H219" s="2"/>
      <c r="I219" s="2"/>
      <c r="J219" s="2"/>
      <c r="K219" s="2"/>
      <c r="L219" s="3"/>
      <c r="M219" s="2"/>
      <c r="N219" s="2"/>
      <c r="O219" s="254"/>
      <c r="P219" s="254"/>
      <c r="Q219" s="254"/>
      <c r="R219" s="254"/>
      <c r="S219" s="254"/>
      <c r="T219" s="254"/>
      <c r="U219" s="254"/>
      <c r="V219" s="254"/>
      <c r="W219" s="254"/>
      <c r="X219" s="254"/>
      <c r="Y219" s="254"/>
      <c r="Z219" s="254"/>
      <c r="AA219" s="254"/>
      <c r="AB219" s="254"/>
      <c r="AC219" s="2"/>
      <c r="AD219" s="2"/>
      <c r="AE219" s="2"/>
      <c r="AF219" s="2"/>
      <c r="AG219" s="2"/>
      <c r="AH219" s="2"/>
      <c r="AI219" s="2"/>
      <c r="AJ219" s="2"/>
      <c r="AK219" s="2"/>
      <c r="AL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row>
  </sheetData>
  <dataConsolidate/>
  <phoneticPr fontId="10" type="noConversion"/>
  <printOptions horizontalCentered="1" verticalCentered="1"/>
  <pageMargins left="0" right="0" top="0" bottom="0" header="0" footer="0"/>
  <pageSetup paperSize="5" scale="52" orientation="landscape" r:id="rId1"/>
  <headerFooter alignWithMargins="0"/>
  <ignoredErrors>
    <ignoredError sqref="Z40 AA97" formula="1"/>
    <ignoredError sqref="W89:AA89" unlockedFormula="1"/>
  </ignoredError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outlinePr summaryBelow="0"/>
    <pageSetUpPr autoPageBreaks="0" fitToPage="1"/>
  </sheetPr>
  <dimension ref="A1:CH66"/>
  <sheetViews>
    <sheetView showGridLines="0" zoomScale="130" zoomScaleNormal="130" workbookViewId="0">
      <pane xSplit="3" ySplit="6" topLeftCell="X50" activePane="bottomRight" state="frozen"/>
      <selection activeCell="D7" sqref="D7"/>
      <selection pane="topRight" activeCell="D7" sqref="D7"/>
      <selection pane="bottomLeft" activeCell="D7" sqref="D7"/>
      <selection pane="bottomRight" activeCell="B4" sqref="B4:AH58"/>
    </sheetView>
  </sheetViews>
  <sheetFormatPr defaultColWidth="9.6640625" defaultRowHeight="13.8" outlineLevelRow="1" outlineLevelCol="1"/>
  <cols>
    <col min="1" max="1" width="2.6640625" customWidth="1"/>
    <col min="2" max="2" width="50.6640625" customWidth="1"/>
    <col min="3" max="3" width="9.6640625" customWidth="1"/>
    <col min="4" max="8" width="9.6640625" hidden="1" customWidth="1" outlineLevel="1"/>
    <col min="9" max="9" width="9.6640625" hidden="1" customWidth="1" outlineLevel="1" collapsed="1"/>
    <col min="10" max="14" width="9.6640625" hidden="1" customWidth="1" outlineLevel="1"/>
    <col min="15" max="15" width="9.6640625" hidden="1" customWidth="1" outlineLevel="1" collapsed="1"/>
    <col min="16" max="16" width="9.6640625" hidden="1" customWidth="1" outlineLevel="1"/>
    <col min="17" max="17" width="9.6640625" hidden="1" customWidth="1" outlineLevel="1" collapsed="1"/>
    <col min="18" max="19" width="9.6640625" hidden="1" customWidth="1" outlineLevel="1"/>
    <col min="20" max="22" width="0" hidden="1" customWidth="1" outlineLevel="1"/>
    <col min="23" max="23" width="9.6640625" collapsed="1"/>
  </cols>
  <sheetData>
    <row r="1" spans="1:86">
      <c r="A1" s="472"/>
      <c r="B1" s="469"/>
      <c r="C1" s="485"/>
      <c r="D1" s="472"/>
      <c r="E1" s="477"/>
      <c r="F1" s="478"/>
      <c r="G1" s="469"/>
      <c r="H1" s="469"/>
      <c r="I1" s="469"/>
      <c r="J1" s="469"/>
      <c r="K1" s="472"/>
      <c r="L1" s="479"/>
      <c r="M1" s="469"/>
      <c r="N1" s="479"/>
      <c r="O1" s="479"/>
      <c r="P1" s="479"/>
      <c r="Q1" s="479"/>
      <c r="R1" s="479"/>
      <c r="S1" s="479"/>
      <c r="T1" s="479"/>
      <c r="U1" s="479"/>
      <c r="V1" s="479"/>
      <c r="W1" s="479"/>
      <c r="X1" s="479"/>
      <c r="Y1" s="479"/>
      <c r="Z1" s="479"/>
      <c r="AA1" s="479"/>
      <c r="AB1" s="479"/>
      <c r="AC1" s="479"/>
      <c r="AD1" s="479"/>
      <c r="AE1" s="479"/>
      <c r="AF1" s="479"/>
      <c r="AG1" s="479"/>
      <c r="AH1" s="479"/>
      <c r="AI1" s="479"/>
      <c r="AJ1" s="479"/>
      <c r="AK1" s="479"/>
      <c r="AL1" s="479"/>
      <c r="AM1" s="479"/>
      <c r="AN1" s="479"/>
      <c r="AO1" s="479"/>
      <c r="AP1" s="479"/>
      <c r="AQ1" s="479"/>
      <c r="AR1" s="479"/>
      <c r="AS1" s="479"/>
      <c r="AT1" s="479"/>
      <c r="AU1" s="479"/>
      <c r="AV1" s="479"/>
      <c r="AW1" s="479"/>
      <c r="AX1" s="479"/>
      <c r="AY1" s="479"/>
      <c r="AZ1" s="479"/>
      <c r="BA1" s="479"/>
      <c r="BB1" s="479"/>
      <c r="BC1" s="479"/>
      <c r="BD1" s="479"/>
      <c r="BE1" s="479"/>
      <c r="BF1" s="479"/>
      <c r="BG1" s="479"/>
      <c r="BH1" s="479"/>
      <c r="BI1" s="479"/>
      <c r="BJ1" s="479"/>
      <c r="BK1" s="479"/>
      <c r="BL1" s="479"/>
      <c r="BM1" s="479"/>
      <c r="BN1" s="479"/>
      <c r="BO1" s="479"/>
      <c r="BP1" s="479"/>
      <c r="BQ1" s="479"/>
      <c r="BR1" s="479"/>
      <c r="BS1" s="479"/>
      <c r="BT1" s="479"/>
      <c r="BU1" s="479"/>
      <c r="BV1" s="479"/>
      <c r="BW1" s="479"/>
      <c r="BX1" s="479"/>
      <c r="BY1" s="479"/>
      <c r="BZ1" s="479"/>
      <c r="CA1" s="479"/>
      <c r="CB1" s="479"/>
      <c r="CC1" s="479"/>
      <c r="CD1" s="479"/>
      <c r="CE1" s="479"/>
      <c r="CF1" s="479"/>
      <c r="CG1" s="479"/>
      <c r="CH1" s="479"/>
    </row>
    <row r="2" spans="1:86" ht="23.4">
      <c r="A2" s="472"/>
      <c r="B2" s="475" t="s">
        <v>1368</v>
      </c>
      <c r="C2" s="472"/>
      <c r="D2" s="476"/>
      <c r="E2" s="476"/>
      <c r="F2" s="476"/>
      <c r="G2" s="476"/>
      <c r="H2" s="476"/>
      <c r="I2" s="476"/>
      <c r="J2" s="476"/>
      <c r="K2" s="476"/>
      <c r="L2" s="472"/>
      <c r="M2" s="477"/>
      <c r="N2" s="478"/>
      <c r="O2" s="469"/>
      <c r="P2" s="472"/>
      <c r="Q2" s="472"/>
      <c r="R2" s="472"/>
      <c r="S2" s="472"/>
      <c r="T2" s="472"/>
      <c r="U2" s="472"/>
      <c r="V2" s="472"/>
      <c r="W2" s="472"/>
      <c r="X2" s="472"/>
      <c r="Y2" s="472"/>
      <c r="Z2" s="472"/>
      <c r="AA2" s="479"/>
      <c r="AB2" s="479"/>
      <c r="AC2" s="479"/>
      <c r="AD2" s="479"/>
      <c r="AE2" s="479"/>
      <c r="AF2" s="479"/>
      <c r="AG2" s="479"/>
      <c r="AH2" s="479"/>
      <c r="AI2" s="479"/>
      <c r="AJ2" s="479"/>
      <c r="AK2" s="479"/>
      <c r="AL2" s="479"/>
      <c r="AM2" s="479"/>
      <c r="AN2" s="479"/>
      <c r="AO2" s="479"/>
      <c r="AP2" s="479"/>
      <c r="AQ2" s="479"/>
      <c r="AR2" s="479"/>
      <c r="AS2" s="479"/>
      <c r="AT2" s="479"/>
      <c r="AU2" s="479"/>
      <c r="AV2" s="479"/>
      <c r="AW2" s="479"/>
      <c r="AX2" s="479"/>
      <c r="AY2" s="479"/>
      <c r="AZ2" s="479"/>
      <c r="BA2" s="479"/>
      <c r="BB2" s="479"/>
      <c r="BC2" s="479"/>
      <c r="BD2" s="479"/>
      <c r="BE2" s="479"/>
      <c r="BF2" s="479"/>
      <c r="BG2" s="479"/>
      <c r="BH2" s="479"/>
      <c r="BI2" s="479"/>
      <c r="BJ2" s="479"/>
      <c r="BK2" s="479"/>
      <c r="BL2" s="479"/>
      <c r="BM2" s="479"/>
      <c r="BN2" s="479"/>
      <c r="BO2" s="479"/>
      <c r="BP2" s="479"/>
      <c r="BQ2" s="479"/>
      <c r="BR2" s="479"/>
      <c r="BS2" s="479"/>
      <c r="BT2" s="479"/>
      <c r="BU2" s="479"/>
      <c r="BV2" s="479"/>
      <c r="BW2" s="479"/>
      <c r="BX2" s="479"/>
      <c r="BY2" s="479"/>
      <c r="BZ2" s="479"/>
      <c r="CA2" s="479"/>
      <c r="CB2" s="479"/>
      <c r="CC2" s="479"/>
      <c r="CD2" s="479"/>
      <c r="CE2" s="479"/>
      <c r="CF2" s="479"/>
      <c r="CG2" s="479"/>
      <c r="CH2" s="479"/>
    </row>
    <row r="3" spans="1:86" ht="18">
      <c r="A3" s="472"/>
      <c r="B3" s="480" t="str">
        <f ca="1">MID(CELL("filename",A1),FIND("]",CELL("filename",A1))+1,255)</f>
        <v>Cash Flow Statement</v>
      </c>
      <c r="C3" s="490"/>
      <c r="D3" s="476"/>
      <c r="E3" s="476"/>
      <c r="F3" s="476"/>
      <c r="G3" s="476"/>
      <c r="H3" s="476"/>
      <c r="I3" s="476"/>
      <c r="J3" s="476"/>
      <c r="K3" s="476"/>
      <c r="L3" s="481"/>
      <c r="M3" s="469"/>
      <c r="N3" s="469"/>
      <c r="O3" s="469"/>
      <c r="P3" s="472"/>
      <c r="Q3" s="472"/>
      <c r="R3" s="472"/>
      <c r="S3" s="472"/>
      <c r="T3" s="472"/>
      <c r="U3" s="472"/>
      <c r="V3" s="472"/>
      <c r="W3" s="472"/>
      <c r="X3" s="472"/>
      <c r="Y3" s="472"/>
      <c r="Z3" s="472"/>
      <c r="AA3" s="472"/>
      <c r="AB3" s="472"/>
      <c r="AC3" s="472"/>
      <c r="AD3" s="472"/>
      <c r="AE3" s="472"/>
      <c r="AF3" s="472"/>
      <c r="AG3" s="472"/>
      <c r="AH3" s="472"/>
      <c r="AI3" s="472"/>
      <c r="AJ3" s="472"/>
      <c r="AK3" s="472"/>
      <c r="AL3" s="472"/>
      <c r="AM3" s="472"/>
      <c r="AN3" s="472"/>
      <c r="AO3" s="472"/>
      <c r="AP3" s="472"/>
      <c r="AQ3" s="472"/>
      <c r="AR3" s="472"/>
      <c r="AS3" s="472"/>
      <c r="AT3" s="472"/>
      <c r="AU3" s="472"/>
      <c r="AV3" s="472"/>
      <c r="AW3" s="472"/>
      <c r="AX3" s="472"/>
      <c r="AY3" s="472"/>
      <c r="AZ3" s="472"/>
      <c r="BA3" s="472"/>
      <c r="BB3" s="472"/>
      <c r="BC3" s="472"/>
      <c r="BD3" s="472"/>
      <c r="BE3" s="472"/>
      <c r="BF3" s="472"/>
      <c r="BG3" s="472"/>
      <c r="BH3" s="472"/>
      <c r="BI3" s="472"/>
      <c r="BJ3" s="472"/>
      <c r="BK3" s="472"/>
      <c r="BL3" s="472"/>
      <c r="BM3" s="472"/>
      <c r="BN3" s="472"/>
      <c r="BO3" s="472"/>
      <c r="BP3" s="472"/>
      <c r="BQ3" s="472"/>
      <c r="BR3" s="472"/>
      <c r="BS3" s="472"/>
      <c r="BT3" s="472"/>
      <c r="BU3" s="472"/>
      <c r="BV3" s="472"/>
      <c r="BW3" s="472"/>
      <c r="BX3" s="472"/>
      <c r="BY3" s="472"/>
      <c r="BZ3" s="472"/>
      <c r="CA3" s="472"/>
      <c r="CB3" s="472"/>
      <c r="CC3" s="472"/>
      <c r="CD3" s="472"/>
      <c r="CE3" s="472"/>
      <c r="CF3" s="472"/>
      <c r="CG3" s="472"/>
      <c r="CH3" s="472"/>
    </row>
    <row r="4" spans="1:86" ht="14.4">
      <c r="A4" s="469"/>
      <c r="B4" s="489"/>
      <c r="C4" s="485"/>
      <c r="D4" s="488">
        <v>36707</v>
      </c>
      <c r="E4" s="488">
        <f>+EOMONTH(D4, 12)</f>
        <v>37072</v>
      </c>
      <c r="F4" s="488">
        <f t="shared" ref="F4:AI4" si="0">+EOMONTH(E4, 12)</f>
        <v>37437</v>
      </c>
      <c r="G4" s="488">
        <f t="shared" si="0"/>
        <v>37802</v>
      </c>
      <c r="H4" s="488">
        <f t="shared" si="0"/>
        <v>38168</v>
      </c>
      <c r="I4" s="488">
        <f t="shared" si="0"/>
        <v>38533</v>
      </c>
      <c r="J4" s="488">
        <f t="shared" si="0"/>
        <v>38898</v>
      </c>
      <c r="K4" s="488">
        <f t="shared" si="0"/>
        <v>39263</v>
      </c>
      <c r="L4" s="488">
        <f t="shared" si="0"/>
        <v>39629</v>
      </c>
      <c r="M4" s="488">
        <f t="shared" si="0"/>
        <v>39994</v>
      </c>
      <c r="N4" s="488">
        <f t="shared" si="0"/>
        <v>40359</v>
      </c>
      <c r="O4" s="488">
        <f t="shared" si="0"/>
        <v>40724</v>
      </c>
      <c r="P4" s="488">
        <f t="shared" si="0"/>
        <v>41090</v>
      </c>
      <c r="Q4" s="488">
        <f t="shared" si="0"/>
        <v>41455</v>
      </c>
      <c r="R4" s="488">
        <f t="shared" si="0"/>
        <v>41820</v>
      </c>
      <c r="S4" s="488">
        <f t="shared" si="0"/>
        <v>42185</v>
      </c>
      <c r="T4" s="488">
        <f t="shared" si="0"/>
        <v>42551</v>
      </c>
      <c r="U4" s="488">
        <f t="shared" si="0"/>
        <v>42916</v>
      </c>
      <c r="V4" s="488">
        <f t="shared" si="0"/>
        <v>43281</v>
      </c>
      <c r="W4" s="488">
        <f t="shared" si="0"/>
        <v>43646</v>
      </c>
      <c r="X4" s="488">
        <f t="shared" si="0"/>
        <v>44012</v>
      </c>
      <c r="Y4" s="488">
        <f t="shared" si="0"/>
        <v>44377</v>
      </c>
      <c r="Z4" s="488">
        <f t="shared" si="0"/>
        <v>44742</v>
      </c>
      <c r="AA4" s="488">
        <f t="shared" si="0"/>
        <v>45107</v>
      </c>
      <c r="AB4" s="488">
        <f t="shared" si="0"/>
        <v>45473</v>
      </c>
      <c r="AC4" s="488">
        <f t="shared" si="0"/>
        <v>45838</v>
      </c>
      <c r="AD4" s="488">
        <f t="shared" si="0"/>
        <v>46203</v>
      </c>
      <c r="AE4" s="488">
        <f t="shared" si="0"/>
        <v>46568</v>
      </c>
      <c r="AF4" s="488">
        <f t="shared" si="0"/>
        <v>46934</v>
      </c>
      <c r="AG4" s="488">
        <f t="shared" si="0"/>
        <v>47299</v>
      </c>
      <c r="AH4" s="488">
        <f t="shared" si="0"/>
        <v>47664</v>
      </c>
      <c r="AI4" s="488">
        <f t="shared" si="0"/>
        <v>48029</v>
      </c>
      <c r="AJ4" s="488">
        <f t="shared" ref="AJ4" si="1">+EOMONTH(AI4, 12)</f>
        <v>48395</v>
      </c>
      <c r="AK4" s="488">
        <f t="shared" ref="AK4:AL4" si="2">+EOMONTH(AJ4, 12)</f>
        <v>48760</v>
      </c>
      <c r="AL4" s="488">
        <f t="shared" si="2"/>
        <v>49125</v>
      </c>
      <c r="AM4" s="488"/>
      <c r="AN4" s="488"/>
      <c r="AO4" s="488"/>
      <c r="AP4" s="488"/>
      <c r="AQ4" s="488"/>
      <c r="AR4" s="488"/>
      <c r="AS4" s="488"/>
      <c r="AT4" s="488"/>
      <c r="AU4" s="488"/>
      <c r="AV4" s="488"/>
      <c r="AW4" s="488"/>
      <c r="AX4" s="488"/>
      <c r="AY4" s="488"/>
      <c r="AZ4" s="488"/>
      <c r="BA4" s="488"/>
      <c r="BB4" s="488"/>
      <c r="BC4" s="488"/>
      <c r="BD4" s="488"/>
      <c r="BE4" s="488"/>
      <c r="BF4" s="488"/>
      <c r="BG4" s="488"/>
      <c r="BH4" s="488"/>
      <c r="BI4" s="488"/>
      <c r="BJ4" s="488"/>
      <c r="BK4" s="488"/>
      <c r="BL4" s="488"/>
      <c r="BM4" s="488"/>
      <c r="BN4" s="488"/>
      <c r="BO4" s="488"/>
      <c r="BP4" s="488"/>
      <c r="BQ4" s="488"/>
      <c r="BR4" s="488"/>
      <c r="BS4" s="488"/>
      <c r="BT4" s="488"/>
      <c r="BU4" s="488"/>
      <c r="BV4" s="488"/>
      <c r="BW4" s="488"/>
      <c r="BX4" s="488"/>
      <c r="BY4" s="488"/>
      <c r="BZ4" s="488"/>
      <c r="CA4" s="488"/>
      <c r="CB4" s="488"/>
      <c r="CC4" s="488"/>
      <c r="CD4" s="488"/>
      <c r="CE4" s="488"/>
      <c r="CF4" s="488"/>
      <c r="CG4" s="488"/>
      <c r="CH4" s="488"/>
    </row>
    <row r="5" spans="1:86">
      <c r="A5" s="472"/>
      <c r="B5" s="469" t="s">
        <v>1367</v>
      </c>
      <c r="C5" s="485" t="s">
        <v>184</v>
      </c>
      <c r="D5" s="491">
        <f>'Revenue Assumptions'!K5</f>
        <v>0</v>
      </c>
      <c r="E5" s="492">
        <f>'Revenue Assumptions'!L5</f>
        <v>1</v>
      </c>
      <c r="F5" s="492">
        <f>'Revenue Assumptions'!M5</f>
        <v>2</v>
      </c>
      <c r="G5" s="492">
        <f>'Revenue Assumptions'!N5</f>
        <v>3</v>
      </c>
      <c r="H5" s="492">
        <f>'Revenue Assumptions'!O5</f>
        <v>4</v>
      </c>
      <c r="I5" s="492">
        <f>'Revenue Assumptions'!P5</f>
        <v>5</v>
      </c>
      <c r="J5" s="492">
        <f>'Revenue Assumptions'!Q5</f>
        <v>6</v>
      </c>
      <c r="K5" s="492">
        <f>'Revenue Assumptions'!R5</f>
        <v>7</v>
      </c>
      <c r="L5" s="492">
        <f>'Revenue Assumptions'!S5</f>
        <v>8</v>
      </c>
      <c r="M5" s="492">
        <f>'Revenue Assumptions'!T5</f>
        <v>9</v>
      </c>
      <c r="N5" s="470">
        <f>'Revenue Assumptions'!U5</f>
        <v>10</v>
      </c>
      <c r="O5" s="470">
        <f>'Revenue Assumptions'!V5</f>
        <v>11</v>
      </c>
      <c r="P5" s="470">
        <f>'Revenue Assumptions'!W5</f>
        <v>12</v>
      </c>
      <c r="Q5" s="470">
        <f>'Revenue Assumptions'!X5</f>
        <v>13</v>
      </c>
      <c r="R5" s="470">
        <f>'Revenue Assumptions'!Y5</f>
        <v>14</v>
      </c>
      <c r="S5" s="470">
        <f>'Revenue Assumptions'!Z5</f>
        <v>15</v>
      </c>
      <c r="T5" s="470">
        <f>'Revenue Assumptions'!AA5</f>
        <v>16</v>
      </c>
      <c r="U5" s="470">
        <f>'Revenue Assumptions'!AB5</f>
        <v>17</v>
      </c>
      <c r="V5" s="470">
        <f>'Revenue Assumptions'!AC5</f>
        <v>18</v>
      </c>
      <c r="W5" s="470">
        <f>'Revenue Assumptions'!AD5</f>
        <v>19</v>
      </c>
      <c r="X5" s="470">
        <f>'Revenue Assumptions'!AE5</f>
        <v>20</v>
      </c>
      <c r="Y5" s="470">
        <f>'Revenue Assumptions'!AF5</f>
        <v>21</v>
      </c>
      <c r="Z5" s="470">
        <f>'Revenue Assumptions'!AG5</f>
        <v>22</v>
      </c>
      <c r="AA5" s="470">
        <f>'Revenue Assumptions'!AH5</f>
        <v>23</v>
      </c>
      <c r="AB5" s="470">
        <f>'Revenue Assumptions'!AI5</f>
        <v>24</v>
      </c>
      <c r="AC5" s="470">
        <f>'Revenue Assumptions'!AJ5</f>
        <v>25</v>
      </c>
      <c r="AD5" s="471">
        <f>'Revenue Assumptions'!AK5</f>
        <v>26</v>
      </c>
      <c r="AE5" s="471">
        <f>'Revenue Assumptions'!AL5</f>
        <v>27</v>
      </c>
      <c r="AF5" s="471">
        <f>'Revenue Assumptions'!AM5</f>
        <v>28</v>
      </c>
      <c r="AG5" s="471">
        <f>'Revenue Assumptions'!AN5</f>
        <v>29</v>
      </c>
      <c r="AH5" s="471">
        <f>'Revenue Assumptions'!AO5</f>
        <v>30</v>
      </c>
      <c r="AI5" s="471">
        <f>'Revenue Assumptions'!AP5</f>
        <v>31</v>
      </c>
      <c r="AJ5" s="471">
        <f>'Revenue Assumptions'!AQ5</f>
        <v>32</v>
      </c>
      <c r="AK5" s="471">
        <f>'Revenue Assumptions'!AR5</f>
        <v>33</v>
      </c>
      <c r="AL5" s="471">
        <f>'Revenue Assumptions'!AS5</f>
        <v>34</v>
      </c>
      <c r="AM5" s="471"/>
      <c r="AN5" s="471"/>
      <c r="AO5" s="471"/>
      <c r="AP5" s="471"/>
      <c r="AQ5" s="471"/>
      <c r="AR5" s="471"/>
      <c r="AS5" s="471"/>
      <c r="AT5" s="471"/>
      <c r="AU5" s="471"/>
      <c r="AV5" s="471"/>
      <c r="AW5" s="471"/>
      <c r="AX5" s="471"/>
      <c r="AY5" s="471"/>
      <c r="AZ5" s="471"/>
      <c r="BA5" s="471"/>
      <c r="BB5" s="471"/>
      <c r="BC5" s="471"/>
      <c r="BD5" s="471"/>
      <c r="BE5" s="471"/>
      <c r="BF5" s="471"/>
      <c r="BG5" s="471"/>
      <c r="BH5" s="471"/>
      <c r="BI5" s="471"/>
      <c r="BJ5" s="471"/>
      <c r="BK5" s="471"/>
      <c r="BL5" s="471"/>
      <c r="BM5" s="471"/>
      <c r="BN5" s="471"/>
      <c r="BO5" s="471"/>
      <c r="BP5" s="471"/>
      <c r="BQ5" s="471"/>
      <c r="BR5" s="471"/>
      <c r="BS5" s="471"/>
      <c r="BT5" s="471"/>
      <c r="BU5" s="471"/>
      <c r="BV5" s="471"/>
      <c r="BW5" s="471"/>
      <c r="BX5" s="471"/>
      <c r="BY5" s="471"/>
      <c r="BZ5" s="471"/>
      <c r="CA5" s="471"/>
      <c r="CB5" s="471"/>
      <c r="CC5" s="471"/>
      <c r="CD5" s="471"/>
      <c r="CE5" s="471"/>
      <c r="CF5" s="471"/>
      <c r="CG5" s="471"/>
      <c r="CH5" s="471"/>
    </row>
    <row r="6" spans="1:86">
      <c r="A6" s="472"/>
      <c r="B6" s="472"/>
      <c r="C6" s="472"/>
      <c r="D6" s="472"/>
      <c r="E6" s="472"/>
      <c r="F6" s="472"/>
      <c r="G6" s="472"/>
      <c r="H6" s="472"/>
      <c r="I6" s="472"/>
      <c r="J6" s="472"/>
      <c r="K6" s="472"/>
      <c r="L6" s="472"/>
      <c r="M6" s="472"/>
      <c r="N6" s="472"/>
      <c r="O6" s="472"/>
      <c r="P6" s="472"/>
      <c r="Q6" s="472"/>
      <c r="R6" s="472"/>
      <c r="S6" s="472"/>
      <c r="T6" s="472"/>
      <c r="U6" s="472"/>
      <c r="V6" s="472"/>
      <c r="W6" s="472"/>
      <c r="X6" s="472"/>
      <c r="Y6" s="472"/>
      <c r="Z6" s="472"/>
      <c r="AA6" s="472"/>
      <c r="AB6" s="472"/>
      <c r="AC6" s="472"/>
      <c r="AD6" s="472"/>
      <c r="AE6" s="472"/>
      <c r="AF6" s="472"/>
      <c r="AG6" s="472"/>
      <c r="AH6" s="472"/>
      <c r="AI6" s="472"/>
      <c r="AJ6" s="472"/>
      <c r="AK6" s="472"/>
      <c r="AL6" s="472"/>
      <c r="AM6" s="472"/>
      <c r="AN6" s="472"/>
      <c r="AO6" s="472"/>
      <c r="AP6" s="472"/>
      <c r="AQ6" s="472"/>
      <c r="AR6" s="472"/>
      <c r="AS6" s="472"/>
      <c r="AT6" s="472"/>
      <c r="AU6" s="472"/>
      <c r="AV6" s="472"/>
      <c r="AW6" s="472"/>
      <c r="AX6" s="472"/>
      <c r="AY6" s="472"/>
      <c r="AZ6" s="472"/>
      <c r="BA6" s="472"/>
      <c r="BB6" s="472"/>
      <c r="BC6" s="472"/>
      <c r="BD6" s="472"/>
      <c r="BE6" s="472"/>
      <c r="BF6" s="472"/>
      <c r="BG6" s="472"/>
      <c r="BH6" s="472"/>
      <c r="BI6" s="472"/>
      <c r="BJ6" s="472"/>
      <c r="BK6" s="472"/>
      <c r="BL6" s="472"/>
      <c r="BM6" s="472"/>
      <c r="BN6" s="472"/>
      <c r="BO6" s="472"/>
      <c r="BP6" s="472"/>
      <c r="BQ6" s="472"/>
      <c r="BR6" s="472"/>
      <c r="BS6" s="472"/>
      <c r="BT6" s="472"/>
      <c r="BU6" s="472"/>
      <c r="BV6" s="472"/>
      <c r="BW6" s="472"/>
      <c r="BX6" s="472"/>
      <c r="BY6" s="472"/>
      <c r="BZ6" s="472"/>
      <c r="CA6" s="472"/>
      <c r="CB6" s="472"/>
      <c r="CC6" s="472"/>
      <c r="CD6" s="472"/>
      <c r="CE6" s="472"/>
      <c r="CF6" s="472"/>
      <c r="CG6" s="472"/>
      <c r="CH6" s="472"/>
    </row>
    <row r="7" spans="1:86">
      <c r="A7" s="2"/>
      <c r="B7" s="6"/>
      <c r="C7" s="21"/>
      <c r="D7" s="34"/>
      <c r="E7" s="34"/>
      <c r="F7" s="34"/>
      <c r="G7" s="34"/>
      <c r="H7" s="34"/>
      <c r="I7" s="34"/>
      <c r="J7" s="34"/>
      <c r="K7" s="34"/>
      <c r="L7" s="34"/>
      <c r="M7" s="43"/>
      <c r="N7" s="34"/>
      <c r="O7" s="34"/>
      <c r="P7" s="34"/>
      <c r="Q7" s="34"/>
      <c r="R7" s="34"/>
      <c r="S7" s="34"/>
      <c r="T7" s="34"/>
      <c r="U7" s="34"/>
      <c r="V7" s="34"/>
      <c r="W7" s="34"/>
      <c r="X7" s="34"/>
      <c r="Y7" s="34"/>
      <c r="Z7" s="34"/>
      <c r="AA7" s="34"/>
      <c r="AB7" s="34"/>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row>
    <row r="8" spans="1:86">
      <c r="A8" s="2"/>
      <c r="B8" s="161" t="s">
        <v>418</v>
      </c>
      <c r="C8" s="6"/>
      <c r="D8" s="34"/>
      <c r="E8" s="34"/>
      <c r="F8" s="34"/>
      <c r="G8" s="34"/>
      <c r="H8" s="34"/>
      <c r="I8" s="34"/>
      <c r="J8" s="34"/>
      <c r="K8" s="34"/>
      <c r="L8" s="34"/>
      <c r="M8" s="43"/>
      <c r="N8" s="34"/>
      <c r="O8" s="34"/>
      <c r="P8" s="34"/>
      <c r="Q8" s="34"/>
      <c r="R8" s="34"/>
      <c r="S8" s="34"/>
      <c r="T8" s="34"/>
      <c r="U8" s="34"/>
      <c r="V8" s="34"/>
      <c r="W8" s="34"/>
      <c r="X8" s="34"/>
      <c r="Y8" s="34"/>
      <c r="Z8" s="34"/>
      <c r="AA8" s="34"/>
      <c r="AB8" s="34"/>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row>
    <row r="9" spans="1:86">
      <c r="A9" s="2"/>
      <c r="B9" s="966" t="s">
        <v>543</v>
      </c>
      <c r="C9" s="18" t="s">
        <v>732</v>
      </c>
      <c r="D9" s="132"/>
      <c r="E9" s="132"/>
      <c r="F9" s="132"/>
      <c r="G9" s="549">
        <v>22511</v>
      </c>
      <c r="H9" s="549">
        <v>22954</v>
      </c>
      <c r="I9" s="549">
        <v>24526</v>
      </c>
      <c r="J9" s="549">
        <v>25229</v>
      </c>
      <c r="K9" s="549">
        <v>26187</v>
      </c>
      <c r="L9" s="549">
        <v>27246</v>
      </c>
      <c r="M9" s="549">
        <v>27719</v>
      </c>
      <c r="N9" s="549">
        <v>27128</v>
      </c>
      <c r="O9" s="549">
        <v>27389</v>
      </c>
      <c r="P9" s="549">
        <v>28364</v>
      </c>
      <c r="Q9" s="548">
        <f>28585+77</f>
        <v>28662</v>
      </c>
      <c r="R9" s="548">
        <f>28950+147</f>
        <v>29097</v>
      </c>
      <c r="S9" s="548">
        <f>29521+166</f>
        <v>29687</v>
      </c>
      <c r="T9" s="548">
        <f>31163+182-173</f>
        <v>31172</v>
      </c>
      <c r="U9" s="548">
        <v>31288</v>
      </c>
      <c r="V9" s="548">
        <v>31901</v>
      </c>
      <c r="W9" s="548">
        <v>30231</v>
      </c>
      <c r="X9" s="548">
        <v>29506</v>
      </c>
      <c r="Y9" s="548">
        <v>26727</v>
      </c>
      <c r="Z9" s="548">
        <v>23876</v>
      </c>
      <c r="AA9" s="548">
        <v>25196</v>
      </c>
      <c r="AB9" s="548">
        <v>25196</v>
      </c>
      <c r="AC9" s="548">
        <v>25647</v>
      </c>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row>
    <row r="10" spans="1:86">
      <c r="A10" s="2"/>
      <c r="B10" s="966" t="s">
        <v>206</v>
      </c>
      <c r="C10" s="18" t="s">
        <v>732</v>
      </c>
      <c r="D10" s="132"/>
      <c r="E10" s="132"/>
      <c r="F10" s="132"/>
      <c r="G10" s="549">
        <v>-11920</v>
      </c>
      <c r="H10" s="549">
        <v>-11816</v>
      </c>
      <c r="I10" s="549">
        <v>-13848</v>
      </c>
      <c r="J10" s="549">
        <v>-14785</v>
      </c>
      <c r="K10" s="549">
        <v>-16049</v>
      </c>
      <c r="L10" s="549">
        <v>-16871</v>
      </c>
      <c r="M10" s="549">
        <v>-17074</v>
      </c>
      <c r="N10" s="549">
        <v>-16218</v>
      </c>
      <c r="O10" s="549">
        <v>-17860</v>
      </c>
      <c r="P10" s="549">
        <v>-17491</v>
      </c>
      <c r="Q10" s="548">
        <v>-18803</v>
      </c>
      <c r="R10" s="548">
        <v>-18710</v>
      </c>
      <c r="S10" s="548">
        <v>-19621</v>
      </c>
      <c r="T10" s="548">
        <v>-21179</v>
      </c>
      <c r="U10" s="548">
        <v>-21997</v>
      </c>
      <c r="V10" s="548">
        <v>-21948</v>
      </c>
      <c r="W10" s="548">
        <v>-22748</v>
      </c>
      <c r="X10" s="548">
        <v>-21895</v>
      </c>
      <c r="Y10" s="548">
        <v>-18901</v>
      </c>
      <c r="Z10" s="548">
        <v>-15987</v>
      </c>
      <c r="AA10" s="548">
        <v>-17640</v>
      </c>
      <c r="AB10" s="548">
        <v>-17386</v>
      </c>
      <c r="AC10" s="548">
        <v>-17540</v>
      </c>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row>
    <row r="11" spans="1:86">
      <c r="A11" s="6"/>
      <c r="B11" s="161"/>
      <c r="C11" s="21" t="s">
        <v>732</v>
      </c>
      <c r="D11" s="967"/>
      <c r="E11" s="968"/>
      <c r="F11" s="968"/>
      <c r="G11" s="968">
        <f t="shared" ref="G11:T11" si="3">SUM(G9:G10)</f>
        <v>10591</v>
      </c>
      <c r="H11" s="968">
        <f t="shared" si="3"/>
        <v>11138</v>
      </c>
      <c r="I11" s="968">
        <f t="shared" si="3"/>
        <v>10678</v>
      </c>
      <c r="J11" s="968">
        <f t="shared" si="3"/>
        <v>10444</v>
      </c>
      <c r="K11" s="968">
        <f t="shared" si="3"/>
        <v>10138</v>
      </c>
      <c r="L11" s="968">
        <f t="shared" si="3"/>
        <v>10375</v>
      </c>
      <c r="M11" s="968">
        <f t="shared" si="3"/>
        <v>10645</v>
      </c>
      <c r="N11" s="968">
        <f t="shared" si="3"/>
        <v>10910</v>
      </c>
      <c r="O11" s="968">
        <f t="shared" si="3"/>
        <v>9529</v>
      </c>
      <c r="P11" s="968">
        <f t="shared" si="3"/>
        <v>10873</v>
      </c>
      <c r="Q11" s="276">
        <f t="shared" si="3"/>
        <v>9859</v>
      </c>
      <c r="R11" s="276">
        <f t="shared" si="3"/>
        <v>10387</v>
      </c>
      <c r="S11" s="276">
        <f t="shared" si="3"/>
        <v>10066</v>
      </c>
      <c r="T11" s="276">
        <f t="shared" si="3"/>
        <v>9993</v>
      </c>
      <c r="U11" s="276">
        <f t="shared" ref="U11:Z11" si="4">SUM(U9:U10)</f>
        <v>9291</v>
      </c>
      <c r="V11" s="276">
        <f t="shared" si="4"/>
        <v>9953</v>
      </c>
      <c r="W11" s="276">
        <f t="shared" si="4"/>
        <v>7483</v>
      </c>
      <c r="X11" s="276">
        <f t="shared" si="4"/>
        <v>7611</v>
      </c>
      <c r="Y11" s="276">
        <f t="shared" si="4"/>
        <v>7826</v>
      </c>
      <c r="Z11" s="276">
        <f t="shared" si="4"/>
        <v>7889</v>
      </c>
      <c r="AA11" s="276">
        <f t="shared" ref="AA11:AB11" si="5">SUM(AA9:AA10)</f>
        <v>7556</v>
      </c>
      <c r="AB11" s="276">
        <f t="shared" si="5"/>
        <v>7810</v>
      </c>
      <c r="AC11" s="276">
        <f t="shared" ref="AC11" si="6">SUM(AC9:AC10)</f>
        <v>8107</v>
      </c>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row>
    <row r="12" spans="1:86">
      <c r="A12" s="6"/>
      <c r="B12" s="161"/>
      <c r="C12" s="6"/>
      <c r="D12" s="43"/>
      <c r="E12" s="60"/>
      <c r="F12" s="60"/>
      <c r="G12" s="60"/>
      <c r="H12" s="60"/>
      <c r="I12" s="60"/>
      <c r="J12" s="60"/>
      <c r="K12" s="60"/>
      <c r="L12" s="60"/>
      <c r="M12" s="60"/>
      <c r="N12" s="60"/>
      <c r="O12" s="60"/>
      <c r="P12" s="60"/>
      <c r="Q12" s="60"/>
      <c r="R12" s="60"/>
      <c r="S12" s="60"/>
      <c r="T12" s="60"/>
      <c r="U12" s="60"/>
      <c r="V12" s="60"/>
      <c r="W12" s="60"/>
      <c r="X12" s="60"/>
      <c r="Y12" s="60"/>
      <c r="Z12" s="34"/>
      <c r="AA12" s="34"/>
      <c r="AB12" s="34"/>
      <c r="AC12" s="34"/>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row>
    <row r="13" spans="1:86">
      <c r="A13" s="2"/>
      <c r="B13" s="3" t="s">
        <v>734</v>
      </c>
      <c r="C13" s="18" t="s">
        <v>732</v>
      </c>
      <c r="D13" s="43"/>
      <c r="E13" s="43"/>
      <c r="F13" s="42"/>
      <c r="G13" s="42"/>
      <c r="H13" s="42"/>
      <c r="I13" s="42"/>
      <c r="J13" s="42"/>
      <c r="K13" s="42"/>
      <c r="L13" s="42"/>
      <c r="M13" s="42"/>
      <c r="N13" s="42"/>
      <c r="O13" s="42"/>
      <c r="P13" s="42"/>
      <c r="Q13" s="42"/>
      <c r="R13" s="42"/>
      <c r="S13" s="42"/>
      <c r="T13" s="42"/>
      <c r="U13" s="42"/>
      <c r="V13" s="42"/>
      <c r="W13" s="42"/>
      <c r="X13" s="42"/>
      <c r="Y13" s="42"/>
      <c r="Z13" s="42"/>
      <c r="AA13" s="42"/>
      <c r="AB13" s="42"/>
      <c r="AC13" s="42"/>
      <c r="AD13" s="451">
        <f>'P&amp;L'!AD51+'P&amp;L'!AD55</f>
        <v>8962.3524705260606</v>
      </c>
      <c r="AE13" s="451">
        <f>'P&amp;L'!AE51+'P&amp;L'!AE55</f>
        <v>9249.6083445247623</v>
      </c>
      <c r="AF13" s="451">
        <f>'P&amp;L'!AF51+'P&amp;L'!AF55</f>
        <v>9558.7296004252148</v>
      </c>
      <c r="AG13" s="451">
        <f>'P&amp;L'!AG51+'P&amp;L'!AG55</f>
        <v>9893.4459477406508</v>
      </c>
      <c r="AH13" s="451">
        <f>'P&amp;L'!AH51+'P&amp;L'!AH55</f>
        <v>10255.7176868312</v>
      </c>
      <c r="AI13" s="451">
        <f>'P&amp;L'!AI51+'P&amp;L'!AI55</f>
        <v>10647.910275334412</v>
      </c>
      <c r="AJ13" s="451">
        <f>'P&amp;L'!AJ51+'P&amp;L'!AJ55</f>
        <v>11072.839031796419</v>
      </c>
      <c r="AK13" s="451">
        <f>'P&amp;L'!AK51+'P&amp;L'!AK55</f>
        <v>11533.828714237639</v>
      </c>
      <c r="AL13" s="451">
        <f>'P&amp;L'!AL51+'P&amp;L'!AL55</f>
        <v>12021.018876549937</v>
      </c>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row>
    <row r="14" spans="1:86">
      <c r="A14" s="2"/>
      <c r="B14" s="3" t="s">
        <v>404</v>
      </c>
      <c r="C14" s="18" t="s">
        <v>732</v>
      </c>
      <c r="D14" s="6"/>
      <c r="E14" s="6"/>
      <c r="F14" s="2"/>
      <c r="G14" s="2"/>
      <c r="H14" s="2"/>
      <c r="I14" s="2"/>
      <c r="J14" s="2"/>
      <c r="K14" s="42"/>
      <c r="L14" s="42"/>
      <c r="M14" s="42"/>
      <c r="N14" s="42"/>
      <c r="O14" s="42"/>
      <c r="P14" s="42"/>
      <c r="Q14" s="42"/>
      <c r="R14" s="42"/>
      <c r="S14" s="42"/>
      <c r="T14" s="42"/>
      <c r="U14" s="42"/>
      <c r="V14" s="42"/>
      <c r="W14" s="42"/>
      <c r="X14" s="42"/>
      <c r="Y14" s="42"/>
      <c r="Z14" s="42"/>
      <c r="AA14" s="42"/>
      <c r="AB14" s="42"/>
      <c r="AC14" s="42"/>
      <c r="AD14" s="451">
        <f>'Cost + BS Assumptions'!AD179</f>
        <v>-2.9377566532086803</v>
      </c>
      <c r="AE14" s="451">
        <f>'Cost + BS Assumptions'!AE179</f>
        <v>11.626527722428818</v>
      </c>
      <c r="AF14" s="451">
        <f>'Cost + BS Assumptions'!AF179</f>
        <v>12.457952985412248</v>
      </c>
      <c r="AG14" s="451">
        <f>'Cost + BS Assumptions'!AG179</f>
        <v>13.449094606645531</v>
      </c>
      <c r="AH14" s="451">
        <f>'Cost + BS Assumptions'!AH179</f>
        <v>18.412190985310417</v>
      </c>
      <c r="AI14" s="451">
        <f>'Cost + BS Assumptions'!AI179</f>
        <v>20.052882767651795</v>
      </c>
      <c r="AJ14" s="451">
        <f>'Cost + BS Assumptions'!AJ179</f>
        <v>21.96078871040072</v>
      </c>
      <c r="AK14" s="451">
        <f>'Cost + BS Assumptions'!AK179</f>
        <v>24.182530551608352</v>
      </c>
      <c r="AL14" s="451">
        <f>'Cost + BS Assumptions'!AL179</f>
        <v>25.839281632827465</v>
      </c>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row>
    <row r="15" spans="1:86">
      <c r="A15" s="2"/>
      <c r="B15" s="2" t="s">
        <v>963</v>
      </c>
      <c r="C15" s="18" t="s">
        <v>732</v>
      </c>
      <c r="D15" s="42"/>
      <c r="E15" s="42"/>
      <c r="F15" s="42"/>
      <c r="G15" s="42"/>
      <c r="H15" s="42"/>
      <c r="I15" s="42"/>
      <c r="J15" s="42"/>
      <c r="K15" s="42"/>
      <c r="L15" s="42"/>
      <c r="M15" s="42"/>
      <c r="N15" s="42"/>
      <c r="O15" s="42"/>
      <c r="P15" s="42"/>
      <c r="Q15" s="42"/>
      <c r="R15" s="42"/>
      <c r="S15" s="42"/>
      <c r="T15" s="42"/>
      <c r="U15" s="42"/>
      <c r="V15" s="42"/>
      <c r="W15" s="42"/>
      <c r="X15" s="42"/>
      <c r="Y15" s="42"/>
      <c r="Z15" s="42"/>
      <c r="AA15" s="42"/>
      <c r="AB15" s="42"/>
      <c r="AC15" s="42"/>
      <c r="AD15" s="969">
        <f>'P&amp;L'!AD90</f>
        <v>-180</v>
      </c>
      <c r="AE15" s="969">
        <f>'P&amp;L'!AE90</f>
        <v>-180</v>
      </c>
      <c r="AF15" s="969">
        <f>'P&amp;L'!AF90</f>
        <v>-180</v>
      </c>
      <c r="AG15" s="969">
        <f>'P&amp;L'!AG90</f>
        <v>-180</v>
      </c>
      <c r="AH15" s="969">
        <f>'P&amp;L'!AH90</f>
        <v>-180</v>
      </c>
      <c r="AI15" s="969">
        <f>'P&amp;L'!AI90</f>
        <v>-180</v>
      </c>
      <c r="AJ15" s="969">
        <f>'P&amp;L'!AJ90</f>
        <v>-180</v>
      </c>
      <c r="AK15" s="969">
        <f>'P&amp;L'!AK90</f>
        <v>-180</v>
      </c>
      <c r="AL15" s="969">
        <f>'P&amp;L'!AL90</f>
        <v>-180</v>
      </c>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row>
    <row r="16" spans="1:86">
      <c r="A16" s="2"/>
      <c r="B16" s="2"/>
      <c r="C16" s="21" t="s">
        <v>732</v>
      </c>
      <c r="D16" s="42"/>
      <c r="E16" s="42"/>
      <c r="F16" s="42"/>
      <c r="G16" s="42"/>
      <c r="H16" s="42"/>
      <c r="I16" s="42"/>
      <c r="J16" s="42"/>
      <c r="K16" s="42"/>
      <c r="L16" s="42"/>
      <c r="M16" s="42"/>
      <c r="N16" s="42"/>
      <c r="O16" s="42"/>
      <c r="P16" s="42"/>
      <c r="Q16" s="42"/>
      <c r="R16" s="42"/>
      <c r="S16" s="42"/>
      <c r="T16" s="42"/>
      <c r="U16" s="42"/>
      <c r="V16" s="42"/>
      <c r="W16" s="42"/>
      <c r="X16" s="42"/>
      <c r="Y16" s="42"/>
      <c r="Z16" s="42"/>
      <c r="AA16" s="42"/>
      <c r="AB16" s="42"/>
      <c r="AC16" s="42"/>
      <c r="AD16" s="249">
        <f t="shared" ref="AD16:AH16" si="7">AD13+AD14+AD15</f>
        <v>8779.4147138728513</v>
      </c>
      <c r="AE16" s="249">
        <f t="shared" si="7"/>
        <v>9081.2348722471907</v>
      </c>
      <c r="AF16" s="249">
        <f t="shared" si="7"/>
        <v>9391.1875534106275</v>
      </c>
      <c r="AG16" s="249">
        <f t="shared" si="7"/>
        <v>9726.8950423472961</v>
      </c>
      <c r="AH16" s="249">
        <f t="shared" si="7"/>
        <v>10094.129877816511</v>
      </c>
      <c r="AI16" s="249">
        <f>AI13+AI14+AI15</f>
        <v>10487.963158102064</v>
      </c>
      <c r="AJ16" s="249">
        <f t="shared" ref="AJ16:AK16" si="8">AJ13+AJ14+AJ15</f>
        <v>10914.79982050682</v>
      </c>
      <c r="AK16" s="249">
        <f t="shared" si="8"/>
        <v>11378.011244789248</v>
      </c>
      <c r="AL16" s="249">
        <f t="shared" ref="AL16" si="9">AL13+AL14+AL15</f>
        <v>11866.858158182764</v>
      </c>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row>
    <row r="18" spans="1:81">
      <c r="A18" s="2"/>
      <c r="B18" s="3" t="s">
        <v>417</v>
      </c>
      <c r="C18" s="18" t="s">
        <v>732</v>
      </c>
      <c r="D18" s="616">
        <v>-947</v>
      </c>
      <c r="E18" s="616">
        <v>-1455</v>
      </c>
      <c r="F18" s="616">
        <v>-1503</v>
      </c>
      <c r="G18" s="616">
        <v>-1536</v>
      </c>
      <c r="H18" s="616">
        <v>-1856</v>
      </c>
      <c r="I18" s="616">
        <v>-1718</v>
      </c>
      <c r="J18" s="616">
        <v>-1882</v>
      </c>
      <c r="K18" s="616">
        <v>-1618</v>
      </c>
      <c r="L18" s="616">
        <v>-1531</v>
      </c>
      <c r="M18" s="616">
        <v>-1647</v>
      </c>
      <c r="N18" s="616">
        <v>-1219</v>
      </c>
      <c r="O18" s="616">
        <v>-1511</v>
      </c>
      <c r="P18" s="549">
        <v>-1597</v>
      </c>
      <c r="Q18" s="548">
        <v>-1500</v>
      </c>
      <c r="R18" s="548">
        <v>-1774</v>
      </c>
      <c r="S18" s="548">
        <v>-1755</v>
      </c>
      <c r="T18" s="548">
        <v>-1860</v>
      </c>
      <c r="U18" s="548">
        <v>-1751</v>
      </c>
      <c r="V18" s="548">
        <v>-1521</v>
      </c>
      <c r="W18" s="548">
        <v>-956</v>
      </c>
      <c r="X18" s="548">
        <v>-754</v>
      </c>
      <c r="Y18" s="548">
        <v>-762</v>
      </c>
      <c r="Z18" s="548">
        <v>-819</v>
      </c>
      <c r="AA18" s="548">
        <v>-933</v>
      </c>
      <c r="AB18" s="548">
        <v>-946</v>
      </c>
      <c r="AC18" s="548">
        <v>-980</v>
      </c>
      <c r="AD18" s="451">
        <f>'P&amp;L'!AD87</f>
        <v>-1035.2885612815819</v>
      </c>
      <c r="AE18" s="451">
        <f>'P&amp;L'!AE87</f>
        <v>-1075.914696627475</v>
      </c>
      <c r="AF18" s="451">
        <f>'P&amp;L'!AF87</f>
        <v>-1117.8492547493581</v>
      </c>
      <c r="AG18" s="451">
        <f>'P&amp;L'!AG87</f>
        <v>-1161.6690441866278</v>
      </c>
      <c r="AH18" s="451">
        <f>'P&amp;L'!AH87</f>
        <v>-1207.6780493736226</v>
      </c>
      <c r="AI18" s="451">
        <f>'P&amp;L'!AI87</f>
        <v>-1256.1427352674596</v>
      </c>
      <c r="AJ18" s="451">
        <f>'P&amp;L'!AJ87</f>
        <v>-1307.2945959537865</v>
      </c>
      <c r="AK18" s="451">
        <f>'P&amp;L'!AK87</f>
        <v>-1361.3292375939125</v>
      </c>
      <c r="AL18" s="451">
        <f>'P&amp;L'!AL87</f>
        <v>-1422.0615260027557</v>
      </c>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row>
    <row r="19" spans="1:81">
      <c r="A19" s="2"/>
      <c r="B19" s="3" t="s">
        <v>28</v>
      </c>
      <c r="C19" s="18" t="s">
        <v>732</v>
      </c>
      <c r="D19" s="175"/>
      <c r="E19" s="175"/>
      <c r="F19" s="175"/>
      <c r="G19" s="616">
        <v>-1076</v>
      </c>
      <c r="H19" s="175">
        <f>-1056+2</f>
        <v>-1054</v>
      </c>
      <c r="I19" s="175"/>
      <c r="J19" s="175"/>
      <c r="K19" s="175"/>
      <c r="L19" s="175"/>
      <c r="M19" s="175"/>
      <c r="N19" s="175"/>
      <c r="O19" s="175"/>
      <c r="P19" s="42"/>
      <c r="Q19" s="548">
        <v>0</v>
      </c>
      <c r="R19" s="548">
        <v>0</v>
      </c>
      <c r="S19" s="548">
        <v>0</v>
      </c>
      <c r="T19" s="548">
        <v>0</v>
      </c>
      <c r="U19" s="548">
        <v>235</v>
      </c>
      <c r="V19" s="548">
        <f>174+91</f>
        <v>265</v>
      </c>
      <c r="W19" s="548">
        <f>156-21-26+53</f>
        <v>162</v>
      </c>
      <c r="X19" s="548">
        <f>153+28-33-122</f>
        <v>26</v>
      </c>
      <c r="Y19" s="548">
        <f>167+36-30-152</f>
        <v>21</v>
      </c>
      <c r="Z19" s="548">
        <v>179</v>
      </c>
      <c r="AA19" s="548">
        <v>179</v>
      </c>
      <c r="AB19" s="548">
        <v>185</v>
      </c>
      <c r="AC19" s="548">
        <v>197</v>
      </c>
      <c r="AD19" s="247"/>
      <c r="AE19" s="247"/>
      <c r="AF19" s="247"/>
      <c r="AG19" s="247"/>
      <c r="AH19" s="247"/>
      <c r="AI19" s="247"/>
      <c r="AJ19" s="247"/>
      <c r="AK19" s="247"/>
      <c r="AL19" s="247"/>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row>
    <row r="20" spans="1:81">
      <c r="A20" s="6"/>
      <c r="B20" s="35" t="s">
        <v>207</v>
      </c>
      <c r="C20" s="21" t="s">
        <v>732</v>
      </c>
      <c r="D20" s="43"/>
      <c r="E20" s="43"/>
      <c r="F20" s="43"/>
      <c r="G20" s="60">
        <f>G11+G50+G18+G19</f>
        <v>7050</v>
      </c>
      <c r="H20" s="60">
        <f>H11+H50+H18+H19</f>
        <v>7433</v>
      </c>
      <c r="I20" s="60">
        <f t="shared" ref="I20:T20" si="10">I11+I50+I18</f>
        <v>8159</v>
      </c>
      <c r="J20" s="60">
        <f t="shared" si="10"/>
        <v>7688</v>
      </c>
      <c r="K20" s="60">
        <f t="shared" si="10"/>
        <v>7520</v>
      </c>
      <c r="L20" s="60">
        <f t="shared" si="10"/>
        <v>7703</v>
      </c>
      <c r="M20" s="60">
        <f t="shared" si="10"/>
        <v>7842</v>
      </c>
      <c r="N20" s="60">
        <f t="shared" si="10"/>
        <v>8715</v>
      </c>
      <c r="O20" s="60">
        <f t="shared" si="10"/>
        <v>7005</v>
      </c>
      <c r="P20" s="60">
        <f t="shared" si="10"/>
        <v>8239</v>
      </c>
      <c r="Q20" s="249">
        <f t="shared" si="10"/>
        <v>7558</v>
      </c>
      <c r="R20" s="249">
        <f t="shared" si="10"/>
        <v>7816</v>
      </c>
      <c r="S20" s="249">
        <f t="shared" si="10"/>
        <v>7562</v>
      </c>
      <c r="T20" s="249">
        <f t="shared" si="10"/>
        <v>7404</v>
      </c>
      <c r="U20" s="249">
        <f t="shared" ref="U20:Z20" si="11">U11+U50+U18+U19</f>
        <v>7030</v>
      </c>
      <c r="V20" s="249">
        <f t="shared" si="11"/>
        <v>7986</v>
      </c>
      <c r="W20" s="249">
        <f t="shared" si="11"/>
        <v>5941</v>
      </c>
      <c r="X20" s="249">
        <f t="shared" si="11"/>
        <v>6097</v>
      </c>
      <c r="Y20" s="249">
        <f t="shared" si="11"/>
        <v>6490</v>
      </c>
      <c r="Z20" s="249">
        <f t="shared" si="11"/>
        <v>7249</v>
      </c>
      <c r="AA20" s="249">
        <f t="shared" ref="AA20:AB20" si="12">AA11+AA50+AA18+AA19</f>
        <v>6802</v>
      </c>
      <c r="AB20" s="249">
        <f t="shared" si="12"/>
        <v>7049</v>
      </c>
      <c r="AC20" s="249">
        <f t="shared" ref="AC20" si="13">AC11+AC50+AC18+AC19</f>
        <v>7324</v>
      </c>
      <c r="AD20" s="249">
        <f t="shared" ref="AD20:AI20" si="14">AD16+AD18+AD19</f>
        <v>7744.1261525912696</v>
      </c>
      <c r="AE20" s="249">
        <f t="shared" si="14"/>
        <v>8005.3201756197159</v>
      </c>
      <c r="AF20" s="249">
        <f t="shared" si="14"/>
        <v>8273.3382986612687</v>
      </c>
      <c r="AG20" s="249">
        <f t="shared" si="14"/>
        <v>8565.2259981606676</v>
      </c>
      <c r="AH20" s="249">
        <f t="shared" si="14"/>
        <v>8886.4518284428887</v>
      </c>
      <c r="AI20" s="249">
        <f t="shared" si="14"/>
        <v>9231.820422834604</v>
      </c>
      <c r="AJ20" s="249">
        <f t="shared" ref="AJ20:AK20" si="15">AJ16+AJ18+AJ19</f>
        <v>9607.5052245530333</v>
      </c>
      <c r="AK20" s="249">
        <f t="shared" si="15"/>
        <v>10016.682007195335</v>
      </c>
      <c r="AL20" s="249">
        <f t="shared" ref="AL20" si="16">AL16+AL18+AL19</f>
        <v>10444.796632180009</v>
      </c>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row>
    <row r="21" spans="1:81">
      <c r="A21" s="6"/>
      <c r="B21" s="257" t="s">
        <v>880</v>
      </c>
      <c r="C21" s="18" t="s">
        <v>733</v>
      </c>
      <c r="D21" s="177"/>
      <c r="E21" s="7"/>
      <c r="F21" s="7"/>
      <c r="G21" s="7"/>
      <c r="H21" s="7"/>
      <c r="I21" s="7"/>
      <c r="J21" s="7"/>
      <c r="K21" s="7"/>
      <c r="L21" s="7">
        <f t="shared" ref="L21:S21" si="17">(L20/K20)-1</f>
        <v>2.4335106382978644E-2</v>
      </c>
      <c r="M21" s="7">
        <f t="shared" si="17"/>
        <v>1.804491756458515E-2</v>
      </c>
      <c r="N21" s="7">
        <f t="shared" si="17"/>
        <v>0.11132364192807964</v>
      </c>
      <c r="O21" s="7">
        <f t="shared" si="17"/>
        <v>-0.19621342512908779</v>
      </c>
      <c r="P21" s="7">
        <f t="shared" si="17"/>
        <v>0.17615988579586017</v>
      </c>
      <c r="Q21" s="246">
        <f t="shared" si="17"/>
        <v>-8.2655662094914484E-2</v>
      </c>
      <c r="R21" s="246">
        <f t="shared" si="17"/>
        <v>3.4136014818735072E-2</v>
      </c>
      <c r="S21" s="246">
        <f t="shared" si="17"/>
        <v>-3.2497441146366435E-2</v>
      </c>
      <c r="T21" s="246">
        <f t="shared" ref="T21:AC21" si="18">(T20/S20)-1</f>
        <v>-2.0893943401216641E-2</v>
      </c>
      <c r="U21" s="246">
        <f t="shared" si="18"/>
        <v>-5.051323608860081E-2</v>
      </c>
      <c r="V21" s="246">
        <f t="shared" si="18"/>
        <v>0.13598862019914648</v>
      </c>
      <c r="W21" s="246">
        <f t="shared" si="18"/>
        <v>-0.25607312797395443</v>
      </c>
      <c r="X21" s="246">
        <f t="shared" si="18"/>
        <v>2.6258205689277947E-2</v>
      </c>
      <c r="Y21" s="246">
        <f t="shared" si="18"/>
        <v>6.4457930129572016E-2</v>
      </c>
      <c r="Z21" s="246">
        <f t="shared" si="18"/>
        <v>0.11694915254237293</v>
      </c>
      <c r="AA21" s="246">
        <f t="shared" si="18"/>
        <v>-6.1663677748654999E-2</v>
      </c>
      <c r="AB21" s="246">
        <f t="shared" si="18"/>
        <v>3.6312849162011274E-2</v>
      </c>
      <c r="AC21" s="246">
        <f t="shared" si="18"/>
        <v>3.9012625904383702E-2</v>
      </c>
      <c r="AD21" s="246">
        <f t="shared" ref="AD21:AI21" si="19">(AD20/AC20)-1</f>
        <v>5.7362937273521153E-2</v>
      </c>
      <c r="AE21" s="246">
        <f t="shared" si="19"/>
        <v>3.3728017581563741E-2</v>
      </c>
      <c r="AF21" s="246">
        <f t="shared" si="19"/>
        <v>3.3480000444929603E-2</v>
      </c>
      <c r="AG21" s="246">
        <f t="shared" si="19"/>
        <v>3.5280522681712334E-2</v>
      </c>
      <c r="AH21" s="246">
        <f t="shared" si="19"/>
        <v>3.7503485646636969E-2</v>
      </c>
      <c r="AI21" s="246">
        <f t="shared" si="19"/>
        <v>3.8864622355380796E-2</v>
      </c>
      <c r="AJ21" s="246">
        <f t="shared" ref="AJ21" si="20">(AJ20/AI20)-1</f>
        <v>4.0694552592161148E-2</v>
      </c>
      <c r="AK21" s="246">
        <f t="shared" ref="AK21:AL21" si="21">(AK20/AJ20)-1</f>
        <v>4.2589285467845128E-2</v>
      </c>
      <c r="AL21" s="246">
        <f t="shared" si="21"/>
        <v>4.2740163327251723E-2</v>
      </c>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row>
    <row r="22" spans="1:81">
      <c r="A22" s="6"/>
      <c r="B22" s="176"/>
      <c r="C22" s="2"/>
      <c r="D22" s="177"/>
      <c r="E22" s="43"/>
      <c r="F22" s="43"/>
      <c r="G22" s="43"/>
      <c r="H22" s="43"/>
      <c r="I22" s="7"/>
      <c r="J22" s="43"/>
      <c r="K22" s="43"/>
      <c r="L22" s="43"/>
      <c r="M22" s="43"/>
      <c r="N22" s="43"/>
      <c r="O22" s="43"/>
      <c r="P22" s="43"/>
      <c r="Q22" s="6"/>
      <c r="R22" s="6"/>
      <c r="S22" s="6"/>
      <c r="T22" s="6"/>
      <c r="U22" s="70"/>
      <c r="V22" s="70"/>
      <c r="W22" s="70"/>
      <c r="X22" s="70"/>
      <c r="Y22" s="70"/>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row>
    <row r="23" spans="1:81">
      <c r="A23" s="2"/>
      <c r="B23" s="161" t="s">
        <v>195</v>
      </c>
      <c r="C23" s="178"/>
      <c r="D23" s="179"/>
      <c r="E23" s="178"/>
      <c r="F23" s="178"/>
      <c r="G23" s="178"/>
      <c r="H23" s="178"/>
      <c r="I23" s="2"/>
      <c r="J23" s="178"/>
      <c r="K23" s="178"/>
      <c r="L23" s="178"/>
      <c r="M23" s="178"/>
      <c r="N23" s="178"/>
      <c r="O23" s="178"/>
      <c r="P23" s="178"/>
      <c r="Q23" s="2"/>
      <c r="R23" s="2"/>
      <c r="S23" s="2"/>
      <c r="T23" s="2"/>
      <c r="U23" s="2"/>
      <c r="V23" s="2"/>
      <c r="W23" s="2"/>
      <c r="X23" s="2"/>
      <c r="Y23" s="2"/>
      <c r="Z23" s="67">
        <f>+'Cost + BS Assumptions'!Z71+'Cost + BS Assumptions'!Z73</f>
        <v>2194</v>
      </c>
      <c r="AA23" s="67">
        <f>+'Cost + BS Assumptions'!AA71+'Cost + BS Assumptions'!AA73</f>
        <v>2908</v>
      </c>
      <c r="AB23" s="67">
        <f>+'Cost + BS Assumptions'!AB71+'Cost + BS Assumptions'!AB73</f>
        <v>2327</v>
      </c>
      <c r="AC23" s="67">
        <f>+'Cost + BS Assumptions'!AC71+'Cost + BS Assumptions'!AC73</f>
        <v>2198</v>
      </c>
      <c r="AD23" s="67">
        <f>+'Cost + BS Assumptions'!AD71+'Cost + BS Assumptions'!AD73</f>
        <v>2028.9610627004081</v>
      </c>
      <c r="AE23" s="67">
        <f>+'Cost + BS Assumptions'!AE71+'Cost + BS Assumptions'!AE73</f>
        <v>2088.9466308452579</v>
      </c>
      <c r="AF23" s="67">
        <f>+'Cost + BS Assumptions'!AF71+'Cost + BS Assumptions'!AF73</f>
        <v>2158.2411599672237</v>
      </c>
      <c r="AG23" s="67">
        <f>+'Cost + BS Assumptions'!AG71+'Cost + BS Assumptions'!AG73</f>
        <v>2237.7636856122763</v>
      </c>
      <c r="AH23" s="67">
        <f>+'Cost + BS Assumptions'!AH71+'Cost + BS Assumptions'!AH73</f>
        <v>2327.9956946596822</v>
      </c>
      <c r="AI23" s="67">
        <f>+'Cost + BS Assumptions'!AI71+'Cost + BS Assumptions'!AI73</f>
        <v>2429.7079873335992</v>
      </c>
      <c r="AJ23" s="67">
        <f>+'Cost + BS Assumptions'!AJ71+'Cost + BS Assumptions'!AJ73</f>
        <v>2241.6488431066373</v>
      </c>
      <c r="AK23" s="67">
        <f>+'Cost + BS Assumptions'!AK71+'Cost + BS Assumptions'!AK73</f>
        <v>2039.0704147425304</v>
      </c>
      <c r="AL23" s="67">
        <f>+'Cost + BS Assumptions'!AL71+'Cost + BS Assumptions'!AL73</f>
        <v>2139.9523878624905</v>
      </c>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row>
    <row r="24" spans="1:81">
      <c r="A24" s="2"/>
      <c r="B24" s="3" t="s">
        <v>803</v>
      </c>
      <c r="C24" s="18" t="s">
        <v>732</v>
      </c>
      <c r="D24" s="56">
        <v>-4729</v>
      </c>
      <c r="E24" s="56">
        <v>-4144</v>
      </c>
      <c r="F24" s="56">
        <v>-3606</v>
      </c>
      <c r="G24" s="56">
        <v>-3364</v>
      </c>
      <c r="H24" s="56">
        <v>-3087</v>
      </c>
      <c r="I24" s="56">
        <v>-3533</v>
      </c>
      <c r="J24" s="56">
        <v>-4192</v>
      </c>
      <c r="K24" s="56">
        <f>-'Cost + BS Assumptions'!K79</f>
        <v>-4657</v>
      </c>
      <c r="L24" s="56">
        <f>-'Cost + BS Assumptions'!L79</f>
        <v>-3862</v>
      </c>
      <c r="M24" s="56">
        <f>-'Cost + BS Assumptions'!M79</f>
        <v>-3263</v>
      </c>
      <c r="N24" s="56">
        <f>-'Cost + BS Assumptions'!N79</f>
        <v>-2718</v>
      </c>
      <c r="O24" s="56">
        <f>-'Cost + BS Assumptions'!O79</f>
        <v>-2342</v>
      </c>
      <c r="P24" s="56">
        <f>-'Cost + BS Assumptions'!P79</f>
        <v>-3006</v>
      </c>
      <c r="Q24" s="247">
        <f>-'Cost + BS Assumptions'!Q79</f>
        <v>-2818</v>
      </c>
      <c r="R24" s="247">
        <f>-'Cost + BS Assumptions'!R79</f>
        <v>-2868</v>
      </c>
      <c r="S24" s="247">
        <f>-'Cost + BS Assumptions'!S79</f>
        <v>-2845</v>
      </c>
      <c r="T24" s="247">
        <v>-3117.7085963250001</v>
      </c>
      <c r="U24" s="247">
        <v>-3793.7098542147501</v>
      </c>
      <c r="V24" s="247">
        <v>-3571</v>
      </c>
      <c r="W24" s="247">
        <v>-3207</v>
      </c>
      <c r="X24" s="247">
        <v>-2341</v>
      </c>
      <c r="Y24" s="247">
        <v>-2079</v>
      </c>
      <c r="Z24" s="247">
        <f>-'Cost + BS Assumptions'!Z79</f>
        <v>-2176</v>
      </c>
      <c r="AA24" s="247">
        <f>-'Cost + BS Assumptions'!AA79</f>
        <v>-2474</v>
      </c>
      <c r="AB24" s="247">
        <f>-'Cost + BS Assumptions'!AB79</f>
        <v>-2288</v>
      </c>
      <c r="AC24" s="247">
        <f>-'Cost + BS Assumptions'!AC79</f>
        <v>-2375</v>
      </c>
      <c r="AD24" s="247">
        <f>-'Cost + BS Assumptions'!AD79</f>
        <v>-2205.9610627004081</v>
      </c>
      <c r="AE24" s="247">
        <f>-'Cost + BS Assumptions'!AE79</f>
        <v>-2265.9466308452579</v>
      </c>
      <c r="AF24" s="247">
        <f>-'Cost + BS Assumptions'!AF79</f>
        <v>-2335.2411599672237</v>
      </c>
      <c r="AG24" s="247">
        <f>-'Cost + BS Assumptions'!AG79</f>
        <v>-2414.7636856122763</v>
      </c>
      <c r="AH24" s="247">
        <f>-'Cost + BS Assumptions'!AH79</f>
        <v>-2504.9956946596822</v>
      </c>
      <c r="AI24" s="247">
        <f>-'Cost + BS Assumptions'!AI79</f>
        <v>-2606.7079873335992</v>
      </c>
      <c r="AJ24" s="247">
        <f>-'Cost + BS Assumptions'!AJ79</f>
        <v>-2418.6488431066373</v>
      </c>
      <c r="AK24" s="247">
        <f>-'Cost + BS Assumptions'!AK79</f>
        <v>-2216.0704147425304</v>
      </c>
      <c r="AL24" s="247">
        <f>-'Cost + BS Assumptions'!AL79</f>
        <v>-2316.9523878624905</v>
      </c>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row>
    <row r="25" spans="1:81">
      <c r="A25" s="2"/>
      <c r="B25" s="10" t="s">
        <v>1410</v>
      </c>
      <c r="C25" s="18" t="s">
        <v>732</v>
      </c>
      <c r="D25" s="56"/>
      <c r="E25" s="56"/>
      <c r="F25" s="56"/>
      <c r="G25" s="56"/>
      <c r="H25" s="56"/>
      <c r="I25" s="56"/>
      <c r="J25" s="56"/>
      <c r="K25" s="56">
        <f>-'Cost + BS Assumptions'!K114</f>
        <v>-995</v>
      </c>
      <c r="L25" s="56">
        <f>-'Cost + BS Assumptions'!L114</f>
        <v>-1465</v>
      </c>
      <c r="M25" s="56">
        <f>-'Cost + BS Assumptions'!M114</f>
        <v>-1531</v>
      </c>
      <c r="N25" s="56">
        <f>-'Cost + BS Assumptions'!N114</f>
        <v>-877</v>
      </c>
      <c r="O25" s="56">
        <f>-'Cost + BS Assumptions'!O114</f>
        <v>-909</v>
      </c>
      <c r="P25" s="56">
        <f>-'Cost + BS Assumptions'!P114</f>
        <v>-942</v>
      </c>
      <c r="Q25" s="247">
        <f>-'Cost + BS Assumptions'!Q114-'Cost + BS Assumptions'!Q115</f>
        <v>-1691</v>
      </c>
      <c r="R25" s="247">
        <f>-'Cost + BS Assumptions'!R114-'Cost + BS Assumptions'!R115</f>
        <v>-894</v>
      </c>
      <c r="S25" s="247">
        <f>-'Cost + BS Assumptions'!S114</f>
        <v>-2257</v>
      </c>
      <c r="T25" s="247">
        <f>-'Cost + BS Assumptions'!T114</f>
        <v>-1143</v>
      </c>
      <c r="U25" s="247">
        <f>-'Cost + BS Assumptions'!U114</f>
        <v>-1596</v>
      </c>
      <c r="V25" s="247">
        <f>-'Cost + BS Assumptions'!V114</f>
        <v>-1361</v>
      </c>
      <c r="W25" s="247">
        <f>-'Cost + BS Assumptions'!W114</f>
        <v>-1163</v>
      </c>
      <c r="X25" s="247">
        <f>-'Cost + BS Assumptions'!X114</f>
        <v>-1101</v>
      </c>
      <c r="Y25" s="247">
        <f>-'Cost + BS Assumptions'!Y114</f>
        <v>-1061</v>
      </c>
      <c r="Z25" s="247">
        <f>-'Cost + BS Assumptions'!Z116</f>
        <v>-877</v>
      </c>
      <c r="AA25" s="247">
        <f>-'Cost + BS Assumptions'!AA116</f>
        <v>-1284</v>
      </c>
      <c r="AB25" s="247">
        <f>-'Cost + BS Assumptions'!AB116</f>
        <v>-1492</v>
      </c>
      <c r="AC25" s="247">
        <f>-'Cost + BS Assumptions'!AC116</f>
        <v>-1442</v>
      </c>
      <c r="AD25" s="247">
        <f>-'Cost + BS Assumptions'!AD116</f>
        <v>-1348.087316094694</v>
      </c>
      <c r="AE25" s="247">
        <f>-'Cost + BS Assumptions'!AE116</f>
        <v>-1384.7451632943244</v>
      </c>
      <c r="AF25" s="247">
        <f>-'Cost + BS Assumptions'!AF116</f>
        <v>-1427.0918199799701</v>
      </c>
      <c r="AG25" s="247">
        <f>-'Cost + BS Assumptions'!AG116</f>
        <v>-1475.6889189852802</v>
      </c>
      <c r="AH25" s="247">
        <f>-'Cost + BS Assumptions'!AH116</f>
        <v>-1530.8307022920283</v>
      </c>
      <c r="AI25" s="247">
        <f>-'Cost + BS Assumptions'!AI116</f>
        <v>-1592.988214481644</v>
      </c>
      <c r="AJ25" s="247">
        <f>-'Cost + BS Assumptions'!AJ116</f>
        <v>-1662.8210796358132</v>
      </c>
      <c r="AK25" s="247">
        <f>-'Cost + BS Assumptions'!AK116</f>
        <v>-1741.1981830119878</v>
      </c>
      <c r="AL25" s="247">
        <f>-'Cost + BS Assumptions'!AL116</f>
        <v>-1654.9659913303503</v>
      </c>
      <c r="AM25" s="1"/>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row>
    <row r="26" spans="1:81">
      <c r="A26" s="2"/>
      <c r="B26" s="10" t="s">
        <v>1436</v>
      </c>
      <c r="C26" s="18" t="s">
        <v>732</v>
      </c>
      <c r="D26" s="56"/>
      <c r="E26" s="56"/>
      <c r="F26" s="56"/>
      <c r="G26" s="56"/>
      <c r="H26" s="56"/>
      <c r="I26" s="56"/>
      <c r="J26" s="56"/>
      <c r="K26" s="56"/>
      <c r="L26" s="56"/>
      <c r="M26" s="56"/>
      <c r="N26" s="56"/>
      <c r="O26" s="56"/>
      <c r="P26" s="56"/>
      <c r="Q26" s="247"/>
      <c r="R26" s="247"/>
      <c r="S26" s="247"/>
      <c r="T26" s="247"/>
      <c r="U26" s="247"/>
      <c r="V26" s="247"/>
      <c r="W26" s="247"/>
      <c r="X26" s="247"/>
      <c r="Y26" s="247"/>
      <c r="Z26" s="247"/>
      <c r="AA26" s="247"/>
      <c r="AB26" s="247"/>
      <c r="AC26" s="247"/>
      <c r="AD26" s="247"/>
      <c r="AE26" s="247"/>
      <c r="AF26" s="247"/>
      <c r="AG26" s="247"/>
      <c r="AH26" s="247"/>
      <c r="AI26" s="247"/>
      <c r="AJ26" s="247"/>
      <c r="AK26" s="247"/>
      <c r="AL26" s="247"/>
      <c r="AM26" s="1"/>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row>
    <row r="27" spans="1:81">
      <c r="A27" s="6"/>
      <c r="B27" s="9" t="s">
        <v>1411</v>
      </c>
      <c r="C27" s="21" t="s">
        <v>732</v>
      </c>
      <c r="D27" s="60">
        <f t="shared" ref="D27:S27" si="22">D24+D25</f>
        <v>-4729</v>
      </c>
      <c r="E27" s="60">
        <f t="shared" si="22"/>
        <v>-4144</v>
      </c>
      <c r="F27" s="60">
        <f t="shared" si="22"/>
        <v>-3606</v>
      </c>
      <c r="G27" s="60">
        <f t="shared" si="22"/>
        <v>-3364</v>
      </c>
      <c r="H27" s="60">
        <f t="shared" si="22"/>
        <v>-3087</v>
      </c>
      <c r="I27" s="60">
        <f t="shared" si="22"/>
        <v>-3533</v>
      </c>
      <c r="J27" s="60">
        <f t="shared" si="22"/>
        <v>-4192</v>
      </c>
      <c r="K27" s="60">
        <f t="shared" si="22"/>
        <v>-5652</v>
      </c>
      <c r="L27" s="60">
        <f t="shared" si="22"/>
        <v>-5327</v>
      </c>
      <c r="M27" s="60">
        <f t="shared" si="22"/>
        <v>-4794</v>
      </c>
      <c r="N27" s="60">
        <f t="shared" si="22"/>
        <v>-3595</v>
      </c>
      <c r="O27" s="60">
        <f t="shared" si="22"/>
        <v>-3251</v>
      </c>
      <c r="P27" s="60">
        <f t="shared" si="22"/>
        <v>-3948</v>
      </c>
      <c r="Q27" s="249">
        <f t="shared" si="22"/>
        <v>-4509</v>
      </c>
      <c r="R27" s="249">
        <f t="shared" si="22"/>
        <v>-3762</v>
      </c>
      <c r="S27" s="249">
        <f t="shared" si="22"/>
        <v>-5102</v>
      </c>
      <c r="T27" s="249">
        <f t="shared" ref="T27:Y27" si="23">T24+T25</f>
        <v>-4260.7085963250001</v>
      </c>
      <c r="U27" s="249">
        <f t="shared" si="23"/>
        <v>-5389.7098542147505</v>
      </c>
      <c r="V27" s="249">
        <f t="shared" si="23"/>
        <v>-4932</v>
      </c>
      <c r="W27" s="249">
        <f t="shared" si="23"/>
        <v>-4370</v>
      </c>
      <c r="X27" s="249">
        <f t="shared" si="23"/>
        <v>-3442</v>
      </c>
      <c r="Y27" s="249">
        <f t="shared" si="23"/>
        <v>-3140</v>
      </c>
      <c r="Z27" s="249">
        <f>Z24+Z25+Z26</f>
        <v>-3053</v>
      </c>
      <c r="AA27" s="249">
        <f>AA24+AA25+AA26</f>
        <v>-3758</v>
      </c>
      <c r="AB27" s="249">
        <f>AB24+AB25+AB26</f>
        <v>-3780</v>
      </c>
      <c r="AC27" s="249">
        <f>AC24+AC25+AC26</f>
        <v>-3817</v>
      </c>
      <c r="AD27" s="249">
        <f t="shared" ref="AD27:AI27" si="24">AD24+AD25+AD26</f>
        <v>-3554.0483787951021</v>
      </c>
      <c r="AE27" s="249">
        <f t="shared" si="24"/>
        <v>-3650.6917941395823</v>
      </c>
      <c r="AF27" s="249">
        <f t="shared" si="24"/>
        <v>-3762.332979947194</v>
      </c>
      <c r="AG27" s="249">
        <f t="shared" si="24"/>
        <v>-3890.4526045975563</v>
      </c>
      <c r="AH27" s="249">
        <f t="shared" si="24"/>
        <v>-4035.8263969517102</v>
      </c>
      <c r="AI27" s="249">
        <f t="shared" si="24"/>
        <v>-4199.6962018152435</v>
      </c>
      <c r="AJ27" s="249">
        <f t="shared" ref="AJ27:AK27" si="25">AJ24+AJ25+AJ26</f>
        <v>-4081.4699227424508</v>
      </c>
      <c r="AK27" s="249">
        <f t="shared" si="25"/>
        <v>-3957.2685977545179</v>
      </c>
      <c r="AL27" s="249">
        <f t="shared" ref="AL27" si="26">AL24+AL25+AL26</f>
        <v>-3971.9183791928408</v>
      </c>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t="s">
        <v>13</v>
      </c>
      <c r="BZ27" s="524">
        <v>6</v>
      </c>
      <c r="CA27" s="6" t="s">
        <v>502</v>
      </c>
      <c r="CB27" s="524" t="b">
        <v>0</v>
      </c>
      <c r="CC27" s="524" t="b">
        <v>0</v>
      </c>
    </row>
    <row r="28" spans="1:81">
      <c r="A28" s="6"/>
      <c r="B28" s="8" t="s">
        <v>1065</v>
      </c>
      <c r="C28" s="21"/>
      <c r="D28" s="60"/>
      <c r="E28" s="60"/>
      <c r="F28" s="60"/>
      <c r="G28" s="60"/>
      <c r="H28" s="60"/>
      <c r="I28" s="60"/>
      <c r="J28" s="60"/>
      <c r="K28" s="60"/>
      <c r="L28" s="60"/>
      <c r="M28" s="60"/>
      <c r="N28" s="60"/>
      <c r="O28" s="60"/>
      <c r="P28" s="60"/>
      <c r="Q28" s="249"/>
      <c r="R28" s="249"/>
      <c r="S28" s="249"/>
      <c r="T28" s="249"/>
      <c r="U28" s="249"/>
      <c r="V28" s="249"/>
      <c r="W28" s="249"/>
      <c r="X28" s="249"/>
      <c r="Y28" s="249"/>
      <c r="Z28" s="440">
        <f>-'Cost + BS Assumptions'!Z115</f>
        <v>-41</v>
      </c>
      <c r="AA28" s="440">
        <f>-'Cost + BS Assumptions'!AA115</f>
        <v>-112</v>
      </c>
      <c r="AB28" s="440">
        <f>-'Cost + BS Assumptions'!AB115</f>
        <v>-1284</v>
      </c>
      <c r="AC28" s="440">
        <f>-'Cost + BS Assumptions'!AC115</f>
        <v>-57</v>
      </c>
      <c r="AD28" s="440">
        <f>-'Cost + BS Assumptions'!AD115</f>
        <v>-100</v>
      </c>
      <c r="AE28" s="440">
        <f>-'Cost + BS Assumptions'!AE115</f>
        <v>-250</v>
      </c>
      <c r="AF28" s="440">
        <f>-'Cost + BS Assumptions'!AF115</f>
        <v>-250</v>
      </c>
      <c r="AG28" s="440">
        <f>-'Cost + BS Assumptions'!AG115</f>
        <v>-250</v>
      </c>
      <c r="AH28" s="440">
        <f>-'Cost + BS Assumptions'!AH115</f>
        <v>-250</v>
      </c>
      <c r="AI28" s="440">
        <f>-'Cost + BS Assumptions'!AI115</f>
        <v>-250</v>
      </c>
      <c r="AJ28" s="440">
        <f>-'Cost + BS Assumptions'!AJ115</f>
        <v>-250</v>
      </c>
      <c r="AK28" s="440">
        <f>-'Cost + BS Assumptions'!AK115</f>
        <v>-250</v>
      </c>
      <c r="AL28" s="440">
        <f>-'Cost + BS Assumptions'!AL115</f>
        <v>-250</v>
      </c>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524"/>
      <c r="CA28" s="6"/>
      <c r="CB28" s="524"/>
      <c r="CC28" s="524"/>
    </row>
    <row r="29" spans="1:81">
      <c r="A29" s="2"/>
      <c r="B29" s="3" t="s">
        <v>809</v>
      </c>
      <c r="C29" s="18" t="s">
        <v>732</v>
      </c>
      <c r="D29" s="180"/>
      <c r="E29" s="180"/>
      <c r="F29" s="616">
        <v>195</v>
      </c>
      <c r="G29" s="616">
        <v>797</v>
      </c>
      <c r="H29" s="616">
        <v>168</v>
      </c>
      <c r="I29" s="616">
        <v>68</v>
      </c>
      <c r="J29" s="616">
        <v>50</v>
      </c>
      <c r="K29" s="616">
        <v>34</v>
      </c>
      <c r="L29" s="616">
        <v>29</v>
      </c>
      <c r="M29" s="175"/>
      <c r="N29" s="616">
        <v>24</v>
      </c>
      <c r="O29" s="616">
        <v>16</v>
      </c>
      <c r="P29" s="132">
        <f>17+2</f>
        <v>19</v>
      </c>
      <c r="Q29" s="548">
        <f>57+12+693+4</f>
        <v>766</v>
      </c>
      <c r="R29" s="548">
        <f>2397+94+98</f>
        <v>2589</v>
      </c>
      <c r="S29" s="548">
        <f>94+4+92-31+4</f>
        <v>163</v>
      </c>
      <c r="T29" s="548">
        <f>470+1340+56</f>
        <v>1866</v>
      </c>
      <c r="U29" s="548">
        <f>679+285</f>
        <v>964</v>
      </c>
      <c r="V29" s="548">
        <f>796+24+49</f>
        <v>869</v>
      </c>
      <c r="W29" s="548">
        <f>646+6+42</f>
        <v>694</v>
      </c>
      <c r="X29" s="548">
        <f>276+58+15</f>
        <v>349</v>
      </c>
      <c r="Y29" s="548">
        <f>154+291+218+147</f>
        <v>810</v>
      </c>
      <c r="Z29" s="548">
        <v>171</v>
      </c>
      <c r="AA29" s="548">
        <f>200+16+51</f>
        <v>267</v>
      </c>
      <c r="AB29" s="548">
        <f>146+98+64</f>
        <v>308</v>
      </c>
      <c r="AC29" s="548">
        <f>129+134+131+52+26</f>
        <v>472</v>
      </c>
      <c r="AD29" s="548">
        <v>0</v>
      </c>
      <c r="AE29" s="548">
        <v>0</v>
      </c>
      <c r="AF29" s="548">
        <v>0</v>
      </c>
      <c r="AG29" s="548">
        <v>0</v>
      </c>
      <c r="AH29" s="548">
        <v>0</v>
      </c>
      <c r="AI29" s="548">
        <v>0</v>
      </c>
      <c r="AJ29" s="548">
        <v>0</v>
      </c>
      <c r="AK29" s="548">
        <v>0</v>
      </c>
      <c r="AL29" s="548">
        <v>0</v>
      </c>
      <c r="AM29" s="2"/>
      <c r="AN29" s="2"/>
      <c r="AO29" s="6"/>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row>
    <row r="30" spans="1:81">
      <c r="A30" s="2"/>
      <c r="B30" s="3" t="s">
        <v>811</v>
      </c>
      <c r="C30" s="18" t="s">
        <v>732</v>
      </c>
      <c r="D30" s="42"/>
      <c r="E30" s="42"/>
      <c r="F30" s="101"/>
      <c r="G30" s="101">
        <f>-25-1+12+20+7+4+58+7</f>
        <v>82</v>
      </c>
      <c r="H30" s="101">
        <f>-667-1+1-1+221+24-28+100</f>
        <v>-351</v>
      </c>
      <c r="I30" s="101">
        <f>-573-17+176+76-37+2-6</f>
        <v>-379</v>
      </c>
      <c r="J30" s="101">
        <f>-43-5+4+89+42+6+34-63</f>
        <v>64</v>
      </c>
      <c r="K30" s="101">
        <f>-326-4+232+84-21-24</f>
        <v>-59</v>
      </c>
      <c r="L30" s="101">
        <f>-74-1+51+52+6+73</f>
        <v>107</v>
      </c>
      <c r="M30" s="101">
        <f>-241+79+197-4-35</f>
        <v>-4</v>
      </c>
      <c r="N30" s="101">
        <f>-95+2+11+1+66-6</f>
        <v>-21</v>
      </c>
      <c r="O30" s="101">
        <f>288+14+23+74+2+96+41-36</f>
        <v>502</v>
      </c>
      <c r="P30" s="132">
        <f>-9-2+54+3-443+49-9-18</f>
        <v>-375</v>
      </c>
      <c r="Q30" s="548">
        <f>-9-8-19-1+1-11</f>
        <v>-47</v>
      </c>
      <c r="R30" s="548">
        <f>-165-3-88-21+1+4</f>
        <v>-272</v>
      </c>
      <c r="S30" s="548">
        <f>-984-48-72</f>
        <v>-1104</v>
      </c>
      <c r="T30" s="548">
        <f>-92-38-67+105</f>
        <v>-92</v>
      </c>
      <c r="U30" s="548">
        <f>-63-6-76+104</f>
        <v>-41</v>
      </c>
      <c r="V30" s="548">
        <f>-56-15-67+125</f>
        <v>-13</v>
      </c>
      <c r="W30" s="548">
        <f>-115+104</f>
        <v>-11</v>
      </c>
      <c r="X30" s="548">
        <f>135</f>
        <v>135</v>
      </c>
      <c r="Y30" s="548">
        <f>120-26</f>
        <v>94</v>
      </c>
      <c r="Z30" s="548">
        <v>-565</v>
      </c>
      <c r="AA30" s="548">
        <f>82+32+25+4-43</f>
        <v>100</v>
      </c>
      <c r="AB30" s="548">
        <f>82+32+25+4-43</f>
        <v>100</v>
      </c>
      <c r="AC30" s="548">
        <f>67+79+69+152-10</f>
        <v>357</v>
      </c>
      <c r="AD30" s="548">
        <f>-'Cost + BS Assumptions'!AD73</f>
        <v>177</v>
      </c>
      <c r="AE30" s="548">
        <f>-'Cost + BS Assumptions'!AE73</f>
        <v>177</v>
      </c>
      <c r="AF30" s="548">
        <f>-'Cost + BS Assumptions'!AF73</f>
        <v>177</v>
      </c>
      <c r="AG30" s="548">
        <f>-'Cost + BS Assumptions'!AG73</f>
        <v>177</v>
      </c>
      <c r="AH30" s="548">
        <f>-'Cost + BS Assumptions'!AH73</f>
        <v>177</v>
      </c>
      <c r="AI30" s="548">
        <f>-'Cost + BS Assumptions'!AI73</f>
        <v>177</v>
      </c>
      <c r="AJ30" s="548">
        <f>-'Cost + BS Assumptions'!AJ73</f>
        <v>177</v>
      </c>
      <c r="AK30" s="548">
        <f>-'Cost + BS Assumptions'!AK73</f>
        <v>177</v>
      </c>
      <c r="AL30" s="548">
        <f>-'Cost + BS Assumptions'!AL73</f>
        <v>177</v>
      </c>
      <c r="AM30" s="2"/>
      <c r="AN30" s="2"/>
      <c r="AO30" s="6"/>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row>
    <row r="31" spans="1:81">
      <c r="A31" s="2"/>
      <c r="B31" s="3" t="s">
        <v>810</v>
      </c>
      <c r="C31" s="18" t="s">
        <v>732</v>
      </c>
      <c r="D31" s="42"/>
      <c r="E31" s="42"/>
      <c r="F31" s="42"/>
      <c r="G31" s="149"/>
      <c r="H31" s="149"/>
      <c r="I31" s="149"/>
      <c r="J31" s="149"/>
      <c r="K31" s="154"/>
      <c r="L31" s="536">
        <v>130</v>
      </c>
      <c r="M31" s="536">
        <v>100</v>
      </c>
      <c r="N31" s="536">
        <v>60</v>
      </c>
      <c r="O31" s="536">
        <v>70</v>
      </c>
      <c r="P31" s="549">
        <v>108</v>
      </c>
      <c r="Q31" s="548">
        <v>155</v>
      </c>
      <c r="R31" s="548">
        <v>165</v>
      </c>
      <c r="S31" s="548">
        <v>184</v>
      </c>
      <c r="T31" s="548">
        <v>82</v>
      </c>
      <c r="U31" s="548">
        <v>10</v>
      </c>
      <c r="V31" s="548">
        <v>9</v>
      </c>
      <c r="W31" s="548">
        <v>33</v>
      </c>
      <c r="X31" s="548">
        <v>83</v>
      </c>
      <c r="Y31" s="548">
        <v>20</v>
      </c>
      <c r="Z31" s="548">
        <v>93</v>
      </c>
      <c r="AA31" s="548">
        <v>40</v>
      </c>
      <c r="AB31" s="548">
        <v>40</v>
      </c>
      <c r="AC31" s="548">
        <v>0</v>
      </c>
      <c r="AD31" s="451">
        <f>'Revenue Assumptions'!AK1268</f>
        <v>0</v>
      </c>
      <c r="AE31" s="451">
        <f>'Revenue Assumptions'!AL1268</f>
        <v>0</v>
      </c>
      <c r="AF31" s="451">
        <f>'Revenue Assumptions'!AM1268</f>
        <v>0</v>
      </c>
      <c r="AG31" s="451">
        <f>'Revenue Assumptions'!AN1268</f>
        <v>0</v>
      </c>
      <c r="AH31" s="451">
        <f>'Revenue Assumptions'!AO1268</f>
        <v>0</v>
      </c>
      <c r="AI31" s="451">
        <f>'Revenue Assumptions'!AP1268</f>
        <v>0</v>
      </c>
      <c r="AJ31" s="451">
        <f>'Revenue Assumptions'!AQ1268</f>
        <v>0</v>
      </c>
      <c r="AK31" s="451">
        <f>'Revenue Assumptions'!AR1268</f>
        <v>0</v>
      </c>
      <c r="AL31" s="451">
        <f>'Revenue Assumptions'!AS1268</f>
        <v>0</v>
      </c>
      <c r="AM31" s="2"/>
      <c r="AN31" s="2"/>
      <c r="AO31" s="6"/>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row>
    <row r="32" spans="1:81">
      <c r="A32" s="2"/>
      <c r="B32" s="10" t="s">
        <v>28</v>
      </c>
      <c r="C32" s="18"/>
      <c r="D32" s="42"/>
      <c r="E32" s="42"/>
      <c r="F32" s="42"/>
      <c r="G32" s="149"/>
      <c r="H32" s="149"/>
      <c r="I32" s="149"/>
      <c r="J32" s="149"/>
      <c r="K32" s="154"/>
      <c r="L32" s="536"/>
      <c r="M32" s="536"/>
      <c r="N32" s="536"/>
      <c r="O32" s="536"/>
      <c r="P32" s="549"/>
      <c r="Q32" s="548"/>
      <c r="R32" s="548"/>
      <c r="S32" s="548"/>
      <c r="T32" s="548"/>
      <c r="U32" s="548"/>
      <c r="V32" s="548"/>
      <c r="W32" s="548"/>
      <c r="X32" s="548"/>
      <c r="Y32" s="548"/>
      <c r="Z32" s="451"/>
      <c r="AA32" s="451">
        <v>-2488</v>
      </c>
      <c r="AB32" s="451">
        <f>AB33-SUM(AB27,AB28:AB31)</f>
        <v>-374</v>
      </c>
      <c r="AC32" s="451">
        <f>AC33-SUM(AC27,AC28:AC31)</f>
        <v>-323</v>
      </c>
      <c r="AD32" s="451"/>
      <c r="AE32" s="451"/>
      <c r="AF32" s="451"/>
      <c r="AG32" s="451"/>
      <c r="AH32" s="451"/>
      <c r="AI32" s="451"/>
      <c r="AJ32" s="451"/>
      <c r="AK32" s="451"/>
      <c r="AL32" s="451"/>
      <c r="AM32" s="2"/>
      <c r="AN32" s="2"/>
      <c r="AO32" s="6"/>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row>
    <row r="33" spans="1:81">
      <c r="A33" s="6"/>
      <c r="B33" s="4" t="s">
        <v>420</v>
      </c>
      <c r="C33" s="21" t="s">
        <v>732</v>
      </c>
      <c r="D33" s="60"/>
      <c r="E33" s="60"/>
      <c r="F33" s="60"/>
      <c r="G33" s="60">
        <f t="shared" ref="G33:S33" si="27">SUM(G27:G31)</f>
        <v>-2485</v>
      </c>
      <c r="H33" s="60">
        <f t="shared" si="27"/>
        <v>-3270</v>
      </c>
      <c r="I33" s="60">
        <f t="shared" si="27"/>
        <v>-3844</v>
      </c>
      <c r="J33" s="60">
        <f t="shared" si="27"/>
        <v>-4078</v>
      </c>
      <c r="K33" s="60">
        <f t="shared" si="27"/>
        <v>-5677</v>
      </c>
      <c r="L33" s="60">
        <f t="shared" si="27"/>
        <v>-5061</v>
      </c>
      <c r="M33" s="60">
        <f t="shared" si="27"/>
        <v>-4698</v>
      </c>
      <c r="N33" s="60">
        <f t="shared" si="27"/>
        <v>-3532</v>
      </c>
      <c r="O33" s="60">
        <f t="shared" si="27"/>
        <v>-2663</v>
      </c>
      <c r="P33" s="60">
        <f t="shared" si="27"/>
        <v>-4196</v>
      </c>
      <c r="Q33" s="249">
        <f t="shared" si="27"/>
        <v>-3635</v>
      </c>
      <c r="R33" s="249">
        <f t="shared" si="27"/>
        <v>-1280</v>
      </c>
      <c r="S33" s="249">
        <f t="shared" si="27"/>
        <v>-5859</v>
      </c>
      <c r="T33" s="249">
        <f t="shared" ref="T33:Y33" si="28">SUM(T27:T31)</f>
        <v>-2404.7085963250001</v>
      </c>
      <c r="U33" s="249">
        <f t="shared" si="28"/>
        <v>-4456.7098542147505</v>
      </c>
      <c r="V33" s="249">
        <f t="shared" si="28"/>
        <v>-4067</v>
      </c>
      <c r="W33" s="249">
        <f t="shared" si="28"/>
        <v>-3654</v>
      </c>
      <c r="X33" s="249">
        <f t="shared" si="28"/>
        <v>-2875</v>
      </c>
      <c r="Y33" s="249">
        <f t="shared" si="28"/>
        <v>-2216</v>
      </c>
      <c r="Z33" s="249">
        <f>SUM(Z27:Z32)</f>
        <v>-3395</v>
      </c>
      <c r="AA33" s="249">
        <f>SUM(AA27:AA32)</f>
        <v>-5951</v>
      </c>
      <c r="AB33" s="548">
        <v>-4990</v>
      </c>
      <c r="AC33" s="548">
        <v>-3368</v>
      </c>
      <c r="AD33" s="249">
        <f t="shared" ref="AD33:AI33" si="29">SUM(AD27:AD32)</f>
        <v>-3477.0483787951021</v>
      </c>
      <c r="AE33" s="249">
        <f t="shared" si="29"/>
        <v>-3723.6917941395823</v>
      </c>
      <c r="AF33" s="249">
        <f t="shared" si="29"/>
        <v>-3835.332979947194</v>
      </c>
      <c r="AG33" s="249">
        <f t="shared" si="29"/>
        <v>-3963.4526045975563</v>
      </c>
      <c r="AH33" s="249">
        <f t="shared" si="29"/>
        <v>-4108.8263969517102</v>
      </c>
      <c r="AI33" s="249">
        <f t="shared" si="29"/>
        <v>-4272.6962018152435</v>
      </c>
      <c r="AJ33" s="249">
        <f t="shared" ref="AJ33:AK33" si="30">SUM(AJ27:AJ32)</f>
        <v>-4154.4699227424508</v>
      </c>
      <c r="AK33" s="249">
        <f t="shared" si="30"/>
        <v>-4030.2685977545179</v>
      </c>
      <c r="AL33" s="249">
        <f t="shared" ref="AL33" si="31">SUM(AL27:AL32)</f>
        <v>-4044.9183791928408</v>
      </c>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row>
    <row r="34" spans="1:81">
      <c r="A34" s="2"/>
      <c r="B34" s="257" t="s">
        <v>880</v>
      </c>
      <c r="C34" s="112" t="s">
        <v>733</v>
      </c>
      <c r="D34" s="7"/>
      <c r="E34" s="42"/>
      <c r="F34" s="42"/>
      <c r="G34" s="42"/>
      <c r="H34" s="42"/>
      <c r="I34" s="42"/>
      <c r="J34" s="42"/>
      <c r="K34" s="42"/>
      <c r="L34" s="7">
        <f t="shared" ref="L34:S34" si="32">(L33/K33)-1</f>
        <v>-0.10850801479654748</v>
      </c>
      <c r="M34" s="7">
        <f t="shared" si="32"/>
        <v>-7.1724955542382896E-2</v>
      </c>
      <c r="N34" s="7">
        <f t="shared" si="32"/>
        <v>-0.24819071945508731</v>
      </c>
      <c r="O34" s="7">
        <f t="shared" si="32"/>
        <v>-0.24603624009060021</v>
      </c>
      <c r="P34" s="7">
        <f t="shared" si="32"/>
        <v>0.57566654149455498</v>
      </c>
      <c r="Q34" s="246">
        <f t="shared" si="32"/>
        <v>-0.13369876072449949</v>
      </c>
      <c r="R34" s="246">
        <f t="shared" si="32"/>
        <v>-0.64786795048143053</v>
      </c>
      <c r="S34" s="246">
        <f t="shared" si="32"/>
        <v>3.5773437499999998</v>
      </c>
      <c r="T34" s="246">
        <f t="shared" ref="T34:AC34" si="33">(T33/S33)-1</f>
        <v>-0.58957013204898445</v>
      </c>
      <c r="U34" s="246">
        <f t="shared" si="33"/>
        <v>0.85332637019958457</v>
      </c>
      <c r="V34" s="246">
        <f t="shared" si="33"/>
        <v>-8.7443398148568829E-2</v>
      </c>
      <c r="W34" s="246">
        <f t="shared" si="33"/>
        <v>-0.10154905335628228</v>
      </c>
      <c r="X34" s="246">
        <f t="shared" si="33"/>
        <v>-0.21319102353585118</v>
      </c>
      <c r="Y34" s="246">
        <f t="shared" si="33"/>
        <v>-0.22921739130434782</v>
      </c>
      <c r="Z34" s="246">
        <f t="shared" si="33"/>
        <v>0.53203971119133575</v>
      </c>
      <c r="AA34" s="246">
        <f t="shared" si="33"/>
        <v>0.75287187039764358</v>
      </c>
      <c r="AB34" s="246">
        <f t="shared" si="33"/>
        <v>-0.16148546462779367</v>
      </c>
      <c r="AC34" s="246">
        <f t="shared" si="33"/>
        <v>-0.32505010020040082</v>
      </c>
      <c r="AD34" s="246">
        <f t="shared" ref="AD34:AI34" si="34">(AD33/AC33)-1</f>
        <v>3.237778467788055E-2</v>
      </c>
      <c r="AE34" s="246">
        <f t="shared" si="34"/>
        <v>7.0934709119563344E-2</v>
      </c>
      <c r="AF34" s="246">
        <f t="shared" si="34"/>
        <v>2.9981317461158952E-2</v>
      </c>
      <c r="AG34" s="246">
        <f t="shared" si="34"/>
        <v>3.3405085117831579E-2</v>
      </c>
      <c r="AH34" s="246">
        <f t="shared" si="34"/>
        <v>3.6678574681458853E-2</v>
      </c>
      <c r="AI34" s="246">
        <f t="shared" si="34"/>
        <v>3.9882387093576499E-2</v>
      </c>
      <c r="AJ34" s="246">
        <f t="shared" ref="AJ34" si="35">(AJ33/AI33)-1</f>
        <v>-2.767018142374944E-2</v>
      </c>
      <c r="AK34" s="246">
        <f t="shared" ref="AK34:AL34" si="36">(AK33/AJ33)-1</f>
        <v>-2.9895829623901804E-2</v>
      </c>
      <c r="AL34" s="246">
        <f t="shared" si="36"/>
        <v>3.6349392312178264E-3</v>
      </c>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row>
    <row r="35" spans="1:81">
      <c r="A35" s="2"/>
      <c r="B35" s="4"/>
      <c r="C35" s="4"/>
      <c r="D35" s="34"/>
      <c r="E35" s="43"/>
      <c r="F35" s="43"/>
      <c r="G35" s="43"/>
      <c r="H35" s="43"/>
      <c r="I35" s="43"/>
      <c r="J35" s="43"/>
      <c r="K35" s="43"/>
      <c r="L35" s="7"/>
      <c r="M35" s="7"/>
      <c r="N35" s="7"/>
      <c r="O35" s="7"/>
      <c r="P35" s="7"/>
      <c r="Q35" s="7"/>
      <c r="R35" s="7"/>
      <c r="S35" s="7"/>
      <c r="T35" s="7"/>
      <c r="U35" s="7"/>
      <c r="V35" s="7"/>
      <c r="W35" s="7"/>
      <c r="X35" s="7"/>
      <c r="Y35" s="7"/>
      <c r="Z35" s="7"/>
      <c r="AA35" s="7"/>
      <c r="AB35" s="7"/>
      <c r="AC35" s="7"/>
      <c r="AD35" s="7"/>
      <c r="AE35" s="7"/>
      <c r="AF35" s="7"/>
      <c r="AG35" s="7"/>
      <c r="AH35" s="7"/>
      <c r="AI35" s="7"/>
      <c r="AJ35" s="7"/>
      <c r="AK35" s="7"/>
      <c r="AL35" s="7"/>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row>
    <row r="36" spans="1:81">
      <c r="A36" s="2"/>
      <c r="B36" s="678" t="s">
        <v>510</v>
      </c>
      <c r="C36" s="659" t="s">
        <v>732</v>
      </c>
      <c r="D36" s="679"/>
      <c r="E36" s="680"/>
      <c r="F36" s="680"/>
      <c r="G36" s="672">
        <f t="shared" ref="G36:R36" si="37">G11+G18+G33+G51</f>
        <v>6640</v>
      </c>
      <c r="H36" s="672">
        <f t="shared" si="37"/>
        <v>6063</v>
      </c>
      <c r="I36" s="672">
        <f t="shared" si="37"/>
        <v>5194</v>
      </c>
      <c r="J36" s="672">
        <f t="shared" si="37"/>
        <v>4550</v>
      </c>
      <c r="K36" s="672">
        <f t="shared" si="37"/>
        <v>2899</v>
      </c>
      <c r="L36" s="672">
        <f t="shared" si="37"/>
        <v>3855</v>
      </c>
      <c r="M36" s="672">
        <f t="shared" si="37"/>
        <v>4365</v>
      </c>
      <c r="N36" s="672">
        <f t="shared" si="37"/>
        <v>6225</v>
      </c>
      <c r="O36" s="672">
        <f t="shared" si="37"/>
        <v>5477</v>
      </c>
      <c r="P36" s="672">
        <f t="shared" si="37"/>
        <v>5197</v>
      </c>
      <c r="Q36" s="653">
        <f t="shared" si="37"/>
        <v>4960</v>
      </c>
      <c r="R36" s="653">
        <f t="shared" si="37"/>
        <v>7483</v>
      </c>
      <c r="S36" s="653">
        <f>S11+S18+S33+S51+S47</f>
        <v>4412</v>
      </c>
      <c r="T36" s="653">
        <f t="shared" ref="T36:Z36" si="38">T11+T18+T33+T51</f>
        <v>5859.2914036749999</v>
      </c>
      <c r="U36" s="653">
        <f t="shared" si="38"/>
        <v>3192.2901457852495</v>
      </c>
      <c r="V36" s="653">
        <f t="shared" si="38"/>
        <v>4430</v>
      </c>
      <c r="W36" s="653">
        <f t="shared" si="38"/>
        <v>2906</v>
      </c>
      <c r="X36" s="653">
        <f t="shared" si="38"/>
        <v>4008</v>
      </c>
      <c r="Y36" s="653">
        <f t="shared" si="38"/>
        <v>4866</v>
      </c>
      <c r="Z36" s="653">
        <f t="shared" si="38"/>
        <v>3675</v>
      </c>
      <c r="AA36" s="653">
        <f>AA11+AA18+AA33+AA44-AA32+AA29+AA30+AA31</f>
        <v>2892</v>
      </c>
      <c r="AB36" s="653">
        <f>AB11+AB18+AB33+AB44-AB32+AB29+AB30+AB31</f>
        <v>2053</v>
      </c>
      <c r="AC36" s="653">
        <f>AC11+AC18+AC33+AC44-AC32+AC29+AC30+AC31</f>
        <v>4279</v>
      </c>
      <c r="AD36" s="653">
        <f t="shared" ref="AD36:AK36" si="39">AD16+AD18+AD33-AD28+AD44-AD26</f>
        <v>3735.0777737961671</v>
      </c>
      <c r="AE36" s="653">
        <f t="shared" si="39"/>
        <v>3899.6283814801336</v>
      </c>
      <c r="AF36" s="653">
        <f t="shared" si="39"/>
        <v>4056.0053187140747</v>
      </c>
      <c r="AG36" s="653">
        <f t="shared" si="39"/>
        <v>4219.7733935631113</v>
      </c>
      <c r="AH36" s="653">
        <f t="shared" si="39"/>
        <v>4395.6254314911785</v>
      </c>
      <c r="AI36" s="653">
        <f t="shared" si="39"/>
        <v>4577.1242210193604</v>
      </c>
      <c r="AJ36" s="653">
        <f t="shared" si="39"/>
        <v>5071.0353018105825</v>
      </c>
      <c r="AK36" s="653">
        <f t="shared" si="39"/>
        <v>5604.4134094408173</v>
      </c>
      <c r="AL36" s="653">
        <f t="shared" ref="AL36" si="40">AL16+AL18+AL33-AL28+AL44-AL26</f>
        <v>6017.8782529871678</v>
      </c>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row>
    <row r="37" spans="1:81" collapsed="1">
      <c r="A37" s="2"/>
      <c r="B37" s="689" t="s">
        <v>1439</v>
      </c>
      <c r="C37" s="659" t="s">
        <v>732</v>
      </c>
      <c r="D37" s="679"/>
      <c r="E37" s="680"/>
      <c r="F37" s="680"/>
      <c r="G37" s="672">
        <f t="shared" ref="G37:P37" si="41">G36+G52</f>
        <v>5641</v>
      </c>
      <c r="H37" s="672">
        <f t="shared" si="41"/>
        <v>5217</v>
      </c>
      <c r="I37" s="672">
        <f t="shared" si="41"/>
        <v>4315</v>
      </c>
      <c r="J37" s="672">
        <f t="shared" si="41"/>
        <v>3610</v>
      </c>
      <c r="K37" s="672">
        <f t="shared" si="41"/>
        <v>1843</v>
      </c>
      <c r="L37" s="672">
        <f t="shared" si="41"/>
        <v>2642</v>
      </c>
      <c r="M37" s="672">
        <f t="shared" si="41"/>
        <v>3144</v>
      </c>
      <c r="N37" s="672">
        <f t="shared" si="41"/>
        <v>5183</v>
      </c>
      <c r="O37" s="672">
        <f t="shared" si="41"/>
        <v>4342</v>
      </c>
      <c r="P37" s="672">
        <f t="shared" si="41"/>
        <v>4043</v>
      </c>
      <c r="Q37" s="653">
        <f>Q36+Q52+Q45</f>
        <v>1955</v>
      </c>
      <c r="R37" s="653">
        <f>R36+R52+R45</f>
        <v>6633</v>
      </c>
      <c r="S37" s="653">
        <f>S36+1500</f>
        <v>5912</v>
      </c>
      <c r="T37" s="653">
        <f t="shared" ref="T37:Y37" si="42">T36+T45</f>
        <v>6791.2914036749999</v>
      </c>
      <c r="U37" s="653">
        <f t="shared" si="42"/>
        <v>3200.2901457852495</v>
      </c>
      <c r="V37" s="653">
        <f t="shared" si="42"/>
        <v>3357</v>
      </c>
      <c r="W37" s="653">
        <f t="shared" si="42"/>
        <v>2859</v>
      </c>
      <c r="X37" s="653">
        <f t="shared" si="42"/>
        <v>2922</v>
      </c>
      <c r="Y37" s="653">
        <f t="shared" si="42"/>
        <v>3914</v>
      </c>
      <c r="Z37" s="653">
        <f>Z36+Z28</f>
        <v>3634</v>
      </c>
      <c r="AA37" s="653">
        <f>AA36+AA28</f>
        <v>2780</v>
      </c>
      <c r="AB37" s="653">
        <f>AB36+AB28</f>
        <v>769</v>
      </c>
      <c r="AC37" s="653">
        <f>AC36+AC28</f>
        <v>4222</v>
      </c>
      <c r="AD37" s="653">
        <f t="shared" ref="AD37:AI37" si="43">AD36+AD28</f>
        <v>3635.0777737961671</v>
      </c>
      <c r="AE37" s="653">
        <f t="shared" si="43"/>
        <v>3649.6283814801336</v>
      </c>
      <c r="AF37" s="653">
        <f t="shared" si="43"/>
        <v>3806.0053187140747</v>
      </c>
      <c r="AG37" s="653">
        <f t="shared" si="43"/>
        <v>3969.7733935631113</v>
      </c>
      <c r="AH37" s="653">
        <f t="shared" si="43"/>
        <v>4145.6254314911785</v>
      </c>
      <c r="AI37" s="653">
        <f t="shared" si="43"/>
        <v>4327.1242210193604</v>
      </c>
      <c r="AJ37" s="653">
        <f t="shared" ref="AJ37:AK37" si="44">AJ36+AJ28</f>
        <v>4821.0353018105825</v>
      </c>
      <c r="AK37" s="653">
        <f t="shared" si="44"/>
        <v>5354.4134094408173</v>
      </c>
      <c r="AL37" s="653">
        <f t="shared" ref="AL37" si="45">AL36+AL28</f>
        <v>5767.8782529871678</v>
      </c>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row>
    <row r="38" spans="1:81" hidden="1" outlineLevel="1">
      <c r="A38" s="2"/>
      <c r="B38" s="689" t="s">
        <v>1437</v>
      </c>
      <c r="C38" s="659" t="s">
        <v>732</v>
      </c>
      <c r="D38" s="679"/>
      <c r="E38" s="680"/>
      <c r="F38" s="680"/>
      <c r="G38" s="672"/>
      <c r="H38" s="672"/>
      <c r="I38" s="672"/>
      <c r="J38" s="672"/>
      <c r="K38" s="672"/>
      <c r="L38" s="672"/>
      <c r="M38" s="672"/>
      <c r="N38" s="672"/>
      <c r="O38" s="672"/>
      <c r="P38" s="672"/>
      <c r="Q38" s="653"/>
      <c r="R38" s="653"/>
      <c r="S38" s="653"/>
      <c r="T38" s="653"/>
      <c r="U38" s="653"/>
      <c r="V38" s="653"/>
      <c r="W38" s="653"/>
      <c r="X38" s="653"/>
      <c r="Y38" s="653">
        <f>SoTP!BS41</f>
        <v>69634.2</v>
      </c>
      <c r="Z38" s="653">
        <f>SoTP!BT41</f>
        <v>66488.399999999994</v>
      </c>
      <c r="AA38" s="653">
        <f>SoTP!BU41</f>
        <v>67638.899999999994</v>
      </c>
      <c r="AB38" s="653">
        <f>SoTP!BV41</f>
        <v>69109.049999999988</v>
      </c>
      <c r="AC38" s="653">
        <f>SoTP!BW41</f>
        <v>69657.399999999994</v>
      </c>
      <c r="AD38" s="653"/>
      <c r="AE38" s="653"/>
      <c r="AF38" s="653"/>
      <c r="AG38" s="653"/>
      <c r="AH38" s="653"/>
      <c r="AI38" s="653"/>
      <c r="AJ38" s="653"/>
      <c r="AK38" s="653"/>
      <c r="AL38" s="653"/>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row>
    <row r="39" spans="1:81" hidden="1" outlineLevel="1">
      <c r="A39" s="2"/>
      <c r="B39" s="689" t="s">
        <v>1438</v>
      </c>
      <c r="C39" s="655" t="s">
        <v>733</v>
      </c>
      <c r="D39" s="679"/>
      <c r="E39" s="680"/>
      <c r="F39" s="680"/>
      <c r="G39" s="672"/>
      <c r="H39" s="672"/>
      <c r="I39" s="672"/>
      <c r="J39" s="672"/>
      <c r="K39" s="672"/>
      <c r="L39" s="672"/>
      <c r="M39" s="672"/>
      <c r="N39" s="672"/>
      <c r="O39" s="672"/>
      <c r="P39" s="672"/>
      <c r="Q39" s="653"/>
      <c r="R39" s="653"/>
      <c r="S39" s="653"/>
      <c r="T39" s="653"/>
      <c r="U39" s="653"/>
      <c r="V39" s="653"/>
      <c r="W39" s="653"/>
      <c r="X39" s="653"/>
      <c r="Y39" s="653"/>
      <c r="Z39" s="1148">
        <f>Z37/Z38</f>
        <v>5.4656150546561512E-2</v>
      </c>
      <c r="AA39" s="1148">
        <f>AA37/AA38</f>
        <v>4.110060926478698E-2</v>
      </c>
      <c r="AB39" s="1148">
        <f>AB37/AB38</f>
        <v>1.1127341498689393E-2</v>
      </c>
      <c r="AC39" s="1148">
        <f>AC37/AC38</f>
        <v>6.0610932937491209E-2</v>
      </c>
      <c r="AD39" s="653"/>
      <c r="AE39" s="653"/>
      <c r="AF39" s="653"/>
      <c r="AG39" s="653"/>
      <c r="AH39" s="653"/>
      <c r="AI39" s="653"/>
      <c r="AJ39" s="653"/>
      <c r="AK39" s="653"/>
      <c r="AL39" s="653"/>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row>
    <row r="40" spans="1:81">
      <c r="A40" s="2"/>
      <c r="B40" s="4"/>
      <c r="C40" s="4"/>
      <c r="D40" s="34"/>
      <c r="E40" s="43"/>
      <c r="F40" s="43"/>
      <c r="G40" s="43"/>
      <c r="H40" s="43"/>
      <c r="I40" s="43"/>
      <c r="J40" s="43"/>
      <c r="K40" s="43"/>
      <c r="L40" s="7"/>
      <c r="M40" s="7"/>
      <c r="N40" s="7"/>
      <c r="O40" s="7"/>
      <c r="P40" s="7"/>
      <c r="Q40" s="7"/>
      <c r="R40" s="7"/>
      <c r="S40" s="7"/>
      <c r="T40" s="7"/>
      <c r="U40" s="7"/>
      <c r="V40" s="7"/>
      <c r="W40" s="7"/>
      <c r="X40" s="7"/>
      <c r="Y40" s="7"/>
      <c r="Z40" s="7"/>
      <c r="AA40" s="7"/>
      <c r="AB40" s="7"/>
      <c r="AC40" s="7"/>
      <c r="AD40" s="7"/>
      <c r="AE40" s="7"/>
      <c r="AF40" s="7"/>
      <c r="AG40" s="7"/>
      <c r="AH40" s="7"/>
      <c r="AI40" s="7"/>
      <c r="AJ40" s="7"/>
      <c r="AK40" s="7"/>
      <c r="AL40" s="7"/>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row>
    <row r="41" spans="1:81">
      <c r="A41" s="2"/>
      <c r="B41" s="4"/>
      <c r="C41" s="4"/>
      <c r="D41" s="34"/>
      <c r="E41" s="43"/>
      <c r="F41" s="43"/>
      <c r="G41" s="43"/>
      <c r="H41" s="43"/>
      <c r="I41" s="43"/>
      <c r="J41" s="43"/>
      <c r="K41" s="43"/>
      <c r="L41" s="7"/>
      <c r="M41" s="7"/>
      <c r="N41" s="7"/>
      <c r="O41" s="7"/>
      <c r="P41" s="7"/>
      <c r="Q41" s="7"/>
      <c r="R41" s="7"/>
      <c r="S41" s="7"/>
      <c r="T41" s="7"/>
      <c r="U41" s="7"/>
      <c r="V41" s="7"/>
      <c r="W41" s="7"/>
      <c r="X41" s="7"/>
      <c r="Y41" s="7"/>
      <c r="Z41" s="7"/>
      <c r="AA41" s="7"/>
      <c r="AB41" s="7"/>
      <c r="AC41" s="7"/>
      <c r="AD41" s="7"/>
      <c r="AE41" s="7"/>
      <c r="AF41" s="7"/>
      <c r="AG41" s="7"/>
      <c r="AH41" s="7"/>
      <c r="AI41" s="7"/>
      <c r="AJ41" s="7"/>
      <c r="AK41" s="7"/>
      <c r="AL41" s="7"/>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row>
    <row r="42" spans="1:81">
      <c r="A42" s="2"/>
      <c r="B42" s="161" t="s">
        <v>20</v>
      </c>
      <c r="C42" s="4"/>
      <c r="D42" s="34"/>
      <c r="E42" s="43"/>
      <c r="F42" s="43"/>
      <c r="G42" s="34">
        <f>(I37/G37)^0.5-1</f>
        <v>-0.12539420585018268</v>
      </c>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row>
    <row r="43" spans="1:81">
      <c r="A43" s="2"/>
      <c r="B43" s="181" t="s">
        <v>196</v>
      </c>
      <c r="C43" s="18" t="s">
        <v>732</v>
      </c>
      <c r="D43" s="42"/>
      <c r="E43" s="42"/>
      <c r="F43" s="42"/>
      <c r="G43" s="42"/>
      <c r="H43" s="616">
        <v>-1009</v>
      </c>
      <c r="I43" s="616">
        <v>-756</v>
      </c>
      <c r="J43" s="175"/>
      <c r="K43" s="616">
        <v>0</v>
      </c>
      <c r="L43" s="616">
        <v>0</v>
      </c>
      <c r="M43" s="616">
        <v>0</v>
      </c>
      <c r="N43" s="616">
        <v>0</v>
      </c>
      <c r="O43" s="616">
        <v>0</v>
      </c>
      <c r="P43" s="533">
        <v>0</v>
      </c>
      <c r="Q43" s="617">
        <v>29</v>
      </c>
      <c r="R43" s="548">
        <f>29-61+160-149+8</f>
        <v>-13</v>
      </c>
      <c r="S43" s="548">
        <f>-1004+2-54+333+121+57-54</f>
        <v>-599</v>
      </c>
      <c r="T43" s="548">
        <f>-68+6</f>
        <v>-62</v>
      </c>
      <c r="U43" s="548">
        <f>-22+2-1502</f>
        <v>-1522</v>
      </c>
      <c r="V43" s="548">
        <f>-18+2</f>
        <v>-16</v>
      </c>
      <c r="W43" s="548"/>
      <c r="X43" s="548"/>
      <c r="Y43" s="548"/>
      <c r="Z43" s="548">
        <v>-1350</v>
      </c>
      <c r="AA43" s="548">
        <v>0</v>
      </c>
      <c r="AB43" s="548">
        <v>28</v>
      </c>
      <c r="AC43" s="548">
        <v>-751</v>
      </c>
      <c r="AD43" s="252">
        <v>-1000</v>
      </c>
      <c r="AE43" s="252">
        <v>-250</v>
      </c>
      <c r="AF43" s="252"/>
      <c r="AG43" s="252"/>
      <c r="AH43" s="252"/>
      <c r="AI43" s="252"/>
      <c r="AJ43" s="252"/>
      <c r="AK43" s="252"/>
      <c r="AL43" s="25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row>
    <row r="44" spans="1:81">
      <c r="A44" s="2"/>
      <c r="B44" s="181" t="s">
        <v>414</v>
      </c>
      <c r="C44" s="18" t="s">
        <v>732</v>
      </c>
      <c r="D44" s="42"/>
      <c r="E44" s="42"/>
      <c r="F44" s="42"/>
      <c r="G44" s="616">
        <v>33</v>
      </c>
      <c r="H44" s="175">
        <f>24-226</f>
        <v>-202</v>
      </c>
      <c r="I44" s="616">
        <v>19</v>
      </c>
      <c r="J44" s="175">
        <f>24-6</f>
        <v>18</v>
      </c>
      <c r="K44" s="175">
        <f>-42+17</f>
        <v>-25</v>
      </c>
      <c r="L44" s="175">
        <f>-42+15-129</f>
        <v>-156</v>
      </c>
      <c r="M44" s="175">
        <f>-36+11</f>
        <v>-25</v>
      </c>
      <c r="N44" s="175">
        <f>-55+9</f>
        <v>-46</v>
      </c>
      <c r="O44" s="175">
        <f>-61+8</f>
        <v>-53</v>
      </c>
      <c r="P44" s="175">
        <f>-52+3-37</f>
        <v>-86</v>
      </c>
      <c r="Q44" s="617">
        <f>64-97+52+4-1</f>
        <v>22</v>
      </c>
      <c r="R44" s="548">
        <v>0</v>
      </c>
      <c r="S44" s="548">
        <v>0</v>
      </c>
      <c r="T44" s="548">
        <v>0</v>
      </c>
      <c r="U44" s="548">
        <v>0</v>
      </c>
      <c r="V44" s="548">
        <v>0</v>
      </c>
      <c r="W44" s="548"/>
      <c r="X44" s="548"/>
      <c r="Y44" s="548">
        <v>-697</v>
      </c>
      <c r="Z44" s="548">
        <v>-706</v>
      </c>
      <c r="AA44" s="548">
        <v>-675</v>
      </c>
      <c r="AB44" s="548">
        <v>-643</v>
      </c>
      <c r="AC44" s="548">
        <v>-632</v>
      </c>
      <c r="AD44" s="548">
        <f t="shared" ref="AD44:AI44" si="46">AC44</f>
        <v>-632</v>
      </c>
      <c r="AE44" s="548">
        <f t="shared" si="46"/>
        <v>-632</v>
      </c>
      <c r="AF44" s="548">
        <f t="shared" si="46"/>
        <v>-632</v>
      </c>
      <c r="AG44" s="548">
        <f t="shared" si="46"/>
        <v>-632</v>
      </c>
      <c r="AH44" s="548">
        <f t="shared" si="46"/>
        <v>-632</v>
      </c>
      <c r="AI44" s="548">
        <f t="shared" si="46"/>
        <v>-632</v>
      </c>
      <c r="AJ44" s="548">
        <f t="shared" ref="AJ44" si="47">AI44</f>
        <v>-632</v>
      </c>
      <c r="AK44" s="548">
        <f t="shared" ref="AK44:AL44" si="48">AJ44</f>
        <v>-632</v>
      </c>
      <c r="AL44" s="548">
        <f t="shared" si="48"/>
        <v>-632</v>
      </c>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row>
    <row r="45" spans="1:81">
      <c r="A45" s="2"/>
      <c r="B45" s="181" t="s">
        <v>197</v>
      </c>
      <c r="C45" s="18" t="s">
        <v>732</v>
      </c>
      <c r="D45" s="175"/>
      <c r="E45" s="175"/>
      <c r="F45" s="175"/>
      <c r="G45" s="56">
        <f t="shared" ref="G45:L45" si="49">G46+G47</f>
        <v>-1005</v>
      </c>
      <c r="H45" s="56">
        <f t="shared" si="49"/>
        <v>-379</v>
      </c>
      <c r="I45" s="56">
        <f t="shared" si="49"/>
        <v>1393</v>
      </c>
      <c r="J45" s="56">
        <f t="shared" si="49"/>
        <v>493</v>
      </c>
      <c r="K45" s="56">
        <f t="shared" si="49"/>
        <v>1803</v>
      </c>
      <c r="L45" s="56">
        <f t="shared" si="49"/>
        <v>1101</v>
      </c>
      <c r="M45" s="616">
        <v>830</v>
      </c>
      <c r="N45" s="42">
        <f t="shared" ref="N45:S45" si="50">N46+N47</f>
        <v>-899</v>
      </c>
      <c r="O45" s="42">
        <f t="shared" si="50"/>
        <v>-196</v>
      </c>
      <c r="P45" s="42">
        <f t="shared" si="50"/>
        <v>825</v>
      </c>
      <c r="Q45" s="247">
        <f t="shared" si="50"/>
        <v>-1968</v>
      </c>
      <c r="R45" s="247">
        <f t="shared" si="50"/>
        <v>97</v>
      </c>
      <c r="S45" s="247">
        <f t="shared" si="50"/>
        <v>-1667</v>
      </c>
      <c r="T45" s="247">
        <f t="shared" ref="T45:Z45" si="51">T46+T47</f>
        <v>932</v>
      </c>
      <c r="U45" s="247">
        <f t="shared" si="51"/>
        <v>8</v>
      </c>
      <c r="V45" s="247">
        <f t="shared" si="51"/>
        <v>-1073</v>
      </c>
      <c r="W45" s="247">
        <f t="shared" si="51"/>
        <v>-47</v>
      </c>
      <c r="X45" s="247">
        <f t="shared" si="51"/>
        <v>-1086</v>
      </c>
      <c r="Y45" s="247">
        <f t="shared" si="51"/>
        <v>-952</v>
      </c>
      <c r="Z45" s="247">
        <f t="shared" si="51"/>
        <v>-2280</v>
      </c>
      <c r="AA45" s="247">
        <f t="shared" ref="AA45:AB45" si="52">AA46+AA47</f>
        <v>1560</v>
      </c>
      <c r="AB45" s="247">
        <f t="shared" si="52"/>
        <v>1636</v>
      </c>
      <c r="AC45" s="247">
        <f t="shared" ref="AC45" si="53">AC46+AC47</f>
        <v>625</v>
      </c>
      <c r="AD45" s="247">
        <v>600</v>
      </c>
      <c r="AE45" s="247">
        <v>600</v>
      </c>
      <c r="AF45" s="247">
        <v>600</v>
      </c>
      <c r="AG45" s="247">
        <v>600</v>
      </c>
      <c r="AH45" s="247">
        <v>600</v>
      </c>
      <c r="AI45" s="247">
        <v>600</v>
      </c>
      <c r="AJ45" s="247">
        <v>600</v>
      </c>
      <c r="AK45" s="247">
        <v>600</v>
      </c>
      <c r="AL45" s="247">
        <v>600</v>
      </c>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row>
    <row r="46" spans="1:81" outlineLevel="1">
      <c r="A46" s="2"/>
      <c r="B46" s="181" t="s">
        <v>804</v>
      </c>
      <c r="C46" s="18" t="s">
        <v>732</v>
      </c>
      <c r="D46" s="175"/>
      <c r="E46" s="175"/>
      <c r="F46" s="175"/>
      <c r="G46" s="175">
        <f>-6315-582-22</f>
        <v>-6919</v>
      </c>
      <c r="H46" s="175">
        <f>-4274-211-13</f>
        <v>-4498</v>
      </c>
      <c r="I46" s="175">
        <f>-5735-272-16</f>
        <v>-6023</v>
      </c>
      <c r="J46" s="175">
        <f>-7624-517-7</f>
        <v>-8148</v>
      </c>
      <c r="K46" s="616">
        <v>-3776</v>
      </c>
      <c r="L46" s="616">
        <v>-5397</v>
      </c>
      <c r="M46" s="175"/>
      <c r="N46" s="616">
        <v>-2676</v>
      </c>
      <c r="O46" s="616">
        <v>-2536</v>
      </c>
      <c r="P46" s="616">
        <v>-2224</v>
      </c>
      <c r="Q46" s="617">
        <v>-4042</v>
      </c>
      <c r="R46" s="617">
        <f>-1387-91</f>
        <v>-1478</v>
      </c>
      <c r="S46" s="548">
        <f>-3368-45-47</f>
        <v>-3460</v>
      </c>
      <c r="T46" s="548">
        <f>-3954-101</f>
        <v>-4055</v>
      </c>
      <c r="U46" s="548">
        <f>-4571-131</f>
        <v>-4702</v>
      </c>
      <c r="V46" s="548">
        <f>-5148-120</f>
        <v>-5268</v>
      </c>
      <c r="W46" s="548">
        <f>-4637-79</f>
        <v>-4716</v>
      </c>
      <c r="X46" s="548">
        <v>-6562</v>
      </c>
      <c r="Y46" s="548">
        <v>-3260</v>
      </c>
      <c r="Z46" s="548">
        <v>-3750</v>
      </c>
      <c r="AA46" s="548">
        <v>-7067</v>
      </c>
      <c r="AB46" s="548">
        <v>-7829</v>
      </c>
      <c r="AC46" s="548">
        <v>-5441</v>
      </c>
      <c r="AD46" s="247"/>
      <c r="AE46" s="247"/>
      <c r="AF46" s="247"/>
      <c r="AG46" s="247"/>
      <c r="AH46" s="247"/>
      <c r="AI46" s="247"/>
      <c r="AJ46" s="247"/>
      <c r="AK46" s="247"/>
      <c r="AL46" s="247"/>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row>
    <row r="47" spans="1:81" outlineLevel="1">
      <c r="A47" s="2"/>
      <c r="B47" s="181" t="s">
        <v>509</v>
      </c>
      <c r="C47" s="18" t="s">
        <v>732</v>
      </c>
      <c r="D47" s="175"/>
      <c r="E47" s="175"/>
      <c r="F47" s="175"/>
      <c r="G47" s="616">
        <v>5914</v>
      </c>
      <c r="H47" s="616">
        <v>4119</v>
      </c>
      <c r="I47" s="175">
        <f>6433+983</f>
        <v>7416</v>
      </c>
      <c r="J47" s="616">
        <v>8641</v>
      </c>
      <c r="K47" s="175">
        <f>5206+373</f>
        <v>5579</v>
      </c>
      <c r="L47" s="616">
        <v>6498</v>
      </c>
      <c r="M47" s="175"/>
      <c r="N47" s="616">
        <v>1777</v>
      </c>
      <c r="O47" s="616">
        <v>2340</v>
      </c>
      <c r="P47" s="616">
        <v>3049</v>
      </c>
      <c r="Q47" s="617">
        <v>2074</v>
      </c>
      <c r="R47" s="617">
        <f>1572+3</f>
        <v>1575</v>
      </c>
      <c r="S47" s="548">
        <f>1714+79</f>
        <v>1793</v>
      </c>
      <c r="T47" s="548">
        <v>4987</v>
      </c>
      <c r="U47" s="548">
        <v>4710</v>
      </c>
      <c r="V47" s="548">
        <v>4195</v>
      </c>
      <c r="W47" s="548">
        <v>4669</v>
      </c>
      <c r="X47" s="548">
        <v>5476</v>
      </c>
      <c r="Y47" s="548">
        <v>2308</v>
      </c>
      <c r="Z47" s="548">
        <v>1470</v>
      </c>
      <c r="AA47" s="548">
        <v>8627</v>
      </c>
      <c r="AB47" s="548">
        <v>9465</v>
      </c>
      <c r="AC47" s="548">
        <v>6066</v>
      </c>
      <c r="AD47" s="451"/>
      <c r="AE47" s="451"/>
      <c r="AF47" s="451"/>
      <c r="AG47" s="451"/>
      <c r="AH47" s="451"/>
      <c r="AI47" s="451"/>
      <c r="AJ47" s="451"/>
      <c r="AK47" s="451"/>
      <c r="AL47" s="451"/>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row>
    <row r="48" spans="1:81">
      <c r="A48" s="2"/>
      <c r="B48" s="181" t="s">
        <v>209</v>
      </c>
      <c r="C48" s="18" t="s">
        <v>732</v>
      </c>
      <c r="D48" s="616">
        <v>-4375</v>
      </c>
      <c r="E48" s="616">
        <v>-2316</v>
      </c>
      <c r="F48" s="616">
        <v>-2831</v>
      </c>
      <c r="G48" s="616">
        <v>-3345</v>
      </c>
      <c r="H48" s="616">
        <v>-3186</v>
      </c>
      <c r="I48" s="616">
        <v>-4124</v>
      </c>
      <c r="J48" s="616">
        <v>-4970</v>
      </c>
      <c r="K48" s="616">
        <v>-3479</v>
      </c>
      <c r="L48" s="175">
        <f>-3476-22</f>
        <v>-3498</v>
      </c>
      <c r="M48" s="175">
        <f>-3474-43</f>
        <v>-3517</v>
      </c>
      <c r="N48" s="175">
        <f>-3474-20</f>
        <v>-3494</v>
      </c>
      <c r="O48" s="175">
        <f>-3475-14</f>
        <v>-3489</v>
      </c>
      <c r="P48" s="132">
        <f>-3475-16</f>
        <v>-3491</v>
      </c>
      <c r="Q48" s="548">
        <f>-3480-28</f>
        <v>-3508</v>
      </c>
      <c r="R48" s="548">
        <f>-3545-22</f>
        <v>-3567</v>
      </c>
      <c r="S48" s="548">
        <f>-3699-1</f>
        <v>-3700</v>
      </c>
      <c r="T48" s="548">
        <v>-3787</v>
      </c>
      <c r="U48" s="548">
        <v>-3736</v>
      </c>
      <c r="V48" s="548">
        <v>-3150</v>
      </c>
      <c r="W48" s="548">
        <v>-2259</v>
      </c>
      <c r="X48" s="548">
        <v>-1903</v>
      </c>
      <c r="Y48" s="548">
        <v>-1902</v>
      </c>
      <c r="Z48" s="548">
        <v>-1888</v>
      </c>
      <c r="AA48" s="548">
        <v>-1964</v>
      </c>
      <c r="AB48" s="548">
        <v>-2022</v>
      </c>
      <c r="AC48" s="548">
        <v>-2137</v>
      </c>
      <c r="AD48" s="451">
        <f>'Cost + BS Assumptions'!AD167</f>
        <v>-2363.529</v>
      </c>
      <c r="AE48" s="451">
        <f>'Cost + BS Assumptions'!AE167</f>
        <v>-2464.8535102040814</v>
      </c>
      <c r="AF48" s="451">
        <f>'Cost + BS Assumptions'!AF167</f>
        <v>-2576.8923061224491</v>
      </c>
      <c r="AG48" s="451">
        <f>'Cost + BS Assumptions'!AG167</f>
        <v>-2688.9311020408163</v>
      </c>
      <c r="AH48" s="451">
        <f>'Cost + BS Assumptions'!AH167</f>
        <v>-2800.9698979591835</v>
      </c>
      <c r="AI48" s="451">
        <f>'Cost + BS Assumptions'!AI167</f>
        <v>-2913.0086938775507</v>
      </c>
      <c r="AJ48" s="451">
        <f>'Cost + BS Assumptions'!AJ167</f>
        <v>-3025.0474897959184</v>
      </c>
      <c r="AK48" s="451">
        <f>'Cost + BS Assumptions'!AK167</f>
        <v>-3137.0862857142856</v>
      </c>
      <c r="AL48" s="451">
        <f>'Cost + BS Assumptions'!AL167</f>
        <v>-3249.1250816326528</v>
      </c>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row>
    <row r="49" spans="1:81">
      <c r="A49" s="2"/>
      <c r="B49" s="333" t="s">
        <v>28</v>
      </c>
      <c r="C49" s="18" t="s">
        <v>732</v>
      </c>
      <c r="D49" s="616"/>
      <c r="E49" s="616"/>
      <c r="F49" s="616"/>
      <c r="G49" s="616"/>
      <c r="H49" s="616"/>
      <c r="I49" s="616"/>
      <c r="J49" s="616"/>
      <c r="K49" s="616"/>
      <c r="L49" s="175"/>
      <c r="M49" s="175"/>
      <c r="N49" s="175"/>
      <c r="O49" s="175"/>
      <c r="P49" s="132"/>
      <c r="Q49" s="548"/>
      <c r="R49" s="548"/>
      <c r="S49" s="548"/>
      <c r="T49" s="548"/>
      <c r="U49" s="548"/>
      <c r="V49" s="548"/>
      <c r="W49" s="548">
        <f>1-2</f>
        <v>-1</v>
      </c>
      <c r="X49" s="548">
        <f>-993-22+698+3-23</f>
        <v>-337</v>
      </c>
      <c r="Y49" s="548">
        <f>-706-39+11-35</f>
        <v>-769</v>
      </c>
      <c r="Z49" s="548">
        <f>2883-100-5-534+9</f>
        <v>2253</v>
      </c>
      <c r="AA49" s="548">
        <v>746</v>
      </c>
      <c r="AB49" s="548">
        <v>-215</v>
      </c>
      <c r="AC49" s="548">
        <f>-18-180-33</f>
        <v>-231</v>
      </c>
      <c r="AD49" s="451">
        <f>-'Cost + BS Assumptions'!AD94-'Cost + BS Assumptions'!AD91-'Cost + BS Assumptions'!AD100</f>
        <v>-616.68318683373855</v>
      </c>
      <c r="AE49" s="451">
        <f>-'Cost + BS Assumptions'!AE94-'Cost + BS Assumptions'!AE91-'Cost + BS Assumptions'!AE100</f>
        <v>-620.04956050121564</v>
      </c>
      <c r="AF49" s="451">
        <f>-'Cost + BS Assumptions'!AF94-'Cost + BS Assumptions'!AF91-'Cost + BS Assumptions'!AF100</f>
        <v>-623.41593416869273</v>
      </c>
      <c r="AG49" s="451">
        <f>-'Cost + BS Assumptions'!AG94-'Cost + BS Assumptions'!AG91-'Cost + BS Assumptions'!AG100</f>
        <v>-626.78230783616982</v>
      </c>
      <c r="AH49" s="451">
        <f>-'Cost + BS Assumptions'!AH94-'Cost + BS Assumptions'!AH91-'Cost + BS Assumptions'!AH100</f>
        <v>-630.14868150364691</v>
      </c>
      <c r="AI49" s="451">
        <f>-'Cost + BS Assumptions'!AI94-'Cost + BS Assumptions'!AI91-'Cost + BS Assumptions'!AI100</f>
        <v>-633.515055171124</v>
      </c>
      <c r="AJ49" s="451">
        <f>-'Cost + BS Assumptions'!AJ94-'Cost + BS Assumptions'!AJ91-'Cost + BS Assumptions'!AJ100</f>
        <v>-636.8814288386011</v>
      </c>
      <c r="AK49" s="451">
        <f>-'Cost + BS Assumptions'!AK94-'Cost + BS Assumptions'!AK91-'Cost + BS Assumptions'!AK100</f>
        <v>-640.24780250607819</v>
      </c>
      <c r="AL49" s="451">
        <f>-'Cost + BS Assumptions'!AL94-'Cost + BS Assumptions'!AL91-'Cost + BS Assumptions'!AL100</f>
        <v>-643.61417617355528</v>
      </c>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row>
    <row r="50" spans="1:81">
      <c r="A50" s="2"/>
      <c r="B50" s="3" t="s">
        <v>747</v>
      </c>
      <c r="C50" s="18" t="s">
        <v>732</v>
      </c>
      <c r="D50" s="42"/>
      <c r="E50" s="42"/>
      <c r="F50" s="42"/>
      <c r="G50" s="56">
        <f t="shared" ref="G50:Y50" si="54">SUM(G51:G52)</f>
        <v>-929</v>
      </c>
      <c r="H50" s="56">
        <f t="shared" si="54"/>
        <v>-795</v>
      </c>
      <c r="I50" s="56">
        <f t="shared" si="54"/>
        <v>-801</v>
      </c>
      <c r="J50" s="56">
        <f t="shared" si="54"/>
        <v>-874</v>
      </c>
      <c r="K50" s="56">
        <f t="shared" si="54"/>
        <v>-1000</v>
      </c>
      <c r="L50" s="56">
        <f t="shared" si="54"/>
        <v>-1141</v>
      </c>
      <c r="M50" s="56">
        <f t="shared" si="54"/>
        <v>-1156</v>
      </c>
      <c r="N50" s="56">
        <f t="shared" si="54"/>
        <v>-976</v>
      </c>
      <c r="O50" s="56">
        <f t="shared" si="54"/>
        <v>-1013</v>
      </c>
      <c r="P50" s="56">
        <f t="shared" si="54"/>
        <v>-1037</v>
      </c>
      <c r="Q50" s="247">
        <f t="shared" si="54"/>
        <v>-801</v>
      </c>
      <c r="R50" s="247">
        <f t="shared" si="54"/>
        <v>-797</v>
      </c>
      <c r="S50" s="247">
        <f t="shared" si="54"/>
        <v>-749</v>
      </c>
      <c r="T50" s="247">
        <f t="shared" si="54"/>
        <v>-729</v>
      </c>
      <c r="U50" s="247">
        <f t="shared" si="54"/>
        <v>-745</v>
      </c>
      <c r="V50" s="247">
        <f t="shared" si="54"/>
        <v>-711</v>
      </c>
      <c r="W50" s="247">
        <f t="shared" si="54"/>
        <v>-748</v>
      </c>
      <c r="X50" s="247">
        <f t="shared" si="54"/>
        <v>-786</v>
      </c>
      <c r="Y50" s="247">
        <f t="shared" si="54"/>
        <v>-595</v>
      </c>
      <c r="Z50" s="247"/>
      <c r="AA50" s="247"/>
      <c r="AB50" s="247"/>
      <c r="AC50" s="247"/>
      <c r="AD50" s="247">
        <f t="shared" ref="AD50:AI50" si="55">SUM(AD51:AD52)</f>
        <v>-633.90000000000009</v>
      </c>
      <c r="AE50" s="247">
        <f t="shared" si="55"/>
        <v>-663.90000000000009</v>
      </c>
      <c r="AF50" s="247">
        <f t="shared" si="55"/>
        <v>-693.90000000000009</v>
      </c>
      <c r="AG50" s="247">
        <f t="shared" si="55"/>
        <v>-723.90000000000009</v>
      </c>
      <c r="AH50" s="247">
        <f t="shared" si="55"/>
        <v>-753.90000000000009</v>
      </c>
      <c r="AI50" s="247">
        <f t="shared" si="55"/>
        <v>-783.90000000000009</v>
      </c>
      <c r="AJ50" s="247">
        <f t="shared" ref="AJ50:AK50" si="56">SUM(AJ51:AJ52)</f>
        <v>-813.90000000000009</v>
      </c>
      <c r="AK50" s="247">
        <f t="shared" si="56"/>
        <v>-843.90000000000009</v>
      </c>
      <c r="AL50" s="247">
        <f t="shared" ref="AL50" si="57">SUM(AL51:AL52)</f>
        <v>-873.90000000000009</v>
      </c>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row>
    <row r="51" spans="1:81" outlineLevel="1">
      <c r="A51" s="2"/>
      <c r="B51" s="970" t="s">
        <v>336</v>
      </c>
      <c r="C51" s="18" t="s">
        <v>732</v>
      </c>
      <c r="D51" s="42"/>
      <c r="E51" s="42"/>
      <c r="F51" s="42"/>
      <c r="G51" s="616">
        <v>70</v>
      </c>
      <c r="H51" s="616">
        <v>51</v>
      </c>
      <c r="I51" s="616">
        <v>78</v>
      </c>
      <c r="J51" s="616">
        <v>66</v>
      </c>
      <c r="K51" s="616">
        <v>56</v>
      </c>
      <c r="L51" s="616">
        <v>72</v>
      </c>
      <c r="M51" s="616">
        <v>65</v>
      </c>
      <c r="N51" s="616">
        <v>66</v>
      </c>
      <c r="O51" s="616">
        <v>122</v>
      </c>
      <c r="P51" s="549">
        <v>117</v>
      </c>
      <c r="Q51" s="548">
        <v>236</v>
      </c>
      <c r="R51" s="548">
        <v>150</v>
      </c>
      <c r="S51" s="548">
        <v>167</v>
      </c>
      <c r="T51" s="548">
        <v>131</v>
      </c>
      <c r="U51" s="548">
        <v>109</v>
      </c>
      <c r="V51" s="548">
        <v>65</v>
      </c>
      <c r="W51" s="548">
        <v>33</v>
      </c>
      <c r="X51" s="548">
        <v>26</v>
      </c>
      <c r="Y51" s="548">
        <v>18</v>
      </c>
      <c r="Z51" s="451"/>
      <c r="AA51" s="451"/>
      <c r="AB51" s="451"/>
      <c r="AC51" s="451"/>
      <c r="AD51" s="451">
        <f>'P&amp;L'!AD83</f>
        <v>120</v>
      </c>
      <c r="AE51" s="451">
        <f>'P&amp;L'!AE83</f>
        <v>120</v>
      </c>
      <c r="AF51" s="451">
        <f>'P&amp;L'!AF83</f>
        <v>120</v>
      </c>
      <c r="AG51" s="451">
        <f>'P&amp;L'!AG83</f>
        <v>120</v>
      </c>
      <c r="AH51" s="451">
        <f>'P&amp;L'!AH83</f>
        <v>120</v>
      </c>
      <c r="AI51" s="451">
        <f>'P&amp;L'!AI83</f>
        <v>120</v>
      </c>
      <c r="AJ51" s="451">
        <f>'P&amp;L'!AJ83</f>
        <v>120</v>
      </c>
      <c r="AK51" s="451">
        <f>'P&amp;L'!AK83</f>
        <v>120</v>
      </c>
      <c r="AL51" s="451">
        <f>'P&amp;L'!AL83</f>
        <v>120</v>
      </c>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row>
    <row r="52" spans="1:81" outlineLevel="1">
      <c r="A52" s="2"/>
      <c r="B52" s="970" t="s">
        <v>291</v>
      </c>
      <c r="C52" s="18" t="s">
        <v>732</v>
      </c>
      <c r="D52" s="42"/>
      <c r="E52" s="42"/>
      <c r="F52" s="42"/>
      <c r="G52" s="616">
        <v>-999</v>
      </c>
      <c r="H52" s="616">
        <v>-846</v>
      </c>
      <c r="I52" s="616">
        <v>-879</v>
      </c>
      <c r="J52" s="616">
        <v>-940</v>
      </c>
      <c r="K52" s="616">
        <v>-1056</v>
      </c>
      <c r="L52" s="616">
        <v>-1213</v>
      </c>
      <c r="M52" s="616">
        <v>-1221</v>
      </c>
      <c r="N52" s="616">
        <v>-1042</v>
      </c>
      <c r="O52" s="616">
        <v>-1135</v>
      </c>
      <c r="P52" s="549">
        <v>-1154</v>
      </c>
      <c r="Q52" s="548">
        <v>-1037</v>
      </c>
      <c r="R52" s="548">
        <v>-947</v>
      </c>
      <c r="S52" s="548">
        <v>-916</v>
      </c>
      <c r="T52" s="548">
        <v>-860</v>
      </c>
      <c r="U52" s="548">
        <v>-854</v>
      </c>
      <c r="V52" s="548">
        <v>-776</v>
      </c>
      <c r="W52" s="548">
        <v>-781</v>
      </c>
      <c r="X52" s="548">
        <v>-812</v>
      </c>
      <c r="Y52" s="548">
        <v>-613</v>
      </c>
      <c r="Z52" s="451"/>
      <c r="AA52" s="548">
        <v>-636</v>
      </c>
      <c r="AB52" s="548">
        <v>-726</v>
      </c>
      <c r="AC52" s="548">
        <v>-871</v>
      </c>
      <c r="AD52" s="451">
        <f>'P&amp;L'!AD84</f>
        <v>-753.90000000000009</v>
      </c>
      <c r="AE52" s="451">
        <f>'P&amp;L'!AE84</f>
        <v>-783.90000000000009</v>
      </c>
      <c r="AF52" s="451">
        <f>'P&amp;L'!AF84</f>
        <v>-813.90000000000009</v>
      </c>
      <c r="AG52" s="451">
        <f>'P&amp;L'!AG84</f>
        <v>-843.90000000000009</v>
      </c>
      <c r="AH52" s="451">
        <f>'P&amp;L'!AH84</f>
        <v>-873.90000000000009</v>
      </c>
      <c r="AI52" s="451">
        <f>'P&amp;L'!AI84</f>
        <v>-903.90000000000009</v>
      </c>
      <c r="AJ52" s="451">
        <f>'P&amp;L'!AJ84</f>
        <v>-933.90000000000009</v>
      </c>
      <c r="AK52" s="451">
        <f>'P&amp;L'!AK84</f>
        <v>-963.90000000000009</v>
      </c>
      <c r="AL52" s="451">
        <f>'P&amp;L'!AL84</f>
        <v>-993.90000000000009</v>
      </c>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row>
    <row r="53" spans="1:81">
      <c r="A53" s="2"/>
      <c r="B53" s="182" t="s">
        <v>421</v>
      </c>
      <c r="C53" s="21" t="s">
        <v>732</v>
      </c>
      <c r="D53" s="43"/>
      <c r="E53" s="43"/>
      <c r="F53" s="43"/>
      <c r="G53" s="60">
        <f t="shared" ref="G53:V53" si="58">SUM(G43:G45,G48:G48)</f>
        <v>-4317</v>
      </c>
      <c r="H53" s="60">
        <f t="shared" si="58"/>
        <v>-4776</v>
      </c>
      <c r="I53" s="60">
        <f t="shared" si="58"/>
        <v>-3468</v>
      </c>
      <c r="J53" s="60">
        <f t="shared" si="58"/>
        <v>-4459</v>
      </c>
      <c r="K53" s="60">
        <f t="shared" si="58"/>
        <v>-1701</v>
      </c>
      <c r="L53" s="60">
        <f t="shared" si="58"/>
        <v>-2553</v>
      </c>
      <c r="M53" s="60">
        <f t="shared" si="58"/>
        <v>-2712</v>
      </c>
      <c r="N53" s="60">
        <f t="shared" si="58"/>
        <v>-4439</v>
      </c>
      <c r="O53" s="60">
        <f t="shared" si="58"/>
        <v>-3738</v>
      </c>
      <c r="P53" s="60">
        <f t="shared" si="58"/>
        <v>-2752</v>
      </c>
      <c r="Q53" s="249">
        <f t="shared" si="58"/>
        <v>-5425</v>
      </c>
      <c r="R53" s="249">
        <f t="shared" si="58"/>
        <v>-3483</v>
      </c>
      <c r="S53" s="249">
        <f t="shared" si="58"/>
        <v>-5966</v>
      </c>
      <c r="T53" s="249">
        <f t="shared" si="58"/>
        <v>-2917</v>
      </c>
      <c r="U53" s="249">
        <f t="shared" si="58"/>
        <v>-5250</v>
      </c>
      <c r="V53" s="249">
        <f t="shared" si="58"/>
        <v>-4239</v>
      </c>
      <c r="W53" s="249">
        <f>SUM(W43:W45,W48:W49)</f>
        <v>-2307</v>
      </c>
      <c r="X53" s="249">
        <f>SUM(X43:X45,X48:X49)</f>
        <v>-3326</v>
      </c>
      <c r="Y53" s="249">
        <f>SUM(Y43:Y45,Y48:Y49)</f>
        <v>-4320</v>
      </c>
      <c r="Z53" s="249">
        <f>SUM(Z43:Z45,Z48:Z49)</f>
        <v>-3971</v>
      </c>
      <c r="AA53" s="249">
        <f>SUM(AA43:AA45,AA48:AA52)</f>
        <v>-969</v>
      </c>
      <c r="AB53" s="249">
        <f>SUM(AB43:AB45,AB48:AB52)</f>
        <v>-1942</v>
      </c>
      <c r="AC53" s="249">
        <f>SUM(AC43:AC45,AC48:AC52)</f>
        <v>-3997</v>
      </c>
      <c r="AD53" s="249">
        <f t="shared" ref="AD53:AI53" si="59">SUM(AD43:AD45,AD48:AD50)</f>
        <v>-4646.1121868337386</v>
      </c>
      <c r="AE53" s="249">
        <f t="shared" si="59"/>
        <v>-4030.8030707052972</v>
      </c>
      <c r="AF53" s="249">
        <f t="shared" si="59"/>
        <v>-3926.2082402911419</v>
      </c>
      <c r="AG53" s="249">
        <f t="shared" si="59"/>
        <v>-4071.6134098769862</v>
      </c>
      <c r="AH53" s="249">
        <f t="shared" si="59"/>
        <v>-4217.0185794628305</v>
      </c>
      <c r="AI53" s="249">
        <f t="shared" si="59"/>
        <v>-4362.4237490486748</v>
      </c>
      <c r="AJ53" s="249">
        <f t="shared" ref="AJ53:AK53" si="60">SUM(AJ43:AJ45,AJ48:AJ50)</f>
        <v>-4507.8289186345191</v>
      </c>
      <c r="AK53" s="249">
        <f t="shared" si="60"/>
        <v>-4653.2340882203644</v>
      </c>
      <c r="AL53" s="249">
        <f t="shared" ref="AL53" si="61">SUM(AL43:AL45,AL48:AL50)</f>
        <v>-4798.6392578062078</v>
      </c>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row>
    <row r="54" spans="1:81">
      <c r="A54" s="2"/>
      <c r="B54" s="182"/>
      <c r="C54" s="182"/>
      <c r="D54" s="43"/>
      <c r="E54" s="43"/>
      <c r="F54" s="43"/>
      <c r="G54" s="43"/>
      <c r="H54" s="43"/>
      <c r="I54" s="43"/>
      <c r="J54" s="43"/>
      <c r="K54" s="43"/>
      <c r="L54" s="43"/>
      <c r="M54" s="43"/>
      <c r="N54" s="43"/>
      <c r="O54" s="43"/>
      <c r="P54" s="43"/>
      <c r="Q54" s="249"/>
      <c r="R54" s="249"/>
      <c r="S54" s="249"/>
      <c r="T54" s="249"/>
      <c r="U54" s="249"/>
      <c r="V54" s="249"/>
      <c r="W54" s="249"/>
      <c r="X54" s="249"/>
      <c r="Y54" s="249"/>
      <c r="Z54" s="249"/>
      <c r="AA54" s="249"/>
      <c r="AB54" s="249"/>
      <c r="AC54" s="249"/>
      <c r="AD54" s="249"/>
      <c r="AE54" s="249"/>
      <c r="AF54" s="249"/>
      <c r="AG54" s="249"/>
      <c r="AH54" s="249"/>
      <c r="AI54" s="249"/>
      <c r="AJ54" s="249"/>
      <c r="AK54" s="249"/>
      <c r="AL54" s="249"/>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row>
    <row r="55" spans="1:81">
      <c r="A55" s="2"/>
      <c r="B55" s="681" t="s">
        <v>36</v>
      </c>
      <c r="C55" s="630" t="s">
        <v>732</v>
      </c>
      <c r="D55" s="682"/>
      <c r="E55" s="682"/>
      <c r="F55" s="682"/>
      <c r="G55" s="682">
        <f t="shared" ref="G55:AI55" si="62">G20+G33+G53</f>
        <v>248</v>
      </c>
      <c r="H55" s="682">
        <f t="shared" si="62"/>
        <v>-613</v>
      </c>
      <c r="I55" s="682">
        <f t="shared" si="62"/>
        <v>847</v>
      </c>
      <c r="J55" s="682">
        <f t="shared" si="62"/>
        <v>-849</v>
      </c>
      <c r="K55" s="682">
        <f t="shared" si="62"/>
        <v>142</v>
      </c>
      <c r="L55" s="682">
        <f t="shared" si="62"/>
        <v>89</v>
      </c>
      <c r="M55" s="682">
        <f t="shared" si="62"/>
        <v>432</v>
      </c>
      <c r="N55" s="682">
        <f t="shared" si="62"/>
        <v>744</v>
      </c>
      <c r="O55" s="682">
        <f t="shared" si="62"/>
        <v>604</v>
      </c>
      <c r="P55" s="683">
        <f t="shared" si="62"/>
        <v>1291</v>
      </c>
      <c r="Q55" s="684">
        <f t="shared" si="62"/>
        <v>-1502</v>
      </c>
      <c r="R55" s="684">
        <f t="shared" si="62"/>
        <v>3053</v>
      </c>
      <c r="S55" s="684">
        <f t="shared" si="62"/>
        <v>-4263</v>
      </c>
      <c r="T55" s="684">
        <f t="shared" si="62"/>
        <v>2082.2914036749999</v>
      </c>
      <c r="U55" s="684">
        <f t="shared" si="62"/>
        <v>-2676.7098542147505</v>
      </c>
      <c r="V55" s="684">
        <f t="shared" si="62"/>
        <v>-320</v>
      </c>
      <c r="W55" s="684">
        <f t="shared" si="62"/>
        <v>-20</v>
      </c>
      <c r="X55" s="684">
        <f t="shared" si="62"/>
        <v>-104</v>
      </c>
      <c r="Y55" s="684">
        <f t="shared" si="62"/>
        <v>-46</v>
      </c>
      <c r="Z55" s="684">
        <f t="shared" si="62"/>
        <v>-117</v>
      </c>
      <c r="AA55" s="684">
        <f t="shared" ref="AA55:AB55" si="63">AA20+AA33+AA53</f>
        <v>-118</v>
      </c>
      <c r="AB55" s="684">
        <f t="shared" si="63"/>
        <v>117</v>
      </c>
      <c r="AC55" s="684">
        <f t="shared" ref="AC55" si="64">AC20+AC33+AC53</f>
        <v>-41</v>
      </c>
      <c r="AD55" s="684">
        <f t="shared" si="62"/>
        <v>-379.03441303757154</v>
      </c>
      <c r="AE55" s="684">
        <f t="shared" si="62"/>
        <v>250.82531077483645</v>
      </c>
      <c r="AF55" s="684">
        <f t="shared" si="62"/>
        <v>511.79707842293283</v>
      </c>
      <c r="AG55" s="684">
        <f t="shared" si="62"/>
        <v>530.15998368612509</v>
      </c>
      <c r="AH55" s="684">
        <f t="shared" si="62"/>
        <v>560.60685202834793</v>
      </c>
      <c r="AI55" s="684">
        <f t="shared" si="62"/>
        <v>596.70047197068561</v>
      </c>
      <c r="AJ55" s="684">
        <f t="shared" ref="AJ55:AK55" si="65">AJ20+AJ33+AJ53</f>
        <v>945.20638317606335</v>
      </c>
      <c r="AK55" s="684">
        <f t="shared" si="65"/>
        <v>1333.1793212204529</v>
      </c>
      <c r="AL55" s="684">
        <f t="shared" ref="AL55" si="66">AL20+AL33+AL53</f>
        <v>1601.23899518096</v>
      </c>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row>
    <row r="56" spans="1:81">
      <c r="A56" s="2"/>
      <c r="B56" s="181" t="s">
        <v>740</v>
      </c>
      <c r="C56" s="18" t="s">
        <v>732</v>
      </c>
      <c r="D56" s="42"/>
      <c r="E56" s="42"/>
      <c r="F56" s="42"/>
      <c r="G56" s="549">
        <v>1070</v>
      </c>
      <c r="H56" s="56">
        <f t="shared" ref="H56:R56" si="67">G58</f>
        <v>1300</v>
      </c>
      <c r="I56" s="56">
        <f t="shared" si="67"/>
        <v>687</v>
      </c>
      <c r="J56" s="56">
        <f t="shared" si="67"/>
        <v>1534</v>
      </c>
      <c r="K56" s="56">
        <f t="shared" si="67"/>
        <v>689</v>
      </c>
      <c r="L56" s="56">
        <f t="shared" si="67"/>
        <v>823</v>
      </c>
      <c r="M56" s="56">
        <f t="shared" si="67"/>
        <v>899</v>
      </c>
      <c r="N56" s="56">
        <f t="shared" si="67"/>
        <v>1381</v>
      </c>
      <c r="O56" s="56">
        <f t="shared" si="67"/>
        <v>2105</v>
      </c>
      <c r="P56" s="56">
        <f t="shared" si="67"/>
        <v>2637</v>
      </c>
      <c r="Q56" s="247">
        <f t="shared" si="67"/>
        <v>3945</v>
      </c>
      <c r="R56" s="247">
        <f t="shared" si="67"/>
        <v>2479</v>
      </c>
      <c r="S56" s="247">
        <f>R58</f>
        <v>5527</v>
      </c>
      <c r="T56" s="247">
        <f>S58</f>
        <v>1396</v>
      </c>
      <c r="U56" s="548">
        <v>3550</v>
      </c>
      <c r="V56" s="247">
        <f t="shared" ref="V56:Y56" si="68">U58</f>
        <v>867.29014578524948</v>
      </c>
      <c r="W56" s="548">
        <v>620</v>
      </c>
      <c r="X56" s="548">
        <f t="shared" si="68"/>
        <v>604</v>
      </c>
      <c r="Y56" s="548">
        <f t="shared" si="68"/>
        <v>499</v>
      </c>
      <c r="Z56" s="548">
        <v>1125</v>
      </c>
      <c r="AA56" s="548">
        <f>Z58</f>
        <v>1040</v>
      </c>
      <c r="AB56" s="548">
        <f>AA58</f>
        <v>932</v>
      </c>
      <c r="AC56" s="548">
        <f>AB58</f>
        <v>1046</v>
      </c>
      <c r="AD56" s="247">
        <f t="shared" ref="AD56:AI56" si="69">AC58</f>
        <v>1012</v>
      </c>
      <c r="AE56" s="247">
        <f t="shared" si="69"/>
        <v>632.96558696242846</v>
      </c>
      <c r="AF56" s="247">
        <f t="shared" si="69"/>
        <v>883.79089773726491</v>
      </c>
      <c r="AG56" s="247">
        <f t="shared" si="69"/>
        <v>1395.5879761601977</v>
      </c>
      <c r="AH56" s="247">
        <f t="shared" si="69"/>
        <v>1925.7479598463228</v>
      </c>
      <c r="AI56" s="247">
        <f t="shared" si="69"/>
        <v>2486.3548118746708</v>
      </c>
      <c r="AJ56" s="247">
        <f t="shared" ref="AJ56" si="70">AI58</f>
        <v>3083.0552838453564</v>
      </c>
      <c r="AK56" s="247">
        <f t="shared" ref="AK56:AL56" si="71">AJ58</f>
        <v>4028.2616670214197</v>
      </c>
      <c r="AL56" s="247">
        <f t="shared" si="71"/>
        <v>5361.4409882418731</v>
      </c>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row>
    <row r="57" spans="1:81">
      <c r="A57" s="2"/>
      <c r="B57" s="181" t="s">
        <v>422</v>
      </c>
      <c r="C57" s="18" t="s">
        <v>732</v>
      </c>
      <c r="D57" s="42"/>
      <c r="E57" s="42"/>
      <c r="F57" s="42"/>
      <c r="G57" s="616">
        <v>-18</v>
      </c>
      <c r="H57" s="616">
        <v>0</v>
      </c>
      <c r="I57" s="175"/>
      <c r="J57" s="616">
        <v>4</v>
      </c>
      <c r="K57" s="616">
        <v>-8</v>
      </c>
      <c r="L57" s="616">
        <v>-13</v>
      </c>
      <c r="M57" s="616">
        <v>50</v>
      </c>
      <c r="N57" s="616">
        <v>-20</v>
      </c>
      <c r="O57" s="616">
        <v>-72</v>
      </c>
      <c r="P57" s="549">
        <v>17</v>
      </c>
      <c r="Q57" s="548">
        <v>36</v>
      </c>
      <c r="R57" s="548">
        <v>-5</v>
      </c>
      <c r="S57" s="548">
        <v>132</v>
      </c>
      <c r="T57" s="548">
        <v>5</v>
      </c>
      <c r="U57" s="548">
        <v>-6</v>
      </c>
      <c r="V57" s="548">
        <v>10</v>
      </c>
      <c r="W57" s="548">
        <v>4</v>
      </c>
      <c r="X57" s="548">
        <v>-1</v>
      </c>
      <c r="Y57" s="548">
        <v>-25</v>
      </c>
      <c r="Z57" s="548">
        <v>32</v>
      </c>
      <c r="AA57" s="548">
        <v>10</v>
      </c>
      <c r="AB57" s="548">
        <v>-3</v>
      </c>
      <c r="AC57" s="548">
        <v>7</v>
      </c>
      <c r="AD57" s="247">
        <f>0</f>
        <v>0</v>
      </c>
      <c r="AE57" s="247">
        <f>0</f>
        <v>0</v>
      </c>
      <c r="AF57" s="247">
        <f>0</f>
        <v>0</v>
      </c>
      <c r="AG57" s="247">
        <f>0</f>
        <v>0</v>
      </c>
      <c r="AH57" s="247">
        <f>0</f>
        <v>0</v>
      </c>
      <c r="AI57" s="247">
        <f>0</f>
        <v>0</v>
      </c>
      <c r="AJ57" s="247">
        <f>0</f>
        <v>0</v>
      </c>
      <c r="AK57" s="247">
        <f>0</f>
        <v>0</v>
      </c>
      <c r="AL57" s="247">
        <f>0</f>
        <v>0</v>
      </c>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row>
    <row r="58" spans="1:81">
      <c r="A58" s="2"/>
      <c r="B58" s="181" t="s">
        <v>194</v>
      </c>
      <c r="C58" s="18" t="s">
        <v>732</v>
      </c>
      <c r="D58" s="42"/>
      <c r="E58" s="42"/>
      <c r="F58" s="42"/>
      <c r="G58" s="56">
        <f t="shared" ref="G58:S58" si="72">SUM(G55:G57)</f>
        <v>1300</v>
      </c>
      <c r="H58" s="56">
        <f t="shared" si="72"/>
        <v>687</v>
      </c>
      <c r="I58" s="56">
        <f t="shared" si="72"/>
        <v>1534</v>
      </c>
      <c r="J58" s="56">
        <f t="shared" si="72"/>
        <v>689</v>
      </c>
      <c r="K58" s="56">
        <f t="shared" si="72"/>
        <v>823</v>
      </c>
      <c r="L58" s="56">
        <f t="shared" si="72"/>
        <v>899</v>
      </c>
      <c r="M58" s="56">
        <f t="shared" si="72"/>
        <v>1381</v>
      </c>
      <c r="N58" s="56">
        <f t="shared" si="72"/>
        <v>2105</v>
      </c>
      <c r="O58" s="56">
        <f t="shared" si="72"/>
        <v>2637</v>
      </c>
      <c r="P58" s="56">
        <f t="shared" si="72"/>
        <v>3945</v>
      </c>
      <c r="Q58" s="247">
        <f t="shared" si="72"/>
        <v>2479</v>
      </c>
      <c r="R58" s="247">
        <f t="shared" si="72"/>
        <v>5527</v>
      </c>
      <c r="S58" s="247">
        <f t="shared" si="72"/>
        <v>1396</v>
      </c>
      <c r="T58" s="247">
        <f>SUM(T55:T57)</f>
        <v>3483.2914036749999</v>
      </c>
      <c r="U58" s="247">
        <f>SUM(U55:U57)</f>
        <v>867.29014578524948</v>
      </c>
      <c r="V58" s="451">
        <f>'Balance Sheet'!V9</f>
        <v>629</v>
      </c>
      <c r="W58" s="451">
        <f>'Balance Sheet'!W9</f>
        <v>604</v>
      </c>
      <c r="X58" s="451">
        <f>'Balance Sheet'!X9</f>
        <v>499</v>
      </c>
      <c r="Y58" s="451">
        <f>'Balance Sheet'!Y9</f>
        <v>1125</v>
      </c>
      <c r="Z58" s="247">
        <f>SUM(Z55:Z57)</f>
        <v>1040</v>
      </c>
      <c r="AA58" s="247">
        <f>SUM(AA55:AA57)</f>
        <v>932</v>
      </c>
      <c r="AB58" s="247">
        <f>SUM(AB55:AB57)</f>
        <v>1046</v>
      </c>
      <c r="AC58" s="247">
        <f>SUM(AC55:AC57)</f>
        <v>1012</v>
      </c>
      <c r="AD58" s="247">
        <f t="shared" ref="AD58:AH58" si="73">SUM(AD55:AD57)</f>
        <v>632.96558696242846</v>
      </c>
      <c r="AE58" s="247">
        <f t="shared" si="73"/>
        <v>883.79089773726491</v>
      </c>
      <c r="AF58" s="247">
        <f t="shared" si="73"/>
        <v>1395.5879761601977</v>
      </c>
      <c r="AG58" s="247">
        <f t="shared" si="73"/>
        <v>1925.7479598463228</v>
      </c>
      <c r="AH58" s="247">
        <f t="shared" si="73"/>
        <v>2486.3548118746708</v>
      </c>
      <c r="AI58" s="247">
        <f>SUM(AI55:AI57)</f>
        <v>3083.0552838453564</v>
      </c>
      <c r="AJ58" s="247">
        <f t="shared" ref="AJ58:AK58" si="74">SUM(AJ55:AJ57)</f>
        <v>4028.2616670214197</v>
      </c>
      <c r="AK58" s="247">
        <f t="shared" si="74"/>
        <v>5361.4409882418731</v>
      </c>
      <c r="AL58" s="247">
        <f t="shared" ref="AL58" si="75">SUM(AL55:AL57)</f>
        <v>6962.6799834228332</v>
      </c>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row>
    <row r="59" spans="1:81">
      <c r="A59" s="2"/>
      <c r="B59" s="34"/>
      <c r="C59" s="34"/>
      <c r="D59" s="183"/>
      <c r="E59" s="34"/>
      <c r="F59" s="34"/>
      <c r="G59" s="34"/>
      <c r="H59" s="34"/>
      <c r="I59" s="34"/>
      <c r="J59" s="34"/>
      <c r="K59" s="34"/>
      <c r="L59" s="34"/>
      <c r="M59" s="34"/>
      <c r="N59" s="34"/>
      <c r="O59" s="34"/>
      <c r="P59" s="34"/>
      <c r="Q59" s="34"/>
      <c r="R59" s="183"/>
      <c r="S59" s="183"/>
      <c r="T59" s="183"/>
      <c r="U59" s="183"/>
      <c r="V59" s="183"/>
      <c r="W59" s="183"/>
      <c r="X59" s="183"/>
      <c r="Y59" s="183"/>
      <c r="Z59" s="183"/>
      <c r="AA59" s="183"/>
      <c r="AB59" s="183"/>
      <c r="AC59" s="183"/>
      <c r="AD59" s="183"/>
      <c r="AE59" s="183"/>
      <c r="AF59" s="183"/>
      <c r="AG59" s="183"/>
      <c r="AH59" s="183"/>
      <c r="AI59" s="183"/>
      <c r="AJ59" s="183"/>
      <c r="AK59" s="183"/>
      <c r="AL59" s="183"/>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row>
    <row r="60" spans="1:81">
      <c r="A60" s="2"/>
      <c r="B60" s="34"/>
      <c r="C60" s="34"/>
      <c r="D60" s="183"/>
      <c r="E60" s="34"/>
      <c r="F60" s="34"/>
      <c r="G60" s="34"/>
      <c r="H60" s="34"/>
      <c r="I60" s="34"/>
      <c r="J60" s="34"/>
      <c r="K60" s="34"/>
      <c r="L60" s="34"/>
      <c r="M60" s="34"/>
      <c r="N60" s="34"/>
      <c r="O60" s="34"/>
      <c r="P60" s="34"/>
      <c r="Q60" s="34"/>
      <c r="R60" s="183"/>
      <c r="S60" s="183"/>
      <c r="T60" s="183"/>
      <c r="U60" s="183"/>
      <c r="V60" s="183"/>
      <c r="W60" s="183"/>
      <c r="X60" s="183"/>
      <c r="Y60" s="183"/>
      <c r="Z60" s="183"/>
      <c r="AA60" s="183"/>
      <c r="AB60" s="183"/>
      <c r="AC60" s="183"/>
      <c r="AD60" s="183"/>
      <c r="AE60" s="183"/>
      <c r="AF60" s="183"/>
      <c r="AG60" s="183"/>
      <c r="AH60" s="183"/>
      <c r="AI60" s="183"/>
      <c r="AJ60" s="183"/>
      <c r="AK60" s="183"/>
      <c r="AL60" s="183"/>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row>
    <row r="61" spans="1:81">
      <c r="A61" s="2"/>
      <c r="B61" s="388" t="s">
        <v>198</v>
      </c>
      <c r="C61" s="389" t="s">
        <v>184</v>
      </c>
      <c r="D61" s="385"/>
      <c r="E61" s="385"/>
      <c r="F61" s="385"/>
      <c r="G61" s="385"/>
      <c r="H61" s="385"/>
      <c r="I61" s="385"/>
      <c r="J61" s="385"/>
      <c r="K61" s="385"/>
      <c r="L61" s="385"/>
      <c r="N61" s="385"/>
      <c r="O61" s="385"/>
      <c r="Q61" s="385"/>
      <c r="R61" s="385"/>
      <c r="S61" s="386">
        <f t="shared" ref="S61:AI61" si="76">S5</f>
        <v>15</v>
      </c>
      <c r="T61" s="386">
        <f t="shared" si="76"/>
        <v>16</v>
      </c>
      <c r="U61" s="386">
        <f t="shared" si="76"/>
        <v>17</v>
      </c>
      <c r="V61" s="386">
        <f t="shared" si="76"/>
        <v>18</v>
      </c>
      <c r="W61" s="386">
        <f t="shared" si="76"/>
        <v>19</v>
      </c>
      <c r="X61" s="386">
        <f t="shared" si="76"/>
        <v>20</v>
      </c>
      <c r="Y61" s="386">
        <f t="shared" si="76"/>
        <v>21</v>
      </c>
      <c r="Z61" s="387">
        <f t="shared" si="76"/>
        <v>22</v>
      </c>
      <c r="AA61" s="387">
        <f t="shared" si="76"/>
        <v>23</v>
      </c>
      <c r="AB61" s="387">
        <f t="shared" ref="AB61:AC61" si="77">AB5</f>
        <v>24</v>
      </c>
      <c r="AC61" s="387">
        <f t="shared" si="77"/>
        <v>25</v>
      </c>
      <c r="AD61" s="387">
        <f t="shared" si="76"/>
        <v>26</v>
      </c>
      <c r="AE61" s="387">
        <f t="shared" si="76"/>
        <v>27</v>
      </c>
      <c r="AF61" s="387">
        <f t="shared" si="76"/>
        <v>28</v>
      </c>
      <c r="AG61" s="387">
        <f t="shared" si="76"/>
        <v>29</v>
      </c>
      <c r="AH61" s="387">
        <f t="shared" si="76"/>
        <v>30</v>
      </c>
      <c r="AI61" s="387">
        <f t="shared" si="76"/>
        <v>31</v>
      </c>
      <c r="AJ61" s="387">
        <f t="shared" ref="AJ61:AK61" si="78">AJ5</f>
        <v>32</v>
      </c>
      <c r="AK61" s="387">
        <f t="shared" si="78"/>
        <v>33</v>
      </c>
      <c r="AL61" s="387">
        <f t="shared" ref="AL61" si="79">AL5</f>
        <v>34</v>
      </c>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row>
    <row r="62" spans="1:81">
      <c r="A62" s="2"/>
      <c r="B62" s="2" t="s">
        <v>233</v>
      </c>
      <c r="C62" s="42"/>
      <c r="D62" s="42">
        <f t="shared" ref="D62:AI62" si="80">D20</f>
        <v>0</v>
      </c>
      <c r="E62" s="42">
        <f t="shared" si="80"/>
        <v>0</v>
      </c>
      <c r="F62" s="42">
        <f t="shared" si="80"/>
        <v>0</v>
      </c>
      <c r="G62" s="42">
        <f t="shared" si="80"/>
        <v>7050</v>
      </c>
      <c r="H62" s="42">
        <f t="shared" si="80"/>
        <v>7433</v>
      </c>
      <c r="I62" s="42">
        <f t="shared" si="80"/>
        <v>8159</v>
      </c>
      <c r="J62" s="56">
        <f t="shared" si="80"/>
        <v>7688</v>
      </c>
      <c r="K62" s="56">
        <f t="shared" si="80"/>
        <v>7520</v>
      </c>
      <c r="L62" s="56">
        <f t="shared" si="80"/>
        <v>7703</v>
      </c>
      <c r="M62" s="56">
        <f t="shared" si="80"/>
        <v>7842</v>
      </c>
      <c r="N62" s="56">
        <f t="shared" si="80"/>
        <v>8715</v>
      </c>
      <c r="O62" s="56">
        <f t="shared" si="80"/>
        <v>7005</v>
      </c>
      <c r="P62" s="56">
        <f t="shared" si="80"/>
        <v>8239</v>
      </c>
      <c r="Q62" s="247">
        <f t="shared" si="80"/>
        <v>7558</v>
      </c>
      <c r="R62" s="247">
        <f t="shared" si="80"/>
        <v>7816</v>
      </c>
      <c r="S62" s="247">
        <f t="shared" si="80"/>
        <v>7562</v>
      </c>
      <c r="T62" s="247">
        <f t="shared" si="80"/>
        <v>7404</v>
      </c>
      <c r="U62" s="247">
        <f t="shared" si="80"/>
        <v>7030</v>
      </c>
      <c r="V62" s="247">
        <f t="shared" si="80"/>
        <v>7986</v>
      </c>
      <c r="W62" s="247">
        <f t="shared" si="80"/>
        <v>5941</v>
      </c>
      <c r="X62" s="247">
        <f t="shared" si="80"/>
        <v>6097</v>
      </c>
      <c r="Y62" s="247">
        <f t="shared" si="80"/>
        <v>6490</v>
      </c>
      <c r="Z62" s="247">
        <f t="shared" si="80"/>
        <v>7249</v>
      </c>
      <c r="AA62" s="247">
        <f t="shared" si="80"/>
        <v>6802</v>
      </c>
      <c r="AB62" s="247">
        <f t="shared" ref="AB62:AC62" si="81">AB20</f>
        <v>7049</v>
      </c>
      <c r="AC62" s="247">
        <f t="shared" si="81"/>
        <v>7324</v>
      </c>
      <c r="AD62" s="247">
        <f t="shared" si="80"/>
        <v>7744.1261525912696</v>
      </c>
      <c r="AE62" s="247">
        <f t="shared" si="80"/>
        <v>8005.3201756197159</v>
      </c>
      <c r="AF62" s="247">
        <f t="shared" si="80"/>
        <v>8273.3382986612687</v>
      </c>
      <c r="AG62" s="247">
        <f t="shared" si="80"/>
        <v>8565.2259981606676</v>
      </c>
      <c r="AH62" s="247">
        <f t="shared" si="80"/>
        <v>8886.4518284428887</v>
      </c>
      <c r="AI62" s="247">
        <f t="shared" si="80"/>
        <v>9231.820422834604</v>
      </c>
      <c r="AJ62" s="247">
        <f t="shared" ref="AJ62:AK62" si="82">AJ20</f>
        <v>9607.5052245530333</v>
      </c>
      <c r="AK62" s="247">
        <f t="shared" si="82"/>
        <v>10016.682007195335</v>
      </c>
      <c r="AL62" s="247">
        <f t="shared" ref="AL62" si="83">AL20</f>
        <v>10444.796632180009</v>
      </c>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row>
    <row r="63" spans="1:81">
      <c r="A63" s="2"/>
      <c r="B63" s="2" t="s">
        <v>415</v>
      </c>
      <c r="C63" s="42"/>
      <c r="D63" s="42">
        <f>D62/'Cost + BS Assumptions'!D164*100</f>
        <v>0</v>
      </c>
      <c r="E63" s="42">
        <f>E62/'Cost + BS Assumptions'!E164*100</f>
        <v>0</v>
      </c>
      <c r="F63" s="42">
        <f>F62/'Cost + BS Assumptions'!F164*100</f>
        <v>0</v>
      </c>
      <c r="G63" s="42">
        <f>G62/'Cost + BS Assumptions'!G164*100</f>
        <v>54.79132664956866</v>
      </c>
      <c r="H63" s="42">
        <f>H62/'Cost + BS Assumptions'!H164*100</f>
        <v>58.421755875186662</v>
      </c>
      <c r="I63" s="42">
        <f>I62/'Cost + BS Assumptions'!I164*100</f>
        <v>65.204187644849355</v>
      </c>
      <c r="J63" s="42">
        <f>J62/'Cost + BS Assumptions'!J164*100</f>
        <v>62.170467410642082</v>
      </c>
      <c r="K63" s="42">
        <f>K62/'Cost + BS Assumptions'!K164*100</f>
        <v>60.767676767676768</v>
      </c>
      <c r="L63" s="42">
        <f>L62/'Cost + BS Assumptions'!L164*100</f>
        <v>62.29680549939345</v>
      </c>
      <c r="M63" s="42">
        <f>M62/'Cost + BS Assumptions'!M164*100</f>
        <v>63.40556274256145</v>
      </c>
      <c r="N63" s="42">
        <f>N62/'Cost + BS Assumptions'!N164*100</f>
        <v>70.435625959751064</v>
      </c>
      <c r="O63" s="42">
        <f>O62/'Cost + BS Assumptions'!O164*100</f>
        <v>56.574059118074629</v>
      </c>
      <c r="P63" s="42">
        <f>P62/'Cost + BS Assumptions'!P164*100</f>
        <v>66.454266817228586</v>
      </c>
      <c r="Q63" s="277">
        <f>Q62/'Cost + BS Assumptions'!Q164*100</f>
        <v>60.922134451072061</v>
      </c>
      <c r="R63" s="277">
        <f>R62/'Cost + BS Assumptions'!R164*100</f>
        <v>62.94089225318087</v>
      </c>
      <c r="S63" s="277">
        <f>S62/'Cost + BS Assumptions'!S164*100</f>
        <v>61.660143509458578</v>
      </c>
      <c r="T63" s="277">
        <f>T62/'Cost + BS Assumptions'!T164*100</f>
        <v>60.678577282412718</v>
      </c>
      <c r="U63" s="277">
        <f>U62/'Cost + BS Assumptions'!U164*100</f>
        <v>58.739973262032088</v>
      </c>
      <c r="V63" s="277">
        <f>V62/'Cost + BS Assumptions'!V164*100</f>
        <v>67.222222222222229</v>
      </c>
      <c r="W63" s="277">
        <f>W62/'Cost + BS Assumptions'!W164*100</f>
        <v>50.008417508417516</v>
      </c>
      <c r="X63" s="277">
        <f>X62/'Cost + BS Assumptions'!X164*100</f>
        <v>51.321548821548824</v>
      </c>
      <c r="Y63" s="277">
        <f>Y62/'Cost + BS Assumptions'!Y164*100</f>
        <v>54.652631578947364</v>
      </c>
      <c r="Z63" s="277">
        <f>Z62/'Cost + BS Assumptions'!Z164*100</f>
        <v>61.66737558485751</v>
      </c>
      <c r="AA63" s="277">
        <f>AA62/'Cost + BS Assumptions'!AA164*100</f>
        <v>58.927488521181672</v>
      </c>
      <c r="AB63" s="277">
        <f>AB62/'Cost + BS Assumptions'!AB164*100</f>
        <v>61.067313523347487</v>
      </c>
      <c r="AC63" s="277">
        <f>AC62/'Cost + BS Assumptions'!AC164*100</f>
        <v>63.609518846621505</v>
      </c>
      <c r="AD63" s="277">
        <f>AD62/'Cost + BS Assumptions'!AD164*100</f>
        <v>68.806707768094526</v>
      </c>
      <c r="AE63" s="277">
        <f>AE62/'Cost + BS Assumptions'!AE164*100</f>
        <v>71.451322820824288</v>
      </c>
      <c r="AF63" s="277">
        <f>AF62/'Cost + BS Assumptions'!AF164*100</f>
        <v>73.843513140656299</v>
      </c>
      <c r="AG63" s="277">
        <f>AG62/'Cost + BS Assumptions'!AG164*100</f>
        <v>76.448750880912556</v>
      </c>
      <c r="AH63" s="277">
        <f>AH62/'Cost + BS Assumptions'!AH164*100</f>
        <v>79.315845512278187</v>
      </c>
      <c r="AI63" s="277">
        <f>AI62/'Cost + BS Assumptions'!AI164*100</f>
        <v>82.398425894910602</v>
      </c>
      <c r="AJ63" s="277">
        <f>AJ62/'Cost + BS Assumptions'!AJ164*100</f>
        <v>85.751592971002339</v>
      </c>
      <c r="AK63" s="277">
        <f>AK62/'Cost + BS Assumptions'!AK164*100</f>
        <v>89.403692043366803</v>
      </c>
      <c r="AL63" s="277">
        <f>AL62/'Cost + BS Assumptions'!AL164*100</f>
        <v>93.224820443359619</v>
      </c>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row>
    <row r="64" spans="1:81">
      <c r="A64" s="2"/>
      <c r="B64" s="2" t="s">
        <v>339</v>
      </c>
      <c r="C64" s="42"/>
      <c r="D64" s="111"/>
      <c r="E64" s="111"/>
      <c r="F64" s="111"/>
      <c r="G64" s="111"/>
      <c r="H64" s="111">
        <f t="shared" ref="H64:AC64" si="84">H63/G63-1</f>
        <v>6.6259195526279235E-2</v>
      </c>
      <c r="I64" s="111">
        <f t="shared" si="84"/>
        <v>0.1160942814548882</v>
      </c>
      <c r="J64" s="111">
        <f t="shared" si="84"/>
        <v>-4.6526463158028664E-2</v>
      </c>
      <c r="K64" s="111">
        <f t="shared" si="84"/>
        <v>-2.2563617443950412E-2</v>
      </c>
      <c r="L64" s="111">
        <f t="shared" si="84"/>
        <v>2.5163521349725881E-2</v>
      </c>
      <c r="M64" s="111">
        <f t="shared" si="84"/>
        <v>1.7797979114335005E-2</v>
      </c>
      <c r="N64" s="111">
        <f t="shared" si="84"/>
        <v>0.11087454969421207</v>
      </c>
      <c r="O64" s="111">
        <f t="shared" si="84"/>
        <v>-0.19679766670345678</v>
      </c>
      <c r="P64" s="111">
        <f t="shared" si="84"/>
        <v>0.17464201531894963</v>
      </c>
      <c r="Q64" s="111">
        <f t="shared" si="84"/>
        <v>-8.3247210918325765E-2</v>
      </c>
      <c r="R64" s="111">
        <f t="shared" si="84"/>
        <v>3.3136688664940239E-2</v>
      </c>
      <c r="S64" s="111">
        <f>S63/R63-1</f>
        <v>-2.0348436411903092E-2</v>
      </c>
      <c r="T64" s="111">
        <f>T63/S63-1</f>
        <v>-1.59189740921587E-2</v>
      </c>
      <c r="U64" s="111">
        <f t="shared" si="84"/>
        <v>-3.1948738866402593E-2</v>
      </c>
      <c r="V64" s="111">
        <f t="shared" si="84"/>
        <v>0.14440335071914023</v>
      </c>
      <c r="W64" s="111">
        <f t="shared" si="84"/>
        <v>-0.25607312797395443</v>
      </c>
      <c r="X64" s="111">
        <f t="shared" si="84"/>
        <v>2.6258205689277725E-2</v>
      </c>
      <c r="Y64" s="111">
        <f t="shared" si="84"/>
        <v>6.4906122942257838E-2</v>
      </c>
      <c r="Z64" s="111">
        <f t="shared" si="84"/>
        <v>0.12835144078610639</v>
      </c>
      <c r="AA64" s="111">
        <f t="shared" si="84"/>
        <v>-4.4430090265566879E-2</v>
      </c>
      <c r="AB64" s="111">
        <f t="shared" si="84"/>
        <v>3.6312849162011052E-2</v>
      </c>
      <c r="AC64" s="111">
        <f t="shared" si="84"/>
        <v>4.1629558868707672E-2</v>
      </c>
      <c r="AD64" s="111">
        <f t="shared" ref="AD64:AI64" si="85">AD63/AC63-1</f>
        <v>8.1704578429601771E-2</v>
      </c>
      <c r="AE64" s="111">
        <f t="shared" si="85"/>
        <v>3.8435424953670916E-2</v>
      </c>
      <c r="AF64" s="111">
        <f t="shared" si="85"/>
        <v>3.3480000444929603E-2</v>
      </c>
      <c r="AG64" s="111">
        <f t="shared" si="85"/>
        <v>3.5280522681712556E-2</v>
      </c>
      <c r="AH64" s="111">
        <f t="shared" si="85"/>
        <v>3.7503485646636969E-2</v>
      </c>
      <c r="AI64" s="111">
        <f t="shared" si="85"/>
        <v>3.8864622355380796E-2</v>
      </c>
      <c r="AJ64" s="111">
        <f t="shared" ref="AJ64" si="86">AJ63/AI63-1</f>
        <v>4.0694552592161148E-2</v>
      </c>
      <c r="AK64" s="111">
        <f t="shared" ref="AK64:AL64" si="87">AK63/AJ63-1</f>
        <v>4.2589285467844906E-2</v>
      </c>
      <c r="AL64" s="111">
        <f t="shared" si="87"/>
        <v>4.2740163327251723E-2</v>
      </c>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row>
    <row r="65" spans="1:81">
      <c r="A65" s="2"/>
      <c r="B65" s="2" t="s">
        <v>734</v>
      </c>
      <c r="C65" s="42"/>
      <c r="D65" s="42"/>
      <c r="E65" s="42"/>
      <c r="F65" s="42"/>
      <c r="G65" s="955">
        <f>'P&amp;L'!G189</f>
        <v>9170</v>
      </c>
      <c r="H65" s="955">
        <f>'P&amp;L'!H189</f>
        <v>10175</v>
      </c>
      <c r="I65" s="452">
        <f>'P&amp;L'!I189</f>
        <v>10463.999999999998</v>
      </c>
      <c r="J65" s="452">
        <f>'P&amp;L'!J189</f>
        <v>9575</v>
      </c>
      <c r="K65" s="452">
        <f>'P&amp;L'!K189</f>
        <v>9860.9999999999982</v>
      </c>
      <c r="L65" s="452">
        <f>'P&amp;L'!L189</f>
        <v>10416</v>
      </c>
      <c r="M65" s="452">
        <f>'P&amp;L'!M189</f>
        <v>10948</v>
      </c>
      <c r="N65" s="452">
        <f>'P&amp;L'!N189</f>
        <v>10847</v>
      </c>
      <c r="O65" s="452">
        <f>'P&amp;L'!O189</f>
        <v>10151</v>
      </c>
      <c r="P65" s="452">
        <f>'P&amp;L'!P189</f>
        <v>10320.817287899999</v>
      </c>
      <c r="Q65" s="451">
        <f>'P&amp;L'!Q189</f>
        <v>10735.105465133809</v>
      </c>
      <c r="R65" s="451">
        <f>'P&amp;L'!R189</f>
        <v>11135</v>
      </c>
      <c r="S65" s="451">
        <f>'P&amp;L'!S189</f>
        <v>10533</v>
      </c>
      <c r="T65" s="451">
        <f>'P&amp;L'!T189</f>
        <v>10458.8976</v>
      </c>
      <c r="U65" s="451">
        <f>'P&amp;L'!U189</f>
        <v>10234.637000000001</v>
      </c>
      <c r="V65" s="451">
        <f>'P&amp;L'!V189</f>
        <v>10568</v>
      </c>
      <c r="W65" s="451">
        <f>'P&amp;L'!W51</f>
        <v>8434</v>
      </c>
      <c r="X65" s="451">
        <f>'P&amp;L'!X51</f>
        <v>8411</v>
      </c>
      <c r="Y65" s="451">
        <f>'P&amp;L'!Y51</f>
        <v>7444</v>
      </c>
      <c r="Z65" s="451">
        <f>'P&amp;L'!Z51</f>
        <v>7256</v>
      </c>
      <c r="AA65" s="451">
        <f>'P&amp;L'!AA51</f>
        <v>7862</v>
      </c>
      <c r="AB65" s="451">
        <f>'P&amp;L'!AB51</f>
        <v>7528</v>
      </c>
      <c r="AC65" s="451">
        <f>'P&amp;L'!AC51</f>
        <v>8608</v>
      </c>
      <c r="AD65" s="451">
        <f>'P&amp;L'!AD51</f>
        <v>8962.3524705260606</v>
      </c>
      <c r="AE65" s="451">
        <f>'P&amp;L'!AE51</f>
        <v>9249.6083445247623</v>
      </c>
      <c r="AF65" s="451">
        <f>'P&amp;L'!AF51</f>
        <v>9558.7296004252148</v>
      </c>
      <c r="AG65" s="451">
        <f>'P&amp;L'!AG51</f>
        <v>9893.4459477406508</v>
      </c>
      <c r="AH65" s="451">
        <f>'P&amp;L'!AH51</f>
        <v>10255.7176868312</v>
      </c>
      <c r="AI65" s="451">
        <f>'P&amp;L'!AI51</f>
        <v>10647.910275334412</v>
      </c>
      <c r="AJ65" s="451">
        <f>'P&amp;L'!AJ51</f>
        <v>11072.839031796419</v>
      </c>
      <c r="AK65" s="451">
        <f>'P&amp;L'!AK51</f>
        <v>11533.828714237639</v>
      </c>
      <c r="AL65" s="451">
        <f>'P&amp;L'!AL51</f>
        <v>12021.018876549937</v>
      </c>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row>
    <row r="66" spans="1:81">
      <c r="A66" s="2"/>
      <c r="B66" s="2" t="s">
        <v>55</v>
      </c>
      <c r="C66" s="42"/>
      <c r="D66" s="42"/>
      <c r="E66" s="42"/>
      <c r="F66" s="42"/>
      <c r="G66" s="7">
        <f t="shared" ref="G66:AI66" si="88">(G11/G65)</f>
        <v>1.1549618320610686</v>
      </c>
      <c r="H66" s="7">
        <f t="shared" si="88"/>
        <v>1.0946437346437345</v>
      </c>
      <c r="I66" s="7">
        <f t="shared" si="88"/>
        <v>1.0204510703363916</v>
      </c>
      <c r="J66" s="7">
        <f t="shared" si="88"/>
        <v>1.090757180156658</v>
      </c>
      <c r="K66" s="7">
        <f t="shared" si="88"/>
        <v>1.0280904573572662</v>
      </c>
      <c r="L66" s="7">
        <f t="shared" si="88"/>
        <v>0.99606374807987708</v>
      </c>
      <c r="M66" s="7">
        <f t="shared" si="88"/>
        <v>0.97232371209353308</v>
      </c>
      <c r="N66" s="7">
        <f t="shared" si="88"/>
        <v>1.0058080575274269</v>
      </c>
      <c r="O66" s="7">
        <f t="shared" si="88"/>
        <v>0.93872524874396612</v>
      </c>
      <c r="P66" s="7">
        <f t="shared" si="88"/>
        <v>1.0535018396990103</v>
      </c>
      <c r="Q66" s="246">
        <f t="shared" si="88"/>
        <v>0.91838874168686258</v>
      </c>
      <c r="R66" s="246">
        <f t="shared" si="88"/>
        <v>0.93282442748091599</v>
      </c>
      <c r="S66" s="246">
        <f t="shared" si="88"/>
        <v>0.95566315389727519</v>
      </c>
      <c r="T66" s="246">
        <f t="shared" si="88"/>
        <v>0.95545442571308847</v>
      </c>
      <c r="U66" s="246">
        <f t="shared" si="88"/>
        <v>0.9077996610920348</v>
      </c>
      <c r="V66" s="246">
        <f t="shared" si="88"/>
        <v>0.94180545041635122</v>
      </c>
      <c r="W66" s="246">
        <f t="shared" si="88"/>
        <v>0.8872421152478065</v>
      </c>
      <c r="X66" s="246">
        <f t="shared" si="88"/>
        <v>0.90488645820948754</v>
      </c>
      <c r="Y66" s="246">
        <f t="shared" si="88"/>
        <v>1.0513164965072541</v>
      </c>
      <c r="Z66" s="246">
        <f t="shared" si="88"/>
        <v>1.0872381477398017</v>
      </c>
      <c r="AA66" s="246">
        <f t="shared" si="88"/>
        <v>0.9610786059526838</v>
      </c>
      <c r="AB66" s="246">
        <f t="shared" ref="AB66:AC66" si="89">(AB11/AB65)</f>
        <v>1.0374601487778958</v>
      </c>
      <c r="AC66" s="246">
        <f t="shared" si="89"/>
        <v>0.94179832713754652</v>
      </c>
      <c r="AD66" s="246">
        <f t="shared" si="88"/>
        <v>0</v>
      </c>
      <c r="AE66" s="246">
        <f t="shared" si="88"/>
        <v>0</v>
      </c>
      <c r="AF66" s="246">
        <f t="shared" si="88"/>
        <v>0</v>
      </c>
      <c r="AG66" s="246">
        <f t="shared" si="88"/>
        <v>0</v>
      </c>
      <c r="AH66" s="246">
        <f t="shared" si="88"/>
        <v>0</v>
      </c>
      <c r="AI66" s="246">
        <f t="shared" si="88"/>
        <v>0</v>
      </c>
      <c r="AJ66" s="246">
        <f t="shared" ref="AJ66:AK66" si="90">(AJ11/AJ65)</f>
        <v>0</v>
      </c>
      <c r="AK66" s="246">
        <f t="shared" si="90"/>
        <v>0</v>
      </c>
      <c r="AL66" s="246">
        <f t="shared" ref="AL66" si="91">(AL11/AL65)</f>
        <v>0</v>
      </c>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row>
  </sheetData>
  <dataConsolidate/>
  <phoneticPr fontId="10" type="noConversion"/>
  <printOptions horizontalCentered="1" verticalCentered="1"/>
  <pageMargins left="0" right="0" top="0" bottom="0" header="0" footer="0"/>
  <pageSetup paperSize="5" scale="83" orientation="landscape" r:id="rId1"/>
  <headerFooter alignWithMargins="0"/>
  <ignoredErrors>
    <ignoredError sqref="AA53:AB53" formulaRange="1"/>
  </ignoredError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1">
    <outlinePr summaryBelow="0" summaryRight="0"/>
    <pageSetUpPr autoPageBreaks="0" fitToPage="1"/>
  </sheetPr>
  <dimension ref="A1:BA92"/>
  <sheetViews>
    <sheetView showGridLines="0" zoomScale="80" zoomScaleNormal="80" workbookViewId="0">
      <pane xSplit="3" ySplit="6" topLeftCell="W22" activePane="bottomRight" state="frozen"/>
      <selection activeCell="D7" sqref="D7"/>
      <selection pane="topRight" activeCell="D7" sqref="D7"/>
      <selection pane="bottomLeft" activeCell="D7" sqref="D7"/>
      <selection pane="bottomRight" activeCell="B4" sqref="B4:AH60"/>
    </sheetView>
  </sheetViews>
  <sheetFormatPr defaultColWidth="9.6640625" defaultRowHeight="13.8" outlineLevelRow="1" outlineLevelCol="1"/>
  <cols>
    <col min="1" max="1" width="2.6640625" customWidth="1"/>
    <col min="2" max="2" width="50.6640625" customWidth="1"/>
    <col min="3" max="3" width="9.6640625" customWidth="1" collapsed="1"/>
    <col min="4" max="8" width="9.6640625" hidden="1" customWidth="1" outlineLevel="1"/>
    <col min="9" max="9" width="9.6640625" hidden="1" customWidth="1" outlineLevel="1" collapsed="1"/>
    <col min="10" max="12" width="9.6640625" hidden="1" customWidth="1" outlineLevel="1"/>
    <col min="13" max="13" width="9.6640625" hidden="1" customWidth="1" outlineLevel="1" collapsed="1"/>
    <col min="14" max="18" width="9.6640625" hidden="1" customWidth="1" outlineLevel="1"/>
    <col min="19" max="22" width="0" hidden="1" customWidth="1" outlineLevel="1"/>
    <col min="27" max="38" width="9.6640625" customWidth="1"/>
  </cols>
  <sheetData>
    <row r="1" spans="1:53">
      <c r="A1" s="472"/>
      <c r="B1" s="469"/>
      <c r="C1" s="485"/>
      <c r="D1" s="472"/>
      <c r="E1" s="477"/>
      <c r="F1" s="478"/>
      <c r="G1" s="469"/>
      <c r="H1" s="469"/>
      <c r="I1" s="469"/>
      <c r="J1" s="469"/>
      <c r="K1" s="472"/>
      <c r="L1" s="479"/>
      <c r="M1" s="469"/>
      <c r="N1" s="479"/>
      <c r="O1" s="479"/>
      <c r="P1" s="479"/>
      <c r="Q1" s="479"/>
      <c r="R1" s="479"/>
      <c r="S1" s="479"/>
      <c r="T1" s="479"/>
      <c r="U1" s="479"/>
      <c r="V1" s="479"/>
      <c r="W1" s="479"/>
      <c r="X1" s="479"/>
      <c r="Y1" s="479"/>
      <c r="Z1" s="479"/>
      <c r="AA1" s="479"/>
      <c r="AB1" s="479"/>
      <c r="AC1" s="479"/>
      <c r="AD1" s="479"/>
      <c r="AE1" s="479"/>
      <c r="AF1" s="479"/>
      <c r="AG1" s="479"/>
      <c r="AH1" s="479"/>
      <c r="AI1" s="479"/>
      <c r="AJ1" s="479"/>
      <c r="AK1" s="479"/>
      <c r="AL1" s="479"/>
      <c r="AM1" s="479"/>
      <c r="AN1" s="479"/>
      <c r="AO1" s="479"/>
      <c r="AP1" s="479"/>
      <c r="AQ1" s="479"/>
      <c r="AR1" s="479"/>
      <c r="AS1" s="479"/>
      <c r="AT1" s="479"/>
      <c r="AU1" s="479"/>
      <c r="AV1" s="479"/>
      <c r="AW1" s="479"/>
      <c r="AX1" s="479"/>
      <c r="AY1" s="479"/>
      <c r="AZ1" s="479"/>
      <c r="BA1" s="479"/>
    </row>
    <row r="2" spans="1:53" ht="23.4">
      <c r="A2" s="472"/>
      <c r="B2" s="475" t="s">
        <v>1368</v>
      </c>
      <c r="C2" s="472"/>
      <c r="D2" s="476"/>
      <c r="E2" s="476"/>
      <c r="F2" s="476"/>
      <c r="G2" s="476"/>
      <c r="H2" s="476"/>
      <c r="I2" s="476"/>
      <c r="J2" s="476"/>
      <c r="K2" s="476"/>
      <c r="L2" s="472"/>
      <c r="M2" s="477"/>
      <c r="N2" s="478"/>
      <c r="O2" s="469"/>
      <c r="P2" s="472"/>
      <c r="Q2" s="472"/>
      <c r="R2" s="472"/>
      <c r="S2" s="472"/>
      <c r="T2" s="472"/>
      <c r="U2" s="472"/>
      <c r="V2" s="472"/>
      <c r="W2" s="472"/>
      <c r="X2" s="472"/>
      <c r="Y2" s="472"/>
      <c r="Z2" s="472"/>
      <c r="AA2" s="1161"/>
      <c r="AB2" s="1161"/>
      <c r="AC2" s="1161"/>
      <c r="AD2" s="1161"/>
      <c r="AE2" s="1161"/>
      <c r="AF2" s="1161"/>
      <c r="AG2" s="1161"/>
      <c r="AH2" s="1161"/>
      <c r="AI2" s="1161"/>
      <c r="AJ2" s="1161"/>
      <c r="AK2" s="1161"/>
      <c r="AL2" s="1161"/>
      <c r="AM2" s="479"/>
      <c r="AN2" s="479"/>
      <c r="AO2" s="479"/>
      <c r="AP2" s="479"/>
      <c r="AQ2" s="479"/>
      <c r="AR2" s="479"/>
      <c r="AS2" s="479"/>
      <c r="AT2" s="479"/>
      <c r="AU2" s="479"/>
      <c r="AV2" s="479"/>
      <c r="AW2" s="479"/>
      <c r="AX2" s="479"/>
      <c r="AY2" s="479"/>
      <c r="AZ2" s="479"/>
      <c r="BA2" s="479"/>
    </row>
    <row r="3" spans="1:53" ht="18">
      <c r="A3" s="472"/>
      <c r="B3" s="480" t="str">
        <f ca="1">MID(CELL("filename",A1),FIND("]",CELL("filename",A1))+1,255)</f>
        <v>Balance Sheet</v>
      </c>
      <c r="C3" s="490"/>
      <c r="D3" s="476"/>
      <c r="E3" s="476"/>
      <c r="F3" s="476"/>
      <c r="G3" s="476"/>
      <c r="H3" s="476"/>
      <c r="I3" s="476"/>
      <c r="J3" s="476"/>
      <c r="K3" s="476"/>
      <c r="L3" s="481"/>
      <c r="M3" s="469"/>
      <c r="N3" s="469"/>
      <c r="O3" s="469"/>
      <c r="P3" s="472"/>
      <c r="Q3" s="472"/>
      <c r="R3" s="472"/>
      <c r="S3" s="472"/>
      <c r="T3" s="472"/>
      <c r="U3" s="472"/>
      <c r="V3" s="472"/>
      <c r="W3" s="472"/>
      <c r="X3" s="472"/>
      <c r="Y3" s="472"/>
      <c r="Z3" s="472"/>
      <c r="AA3" s="472"/>
      <c r="AB3" s="472"/>
      <c r="AC3" s="472"/>
      <c r="AD3" s="472"/>
      <c r="AE3" s="472"/>
      <c r="AF3" s="472"/>
      <c r="AG3" s="472"/>
      <c r="AH3" s="472"/>
      <c r="AI3" s="472"/>
      <c r="AJ3" s="472"/>
      <c r="AK3" s="472"/>
      <c r="AL3" s="472"/>
      <c r="AM3" s="472"/>
      <c r="AN3" s="472"/>
      <c r="AO3" s="472"/>
      <c r="AP3" s="472"/>
      <c r="AQ3" s="472"/>
      <c r="AR3" s="472"/>
      <c r="AS3" s="472"/>
      <c r="AT3" s="472"/>
      <c r="AU3" s="472"/>
      <c r="AV3" s="472"/>
      <c r="AW3" s="472"/>
      <c r="AX3" s="472"/>
      <c r="AY3" s="472"/>
      <c r="AZ3" s="472"/>
      <c r="BA3" s="472"/>
    </row>
    <row r="4" spans="1:53" ht="14.4">
      <c r="A4" s="469"/>
      <c r="B4" s="489"/>
      <c r="C4" s="485"/>
      <c r="D4" s="488">
        <v>36707</v>
      </c>
      <c r="E4" s="488">
        <f>+EOMONTH(D4, 12)</f>
        <v>37072</v>
      </c>
      <c r="F4" s="488">
        <f t="shared" ref="F4:AI4" si="0">+EOMONTH(E4, 12)</f>
        <v>37437</v>
      </c>
      <c r="G4" s="488">
        <f t="shared" si="0"/>
        <v>37802</v>
      </c>
      <c r="H4" s="488">
        <f t="shared" si="0"/>
        <v>38168</v>
      </c>
      <c r="I4" s="488">
        <f t="shared" si="0"/>
        <v>38533</v>
      </c>
      <c r="J4" s="488">
        <f t="shared" si="0"/>
        <v>38898</v>
      </c>
      <c r="K4" s="488">
        <f t="shared" si="0"/>
        <v>39263</v>
      </c>
      <c r="L4" s="488">
        <f t="shared" si="0"/>
        <v>39629</v>
      </c>
      <c r="M4" s="488">
        <f t="shared" si="0"/>
        <v>39994</v>
      </c>
      <c r="N4" s="488">
        <f t="shared" si="0"/>
        <v>40359</v>
      </c>
      <c r="O4" s="488">
        <f t="shared" si="0"/>
        <v>40724</v>
      </c>
      <c r="P4" s="488">
        <f t="shared" si="0"/>
        <v>41090</v>
      </c>
      <c r="Q4" s="488">
        <f t="shared" si="0"/>
        <v>41455</v>
      </c>
      <c r="R4" s="488">
        <f t="shared" si="0"/>
        <v>41820</v>
      </c>
      <c r="S4" s="488">
        <f t="shared" si="0"/>
        <v>42185</v>
      </c>
      <c r="T4" s="488">
        <f t="shared" si="0"/>
        <v>42551</v>
      </c>
      <c r="U4" s="488">
        <f t="shared" si="0"/>
        <v>42916</v>
      </c>
      <c r="V4" s="488">
        <f t="shared" si="0"/>
        <v>43281</v>
      </c>
      <c r="W4" s="488">
        <f t="shared" si="0"/>
        <v>43646</v>
      </c>
      <c r="X4" s="488">
        <f t="shared" si="0"/>
        <v>44012</v>
      </c>
      <c r="Y4" s="488">
        <f t="shared" si="0"/>
        <v>44377</v>
      </c>
      <c r="Z4" s="488">
        <f>+EOMONTH(Y4, 12)</f>
        <v>44742</v>
      </c>
      <c r="AA4" s="488">
        <f>+EOMONTH(Z4, 12)</f>
        <v>45107</v>
      </c>
      <c r="AB4" s="488">
        <f>+EOMONTH(AA4, 12)</f>
        <v>45473</v>
      </c>
      <c r="AC4" s="488">
        <f t="shared" si="0"/>
        <v>45838</v>
      </c>
      <c r="AD4" s="488">
        <f t="shared" si="0"/>
        <v>46203</v>
      </c>
      <c r="AE4" s="488">
        <f t="shared" si="0"/>
        <v>46568</v>
      </c>
      <c r="AF4" s="488">
        <f t="shared" si="0"/>
        <v>46934</v>
      </c>
      <c r="AG4" s="488">
        <f t="shared" si="0"/>
        <v>47299</v>
      </c>
      <c r="AH4" s="488">
        <f t="shared" si="0"/>
        <v>47664</v>
      </c>
      <c r="AI4" s="488">
        <f t="shared" si="0"/>
        <v>48029</v>
      </c>
      <c r="AJ4" s="488">
        <f t="shared" ref="AJ4" si="1">+EOMONTH(AI4, 12)</f>
        <v>48395</v>
      </c>
      <c r="AK4" s="488">
        <f t="shared" ref="AK4:AL4" si="2">+EOMONTH(AJ4, 12)</f>
        <v>48760</v>
      </c>
      <c r="AL4" s="488">
        <f t="shared" si="2"/>
        <v>49125</v>
      </c>
      <c r="AM4" s="488"/>
      <c r="AN4" s="488"/>
      <c r="AO4" s="488"/>
      <c r="AP4" s="488"/>
      <c r="AQ4" s="488"/>
      <c r="AR4" s="488"/>
      <c r="AS4" s="488"/>
      <c r="AT4" s="488"/>
      <c r="AU4" s="488"/>
      <c r="AV4" s="488"/>
      <c r="AW4" s="488"/>
      <c r="AX4" s="488"/>
      <c r="AY4" s="488"/>
      <c r="AZ4" s="488"/>
      <c r="BA4" s="488"/>
    </row>
    <row r="5" spans="1:53">
      <c r="A5" s="472"/>
      <c r="B5" s="469" t="s">
        <v>1367</v>
      </c>
      <c r="C5" s="485" t="s">
        <v>184</v>
      </c>
      <c r="D5" s="491">
        <f>'Revenue Assumptions'!K5</f>
        <v>0</v>
      </c>
      <c r="E5" s="492">
        <f>'Revenue Assumptions'!L5</f>
        <v>1</v>
      </c>
      <c r="F5" s="492">
        <f>'Revenue Assumptions'!M5</f>
        <v>2</v>
      </c>
      <c r="G5" s="492">
        <f>'Revenue Assumptions'!N5</f>
        <v>3</v>
      </c>
      <c r="H5" s="492">
        <f>'Revenue Assumptions'!O5</f>
        <v>4</v>
      </c>
      <c r="I5" s="492">
        <f>'Revenue Assumptions'!P5</f>
        <v>5</v>
      </c>
      <c r="J5" s="492">
        <f>'Revenue Assumptions'!Q5</f>
        <v>6</v>
      </c>
      <c r="K5" s="492">
        <f>'Revenue Assumptions'!R5</f>
        <v>7</v>
      </c>
      <c r="L5" s="492">
        <f>'Revenue Assumptions'!S5</f>
        <v>8</v>
      </c>
      <c r="M5" s="492">
        <f>'Revenue Assumptions'!T5</f>
        <v>9</v>
      </c>
      <c r="N5" s="470">
        <f>'Revenue Assumptions'!U5</f>
        <v>10</v>
      </c>
      <c r="O5" s="470">
        <f>'Revenue Assumptions'!V5</f>
        <v>11</v>
      </c>
      <c r="P5" s="470">
        <f>'Revenue Assumptions'!W5</f>
        <v>12</v>
      </c>
      <c r="Q5" s="470">
        <f>'Revenue Assumptions'!X5</f>
        <v>13</v>
      </c>
      <c r="R5" s="470">
        <f>'Revenue Assumptions'!Y5</f>
        <v>14</v>
      </c>
      <c r="S5" s="470">
        <f>'Revenue Assumptions'!Z5</f>
        <v>15</v>
      </c>
      <c r="T5" s="470">
        <f>'Revenue Assumptions'!AA5</f>
        <v>16</v>
      </c>
      <c r="U5" s="470">
        <f>'Revenue Assumptions'!AB5</f>
        <v>17</v>
      </c>
      <c r="V5" s="470">
        <f>'Revenue Assumptions'!AC5</f>
        <v>18</v>
      </c>
      <c r="W5" s="470">
        <f>'Revenue Assumptions'!AD5</f>
        <v>19</v>
      </c>
      <c r="X5" s="470">
        <f>'Revenue Assumptions'!AE5</f>
        <v>20</v>
      </c>
      <c r="Y5" s="470">
        <f>'Revenue Assumptions'!AF5</f>
        <v>21</v>
      </c>
      <c r="Z5" s="470">
        <f>'Revenue Assumptions'!AG5</f>
        <v>22</v>
      </c>
      <c r="AA5" s="470">
        <f>'Revenue Assumptions'!AH5</f>
        <v>23</v>
      </c>
      <c r="AB5" s="470">
        <f>'Revenue Assumptions'!AI5</f>
        <v>24</v>
      </c>
      <c r="AC5" s="470">
        <f>'Revenue Assumptions'!AJ5</f>
        <v>25</v>
      </c>
      <c r="AD5" s="471">
        <f>'Revenue Assumptions'!AK5</f>
        <v>26</v>
      </c>
      <c r="AE5" s="471">
        <f>'Revenue Assumptions'!AL5</f>
        <v>27</v>
      </c>
      <c r="AF5" s="471">
        <f>'Revenue Assumptions'!AM5</f>
        <v>28</v>
      </c>
      <c r="AG5" s="471">
        <f>'Revenue Assumptions'!AN5</f>
        <v>29</v>
      </c>
      <c r="AH5" s="471">
        <f>'Revenue Assumptions'!AO5</f>
        <v>30</v>
      </c>
      <c r="AI5" s="471">
        <f>'Revenue Assumptions'!AP5</f>
        <v>31</v>
      </c>
      <c r="AJ5" s="471">
        <f>'Revenue Assumptions'!AQ5</f>
        <v>32</v>
      </c>
      <c r="AK5" s="471">
        <f>'Revenue Assumptions'!AR5</f>
        <v>33</v>
      </c>
      <c r="AL5" s="471">
        <f>'Revenue Assumptions'!AS5</f>
        <v>34</v>
      </c>
      <c r="AM5" s="471"/>
      <c r="AN5" s="471"/>
      <c r="AO5" s="471"/>
      <c r="AP5" s="471"/>
      <c r="AQ5" s="471"/>
      <c r="AR5" s="471"/>
      <c r="AS5" s="471"/>
      <c r="AT5" s="471"/>
      <c r="AU5" s="471"/>
      <c r="AV5" s="471"/>
      <c r="AW5" s="471"/>
      <c r="AX5" s="471"/>
      <c r="AY5" s="471"/>
      <c r="AZ5" s="471"/>
      <c r="BA5" s="471"/>
    </row>
    <row r="6" spans="1:53">
      <c r="A6" s="472"/>
      <c r="B6" s="472"/>
      <c r="C6" s="472"/>
      <c r="D6" s="472"/>
      <c r="E6" s="472"/>
      <c r="F6" s="472"/>
      <c r="G6" s="472"/>
      <c r="H6" s="472"/>
      <c r="I6" s="472"/>
      <c r="J6" s="472"/>
      <c r="K6" s="472"/>
      <c r="L6" s="472"/>
      <c r="M6" s="472"/>
      <c r="N6" s="472"/>
      <c r="O6" s="472"/>
      <c r="P6" s="472"/>
      <c r="Q6" s="472"/>
      <c r="R6" s="472"/>
      <c r="S6" s="472"/>
      <c r="T6" s="472"/>
      <c r="U6" s="472"/>
      <c r="V6" s="472"/>
      <c r="W6" s="472"/>
      <c r="X6" s="472"/>
      <c r="Y6" s="472"/>
      <c r="Z6" s="472"/>
      <c r="AA6" s="472"/>
      <c r="AB6" s="472"/>
      <c r="AC6" s="472"/>
      <c r="AD6" s="472"/>
      <c r="AE6" s="472"/>
      <c r="AF6" s="472"/>
      <c r="AG6" s="472"/>
      <c r="AH6" s="472"/>
      <c r="AI6" s="472"/>
      <c r="AJ6" s="472"/>
      <c r="AK6" s="472"/>
      <c r="AL6" s="472"/>
      <c r="AM6" s="472"/>
      <c r="AN6" s="472"/>
      <c r="AO6" s="472"/>
      <c r="AP6" s="472"/>
      <c r="AQ6" s="472"/>
      <c r="AR6" s="472"/>
      <c r="AS6" s="472"/>
      <c r="AT6" s="472"/>
      <c r="AU6" s="472"/>
      <c r="AV6" s="472"/>
      <c r="AW6" s="472"/>
      <c r="AX6" s="472"/>
      <c r="AY6" s="472"/>
      <c r="AZ6" s="472"/>
      <c r="BA6" s="472"/>
    </row>
    <row r="7" spans="1:53">
      <c r="A7" s="6"/>
      <c r="B7" s="6"/>
      <c r="C7" s="21"/>
      <c r="D7" s="30"/>
      <c r="E7" s="30"/>
      <c r="F7" s="30"/>
      <c r="G7" s="30"/>
      <c r="H7" s="30"/>
      <c r="I7" s="30"/>
      <c r="J7" s="30"/>
      <c r="K7" s="30"/>
      <c r="L7" s="30"/>
      <c r="M7" s="43"/>
      <c r="N7" s="30"/>
      <c r="O7" s="30"/>
      <c r="P7" s="30"/>
      <c r="Q7" s="34"/>
      <c r="R7" s="34"/>
      <c r="S7" s="34"/>
      <c r="T7" s="34"/>
      <c r="U7" s="34"/>
      <c r="V7" s="34"/>
      <c r="W7" s="34"/>
      <c r="X7" s="34"/>
      <c r="Y7" s="34"/>
      <c r="Z7" s="34"/>
      <c r="AA7" s="34"/>
      <c r="AB7" s="34"/>
      <c r="AC7" s="6"/>
      <c r="AD7" s="6"/>
      <c r="AE7" s="6"/>
      <c r="AF7" s="6"/>
      <c r="AG7" s="6"/>
      <c r="AH7" s="6"/>
      <c r="AI7" s="6"/>
      <c r="AJ7" s="6"/>
      <c r="AK7" s="6"/>
      <c r="AL7" s="6"/>
    </row>
    <row r="8" spans="1:53">
      <c r="A8" s="2"/>
      <c r="B8" s="6" t="s">
        <v>29</v>
      </c>
      <c r="C8" s="18"/>
      <c r="D8" s="31"/>
      <c r="E8" s="42"/>
      <c r="F8" s="42"/>
      <c r="G8" s="42"/>
      <c r="H8" s="42"/>
      <c r="I8" s="42"/>
      <c r="J8" s="42"/>
      <c r="K8" s="42"/>
      <c r="L8" s="42"/>
      <c r="M8" s="42"/>
      <c r="N8" s="42"/>
      <c r="O8" s="42"/>
      <c r="P8" s="42"/>
      <c r="Q8" s="42"/>
      <c r="R8" s="42"/>
      <c r="S8" s="42"/>
      <c r="T8" s="42"/>
      <c r="U8" s="42"/>
      <c r="V8" s="42"/>
      <c r="W8" s="42"/>
      <c r="X8" s="42"/>
      <c r="Y8" s="42"/>
      <c r="Z8" s="42"/>
      <c r="AA8" s="42"/>
      <c r="AB8" s="42"/>
      <c r="AC8" s="2"/>
      <c r="AD8" s="2"/>
      <c r="AE8" s="2"/>
      <c r="AF8" s="2"/>
      <c r="AG8" s="2"/>
      <c r="AH8" s="2"/>
      <c r="AI8" s="2"/>
      <c r="AJ8" s="2"/>
      <c r="AK8" s="2"/>
      <c r="AL8" s="2"/>
    </row>
    <row r="9" spans="1:53">
      <c r="A9" s="2"/>
      <c r="B9" s="645" t="s">
        <v>273</v>
      </c>
      <c r="C9" s="630" t="s">
        <v>732</v>
      </c>
      <c r="D9" s="685">
        <v>751</v>
      </c>
      <c r="E9" s="685">
        <v>1077</v>
      </c>
      <c r="F9" s="685">
        <v>1070</v>
      </c>
      <c r="G9" s="685">
        <v>1300</v>
      </c>
      <c r="H9" s="685">
        <v>687</v>
      </c>
      <c r="I9" s="685">
        <v>1548</v>
      </c>
      <c r="J9" s="685">
        <v>689</v>
      </c>
      <c r="K9" s="685">
        <v>823</v>
      </c>
      <c r="L9" s="685">
        <v>899</v>
      </c>
      <c r="M9" s="685">
        <v>1381</v>
      </c>
      <c r="N9" s="685">
        <v>1936</v>
      </c>
      <c r="O9" s="685">
        <v>2630</v>
      </c>
      <c r="P9" s="686">
        <f>'Cash Flow Statement'!P58</f>
        <v>3945</v>
      </c>
      <c r="Q9" s="686">
        <f>'Cash Flow Statement'!Q58</f>
        <v>2479</v>
      </c>
      <c r="R9" s="686">
        <f>'Cash Flow Statement'!R58</f>
        <v>5527</v>
      </c>
      <c r="S9" s="1102">
        <f>'Cash Flow Statement'!S58</f>
        <v>1396</v>
      </c>
      <c r="T9" s="1103">
        <f>3483.291403675+66.7</f>
        <v>3549.9914036749997</v>
      </c>
      <c r="U9" s="1103">
        <v>938</v>
      </c>
      <c r="V9" s="1103">
        <v>629</v>
      </c>
      <c r="W9" s="1103">
        <v>604</v>
      </c>
      <c r="X9" s="1103">
        <v>499</v>
      </c>
      <c r="Y9" s="1103">
        <v>1125</v>
      </c>
      <c r="Z9" s="1103">
        <v>1040</v>
      </c>
      <c r="AA9" s="1103">
        <v>932</v>
      </c>
      <c r="AB9" s="1103">
        <v>1046</v>
      </c>
      <c r="AC9" s="1103">
        <v>1012</v>
      </c>
      <c r="AD9" s="1102">
        <f>'Cash Flow Statement'!AD58</f>
        <v>632.96558696242846</v>
      </c>
      <c r="AE9" s="1102">
        <f>'Cash Flow Statement'!AE58</f>
        <v>883.79089773726491</v>
      </c>
      <c r="AF9" s="1102">
        <f>'Cash Flow Statement'!AF58</f>
        <v>1395.5879761601977</v>
      </c>
      <c r="AG9" s="1102">
        <f>'Cash Flow Statement'!AG58</f>
        <v>1925.7479598463228</v>
      </c>
      <c r="AH9" s="1102">
        <f>'Cash Flow Statement'!AH58</f>
        <v>2486.3548118746708</v>
      </c>
      <c r="AI9" s="1102">
        <f>'Cash Flow Statement'!AI58</f>
        <v>3083.0552838453564</v>
      </c>
      <c r="AJ9" s="1102">
        <f>'Cash Flow Statement'!AJ58</f>
        <v>4028.2616670214197</v>
      </c>
      <c r="AK9" s="1102">
        <f>'Cash Flow Statement'!AK58</f>
        <v>5361.4409882418731</v>
      </c>
      <c r="AL9" s="1102">
        <f>'Cash Flow Statement'!AL58</f>
        <v>6962.6799834228332</v>
      </c>
    </row>
    <row r="10" spans="1:53">
      <c r="A10" s="2"/>
      <c r="B10" s="36" t="s">
        <v>506</v>
      </c>
      <c r="C10" s="18" t="s">
        <v>732</v>
      </c>
      <c r="D10" s="618">
        <v>3587</v>
      </c>
      <c r="E10" s="618">
        <v>4307</v>
      </c>
      <c r="F10" s="618">
        <v>4063</v>
      </c>
      <c r="G10" s="618">
        <v>3619</v>
      </c>
      <c r="H10" s="618">
        <v>3608</v>
      </c>
      <c r="I10" s="618">
        <v>3549</v>
      </c>
      <c r="J10" s="618">
        <v>3721</v>
      </c>
      <c r="K10" s="618">
        <v>3853</v>
      </c>
      <c r="L10" s="618">
        <v>3952</v>
      </c>
      <c r="M10" s="618">
        <v>4039</v>
      </c>
      <c r="N10" s="618">
        <v>3981</v>
      </c>
      <c r="O10" s="618">
        <v>4137</v>
      </c>
      <c r="P10" s="549">
        <v>4346</v>
      </c>
      <c r="Q10" s="549">
        <v>4557</v>
      </c>
      <c r="R10" s="549">
        <v>4172</v>
      </c>
      <c r="S10" s="1104">
        <v>4721</v>
      </c>
      <c r="T10" s="1104">
        <v>4737</v>
      </c>
      <c r="U10" s="1104">
        <v>5468</v>
      </c>
      <c r="V10" s="1104">
        <v>5500</v>
      </c>
      <c r="W10" s="1104">
        <v>5392</v>
      </c>
      <c r="X10" s="1104">
        <v>5121</v>
      </c>
      <c r="Y10" s="1104">
        <v>4577</v>
      </c>
      <c r="Z10" s="1104">
        <v>4074</v>
      </c>
      <c r="AA10" s="1104">
        <v>4216</v>
      </c>
      <c r="AB10" s="1104">
        <v>3828</v>
      </c>
      <c r="AC10" s="1104">
        <v>3677</v>
      </c>
      <c r="AD10" s="467">
        <f>'Cost + BS Assumptions'!AD172*'P&amp;L'!AD21/365</f>
        <v>3962.8035804182946</v>
      </c>
      <c r="AE10" s="467">
        <f>'Cost + BS Assumptions'!AE172*'P&amp;L'!AE21/365</f>
        <v>4001.5834779268821</v>
      </c>
      <c r="AF10" s="467">
        <f>'Cost + BS Assumptions'!AF172*'P&amp;L'!AF21/365</f>
        <v>4052.8672117711671</v>
      </c>
      <c r="AG10" s="467">
        <f>'Cost + BS Assumptions'!AG172*'P&amp;L'!AG21/365</f>
        <v>4117.3716800988068</v>
      </c>
      <c r="AH10" s="467">
        <f>'Cost + BS Assumptions'!AH172*'P&amp;L'!AH21/365</f>
        <v>4194.9691370927649</v>
      </c>
      <c r="AI10" s="467">
        <f>'Cost + BS Assumptions'!AI172*'P&amp;L'!AI21/365</f>
        <v>4285.9488973566795</v>
      </c>
      <c r="AJ10" s="467">
        <f>'Cost + BS Assumptions'!AJ172*'P&amp;L'!AJ21/365</f>
        <v>4391.0043996083714</v>
      </c>
      <c r="AK10" s="467">
        <f>'Cost + BS Assumptions'!AK172*'P&amp;L'!AK21/365</f>
        <v>4511.2398217277732</v>
      </c>
      <c r="AL10" s="467">
        <f>'Cost + BS Assumptions'!AL172*'P&amp;L'!AL21/365</f>
        <v>4625.921516221566</v>
      </c>
    </row>
    <row r="11" spans="1:53">
      <c r="A11" s="2"/>
      <c r="B11" s="36" t="s">
        <v>394</v>
      </c>
      <c r="C11" s="18" t="s">
        <v>732</v>
      </c>
      <c r="D11" s="618">
        <v>295</v>
      </c>
      <c r="E11" s="618">
        <v>320</v>
      </c>
      <c r="F11" s="618">
        <v>204</v>
      </c>
      <c r="G11" s="618">
        <v>260</v>
      </c>
      <c r="H11" s="618">
        <v>229</v>
      </c>
      <c r="I11" s="618">
        <v>232</v>
      </c>
      <c r="J11" s="618">
        <v>224</v>
      </c>
      <c r="K11" s="618">
        <v>318</v>
      </c>
      <c r="L11" s="618">
        <v>309</v>
      </c>
      <c r="M11" s="618">
        <v>239</v>
      </c>
      <c r="N11" s="618">
        <v>295</v>
      </c>
      <c r="O11" s="618">
        <v>283</v>
      </c>
      <c r="P11" s="549">
        <v>260</v>
      </c>
      <c r="Q11" s="549">
        <v>431</v>
      </c>
      <c r="R11" s="549">
        <v>362</v>
      </c>
      <c r="S11" s="1104">
        <v>491</v>
      </c>
      <c r="T11" s="1104">
        <v>557</v>
      </c>
      <c r="U11" s="1104">
        <v>893</v>
      </c>
      <c r="V11" s="1104">
        <v>492</v>
      </c>
      <c r="W11" s="1104">
        <v>448</v>
      </c>
      <c r="X11" s="1104">
        <v>418</v>
      </c>
      <c r="Y11" s="1104">
        <v>385</v>
      </c>
      <c r="Z11" s="1104">
        <v>476</v>
      </c>
      <c r="AA11" s="1104">
        <v>546</v>
      </c>
      <c r="AB11" s="1104">
        <v>518</v>
      </c>
      <c r="AC11" s="1104">
        <v>485</v>
      </c>
      <c r="AD11" s="467">
        <f>'Cost + BS Assumptions'!AD174*'P&amp;L'!AD21/365</f>
        <v>554.20758297709585</v>
      </c>
      <c r="AE11" s="467">
        <f>'Cost + BS Assumptions'!AE174*'P&amp;L'!AE21/365</f>
        <v>603.76715985848682</v>
      </c>
      <c r="AF11" s="467">
        <f>'Cost + BS Assumptions'!AF174*'P&amp;L'!AF21/365</f>
        <v>657.77486632323667</v>
      </c>
      <c r="AG11" s="467">
        <f>'Cost + BS Assumptions'!AG174*'P&amp;L'!AG21/365</f>
        <v>716.92862513655746</v>
      </c>
      <c r="AH11" s="467">
        <f>'Cost + BS Assumptions'!AH174*'P&amp;L'!AH21/365</f>
        <v>781.84574719133411</v>
      </c>
      <c r="AI11" s="467">
        <f>'Cost + BS Assumptions'!AI174*'P&amp;L'!AI21/365</f>
        <v>853.26756012277895</v>
      </c>
      <c r="AJ11" s="467">
        <f>'Cost + BS Assumptions'!AJ174*'P&amp;L'!AJ21/365</f>
        <v>932.08802756360376</v>
      </c>
      <c r="AK11" s="467">
        <f>'Cost + BS Assumptions'!AK174*'P&amp;L'!AK21/365</f>
        <v>1019.3893416598788</v>
      </c>
      <c r="AL11" s="467">
        <f>'Cost + BS Assumptions'!AL174*'P&amp;L'!AL21/365</f>
        <v>1111.1364444992203</v>
      </c>
    </row>
    <row r="12" spans="1:53">
      <c r="A12" s="2"/>
      <c r="B12" s="36" t="s">
        <v>397</v>
      </c>
      <c r="C12" s="18" t="s">
        <v>732</v>
      </c>
      <c r="D12" s="180"/>
      <c r="E12" s="180"/>
      <c r="F12" s="180"/>
      <c r="G12" s="180"/>
      <c r="H12" s="180"/>
      <c r="I12" s="618">
        <v>4</v>
      </c>
      <c r="J12" s="618">
        <v>21</v>
      </c>
      <c r="K12" s="618">
        <v>41</v>
      </c>
      <c r="L12" s="618">
        <v>54</v>
      </c>
      <c r="M12" s="618">
        <v>128</v>
      </c>
      <c r="N12" s="618">
        <v>173</v>
      </c>
      <c r="O12" s="618">
        <v>83</v>
      </c>
      <c r="P12" s="549">
        <v>32</v>
      </c>
      <c r="Q12" s="549">
        <v>43</v>
      </c>
      <c r="R12" s="549">
        <v>23</v>
      </c>
      <c r="S12" s="1104">
        <v>7</v>
      </c>
      <c r="T12" s="1104">
        <v>62</v>
      </c>
      <c r="U12" s="1104">
        <v>21</v>
      </c>
      <c r="V12" s="1104">
        <v>75</v>
      </c>
      <c r="W12" s="1104">
        <v>179</v>
      </c>
      <c r="X12" s="1104">
        <v>147</v>
      </c>
      <c r="Y12" s="1104">
        <v>624</v>
      </c>
      <c r="Z12" s="1104">
        <v>302</v>
      </c>
      <c r="AA12" s="1104">
        <v>445</v>
      </c>
      <c r="AB12" s="1104">
        <v>232</v>
      </c>
      <c r="AC12" s="1104">
        <v>230</v>
      </c>
      <c r="AD12" s="1105">
        <f t="shared" ref="AD12:AI14" si="3">AC12</f>
        <v>230</v>
      </c>
      <c r="AE12" s="1105">
        <f t="shared" si="3"/>
        <v>230</v>
      </c>
      <c r="AF12" s="1105">
        <f t="shared" si="3"/>
        <v>230</v>
      </c>
      <c r="AG12" s="1105">
        <f t="shared" si="3"/>
        <v>230</v>
      </c>
      <c r="AH12" s="1105">
        <f t="shared" si="3"/>
        <v>230</v>
      </c>
      <c r="AI12" s="1105">
        <f t="shared" si="3"/>
        <v>230</v>
      </c>
      <c r="AJ12" s="1105">
        <f t="shared" ref="AJ12:AJ14" si="4">AI12</f>
        <v>230</v>
      </c>
      <c r="AK12" s="1105">
        <f t="shared" ref="AK12:AL14" si="5">AJ12</f>
        <v>230</v>
      </c>
      <c r="AL12" s="1105">
        <f t="shared" si="5"/>
        <v>230</v>
      </c>
    </row>
    <row r="13" spans="1:53">
      <c r="A13" s="2"/>
      <c r="B13" s="36" t="s">
        <v>396</v>
      </c>
      <c r="C13" s="18" t="s">
        <v>732</v>
      </c>
      <c r="D13" s="180"/>
      <c r="E13" s="618">
        <v>139</v>
      </c>
      <c r="F13" s="618">
        <v>187</v>
      </c>
      <c r="G13" s="618">
        <v>218</v>
      </c>
      <c r="H13" s="618">
        <v>227</v>
      </c>
      <c r="I13" s="618">
        <v>249</v>
      </c>
      <c r="J13" s="618">
        <v>244</v>
      </c>
      <c r="K13" s="618">
        <v>266</v>
      </c>
      <c r="L13" s="618">
        <v>299</v>
      </c>
      <c r="M13" s="618">
        <v>304</v>
      </c>
      <c r="N13" s="618">
        <v>218</v>
      </c>
      <c r="O13" s="618">
        <v>275</v>
      </c>
      <c r="P13" s="549">
        <v>250</v>
      </c>
      <c r="Q13" s="549">
        <v>314</v>
      </c>
      <c r="R13" s="549">
        <v>329</v>
      </c>
      <c r="S13" s="1104">
        <v>346</v>
      </c>
      <c r="T13" s="1104">
        <v>426</v>
      </c>
      <c r="U13" s="1104">
        <v>531</v>
      </c>
      <c r="V13" s="1104">
        <v>431</v>
      </c>
      <c r="W13" s="1104">
        <v>457</v>
      </c>
      <c r="X13" s="1104">
        <v>265</v>
      </c>
      <c r="Y13" s="1104">
        <v>285</v>
      </c>
      <c r="Z13" s="1104">
        <v>235</v>
      </c>
      <c r="AA13" s="1104">
        <v>328</v>
      </c>
      <c r="AB13" s="1104">
        <v>308</v>
      </c>
      <c r="AC13" s="1104">
        <v>347</v>
      </c>
      <c r="AD13" s="1105">
        <f t="shared" si="3"/>
        <v>347</v>
      </c>
      <c r="AE13" s="1105">
        <f t="shared" si="3"/>
        <v>347</v>
      </c>
      <c r="AF13" s="1105">
        <f t="shared" si="3"/>
        <v>347</v>
      </c>
      <c r="AG13" s="1105">
        <f t="shared" si="3"/>
        <v>347</v>
      </c>
      <c r="AH13" s="1105">
        <f t="shared" si="3"/>
        <v>347</v>
      </c>
      <c r="AI13" s="1105">
        <f t="shared" si="3"/>
        <v>347</v>
      </c>
      <c r="AJ13" s="1105">
        <f t="shared" si="4"/>
        <v>347</v>
      </c>
      <c r="AK13" s="1105">
        <f t="shared" si="5"/>
        <v>347</v>
      </c>
      <c r="AL13" s="1105">
        <f t="shared" si="5"/>
        <v>347</v>
      </c>
    </row>
    <row r="14" spans="1:53">
      <c r="A14" s="2"/>
      <c r="B14" s="36" t="s">
        <v>28</v>
      </c>
      <c r="C14" s="18" t="s">
        <v>732</v>
      </c>
      <c r="D14" s="618">
        <v>256</v>
      </c>
      <c r="E14" s="618">
        <v>410</v>
      </c>
      <c r="F14" s="618">
        <v>851</v>
      </c>
      <c r="G14" s="618">
        <v>360</v>
      </c>
      <c r="H14" s="618">
        <v>576</v>
      </c>
      <c r="I14" s="618">
        <v>0</v>
      </c>
      <c r="J14" s="618">
        <v>0</v>
      </c>
      <c r="K14" s="618">
        <v>0</v>
      </c>
      <c r="L14" s="618">
        <v>0</v>
      </c>
      <c r="M14" s="618">
        <v>101</v>
      </c>
      <c r="N14" s="618">
        <v>582</v>
      </c>
      <c r="O14" s="618">
        <v>45</v>
      </c>
      <c r="P14" s="971">
        <f>363+754</f>
        <v>1117</v>
      </c>
      <c r="Q14" s="549">
        <v>79</v>
      </c>
      <c r="R14" s="569">
        <v>25</v>
      </c>
      <c r="S14" s="1104">
        <f>9</f>
        <v>9</v>
      </c>
      <c r="T14" s="1104">
        <v>8</v>
      </c>
      <c r="U14" s="1104">
        <v>11</v>
      </c>
      <c r="V14" s="1105">
        <f t="shared" ref="V14:AA14" si="6">V15-SUM(V9:V13)</f>
        <v>75</v>
      </c>
      <c r="W14" s="1105">
        <f t="shared" si="6"/>
        <v>223</v>
      </c>
      <c r="X14" s="1105">
        <f t="shared" si="6"/>
        <v>84</v>
      </c>
      <c r="Y14" s="1105">
        <f t="shared" si="6"/>
        <v>118</v>
      </c>
      <c r="Z14" s="1105">
        <f t="shared" si="6"/>
        <v>133</v>
      </c>
      <c r="AA14" s="1105">
        <f t="shared" si="6"/>
        <v>266</v>
      </c>
      <c r="AB14" s="1105">
        <f t="shared" ref="AB14:AC14" si="7">AB15-SUM(AB9:AB13)</f>
        <v>175</v>
      </c>
      <c r="AC14" s="1105">
        <f t="shared" si="7"/>
        <v>744</v>
      </c>
      <c r="AD14" s="938">
        <f t="shared" si="3"/>
        <v>744</v>
      </c>
      <c r="AE14" s="938">
        <f t="shared" si="3"/>
        <v>744</v>
      </c>
      <c r="AF14" s="938">
        <f t="shared" si="3"/>
        <v>744</v>
      </c>
      <c r="AG14" s="938">
        <f t="shared" si="3"/>
        <v>744</v>
      </c>
      <c r="AH14" s="938">
        <f t="shared" si="3"/>
        <v>744</v>
      </c>
      <c r="AI14" s="938">
        <f t="shared" si="3"/>
        <v>744</v>
      </c>
      <c r="AJ14" s="938">
        <f t="shared" si="4"/>
        <v>744</v>
      </c>
      <c r="AK14" s="938">
        <f t="shared" si="5"/>
        <v>744</v>
      </c>
      <c r="AL14" s="938">
        <f t="shared" si="5"/>
        <v>744</v>
      </c>
    </row>
    <row r="15" spans="1:53">
      <c r="A15" s="6"/>
      <c r="B15" s="6" t="s">
        <v>353</v>
      </c>
      <c r="C15" s="21" t="s">
        <v>732</v>
      </c>
      <c r="D15" s="60">
        <f t="shared" ref="D15:T15" si="8">SUM(D9:D14)</f>
        <v>4889</v>
      </c>
      <c r="E15" s="60">
        <f t="shared" si="8"/>
        <v>6253</v>
      </c>
      <c r="F15" s="60">
        <f t="shared" si="8"/>
        <v>6375</v>
      </c>
      <c r="G15" s="60">
        <f t="shared" si="8"/>
        <v>5757</v>
      </c>
      <c r="H15" s="60">
        <f t="shared" si="8"/>
        <v>5327</v>
      </c>
      <c r="I15" s="60">
        <f t="shared" si="8"/>
        <v>5582</v>
      </c>
      <c r="J15" s="60">
        <f t="shared" si="8"/>
        <v>4899</v>
      </c>
      <c r="K15" s="60">
        <f t="shared" si="8"/>
        <v>5301</v>
      </c>
      <c r="L15" s="60">
        <f t="shared" si="8"/>
        <v>5513</v>
      </c>
      <c r="M15" s="60">
        <f t="shared" si="8"/>
        <v>6192</v>
      </c>
      <c r="N15" s="60">
        <f t="shared" si="8"/>
        <v>7185</v>
      </c>
      <c r="O15" s="60">
        <f t="shared" si="8"/>
        <v>7453</v>
      </c>
      <c r="P15" s="60">
        <f t="shared" si="8"/>
        <v>9950</v>
      </c>
      <c r="Q15" s="60">
        <f t="shared" si="8"/>
        <v>7903</v>
      </c>
      <c r="R15" s="60">
        <f t="shared" si="8"/>
        <v>10438</v>
      </c>
      <c r="S15" s="341">
        <f t="shared" si="8"/>
        <v>6970</v>
      </c>
      <c r="T15" s="341">
        <f t="shared" si="8"/>
        <v>9339.9914036749997</v>
      </c>
      <c r="U15" s="341">
        <f>SUM(U9:U14)</f>
        <v>7862</v>
      </c>
      <c r="V15" s="1106">
        <v>7202</v>
      </c>
      <c r="W15" s="1106">
        <v>7303</v>
      </c>
      <c r="X15" s="1106">
        <v>6534</v>
      </c>
      <c r="Y15" s="1106">
        <v>7114</v>
      </c>
      <c r="Z15" s="1106">
        <v>6260</v>
      </c>
      <c r="AA15" s="1106">
        <v>6733</v>
      </c>
      <c r="AB15" s="1106">
        <v>6107</v>
      </c>
      <c r="AC15" s="1106">
        <v>6495</v>
      </c>
      <c r="AD15" s="341">
        <f t="shared" ref="AD15:AH15" si="9">SUM(AD9:AD14)</f>
        <v>6470.9767503578187</v>
      </c>
      <c r="AE15" s="341">
        <f t="shared" si="9"/>
        <v>6810.1415355226336</v>
      </c>
      <c r="AF15" s="341">
        <f t="shared" si="9"/>
        <v>7427.2300542546018</v>
      </c>
      <c r="AG15" s="341">
        <f t="shared" si="9"/>
        <v>8081.0482650816866</v>
      </c>
      <c r="AH15" s="341">
        <f t="shared" si="9"/>
        <v>8784.1696961587695</v>
      </c>
      <c r="AI15" s="341">
        <f>SUM(AI9:AI14)</f>
        <v>9543.2717413248138</v>
      </c>
      <c r="AJ15" s="341">
        <f t="shared" ref="AJ15:AK15" si="10">SUM(AJ9:AJ14)</f>
        <v>10672.354094193395</v>
      </c>
      <c r="AK15" s="341">
        <f t="shared" si="10"/>
        <v>12213.070151629525</v>
      </c>
      <c r="AL15" s="341">
        <f t="shared" ref="AL15" si="11">SUM(AL9:AL14)</f>
        <v>14020.737944143619</v>
      </c>
    </row>
    <row r="16" spans="1:53">
      <c r="A16" s="6"/>
      <c r="B16" s="6"/>
      <c r="C16" s="21"/>
      <c r="D16" s="31"/>
      <c r="E16" s="42"/>
      <c r="F16" s="42"/>
      <c r="G16" s="42"/>
      <c r="H16" s="42"/>
      <c r="I16" s="42"/>
      <c r="J16" s="42"/>
      <c r="K16" s="42"/>
      <c r="L16" s="42"/>
      <c r="M16" s="42"/>
      <c r="N16" s="42"/>
      <c r="O16" s="42"/>
      <c r="P16" s="42"/>
      <c r="Q16" s="42"/>
      <c r="R16" s="42"/>
      <c r="S16" s="1105"/>
      <c r="T16" s="1105"/>
      <c r="U16" s="1105"/>
      <c r="V16" s="1105"/>
      <c r="W16" s="1105"/>
      <c r="X16" s="1105"/>
      <c r="Y16" s="1105"/>
      <c r="Z16" s="1105"/>
      <c r="AA16" s="1105"/>
      <c r="AB16" s="1105"/>
      <c r="AC16" s="1105"/>
      <c r="AD16" s="1105"/>
      <c r="AE16" s="1105"/>
      <c r="AF16" s="1105"/>
      <c r="AG16" s="1105"/>
      <c r="AH16" s="1105"/>
      <c r="AI16" s="1105"/>
      <c r="AJ16" s="1105"/>
      <c r="AK16" s="1105"/>
      <c r="AL16" s="1105"/>
    </row>
    <row r="17" spans="1:38">
      <c r="A17" s="6"/>
      <c r="B17" s="6" t="s">
        <v>407</v>
      </c>
      <c r="C17" s="21"/>
      <c r="D17" s="31"/>
      <c r="E17" s="42"/>
      <c r="F17" s="42"/>
      <c r="G17" s="42"/>
      <c r="H17" s="42"/>
      <c r="I17" s="42"/>
      <c r="J17" s="42"/>
      <c r="K17" s="42"/>
      <c r="L17" s="42"/>
      <c r="M17" s="42"/>
      <c r="N17" s="42"/>
      <c r="O17" s="42"/>
      <c r="P17" s="42"/>
      <c r="Q17" s="42"/>
      <c r="R17" s="42"/>
      <c r="S17" s="1105"/>
      <c r="T17" s="1105"/>
      <c r="U17" s="1105"/>
      <c r="V17" s="1105"/>
      <c r="W17" s="1105"/>
      <c r="X17" s="1105"/>
      <c r="Y17" s="1105"/>
      <c r="Z17" s="1105"/>
      <c r="AA17" s="1105"/>
      <c r="AB17" s="1105"/>
      <c r="AC17" s="1105"/>
      <c r="AD17" s="1105"/>
      <c r="AE17" s="1105"/>
      <c r="AF17" s="1105"/>
      <c r="AG17" s="1105"/>
      <c r="AH17" s="1105"/>
      <c r="AI17" s="1105"/>
      <c r="AJ17" s="1105"/>
      <c r="AK17" s="1105"/>
      <c r="AL17" s="1105"/>
    </row>
    <row r="18" spans="1:38">
      <c r="A18" s="6"/>
      <c r="B18" s="36" t="s">
        <v>506</v>
      </c>
      <c r="C18" s="18" t="s">
        <v>732</v>
      </c>
      <c r="D18" s="618">
        <v>258</v>
      </c>
      <c r="E18" s="618">
        <v>1803</v>
      </c>
      <c r="F18" s="618">
        <v>1005</v>
      </c>
      <c r="G18" s="618">
        <v>877</v>
      </c>
      <c r="H18" s="618">
        <v>740</v>
      </c>
      <c r="I18" s="618">
        <v>97</v>
      </c>
      <c r="J18" s="618">
        <v>146</v>
      </c>
      <c r="K18" s="618">
        <v>190</v>
      </c>
      <c r="L18" s="618">
        <v>198</v>
      </c>
      <c r="M18" s="618">
        <v>163</v>
      </c>
      <c r="N18" s="618">
        <v>217</v>
      </c>
      <c r="O18" s="618">
        <v>340</v>
      </c>
      <c r="P18" s="618">
        <v>851</v>
      </c>
      <c r="Q18" s="618">
        <v>943</v>
      </c>
      <c r="R18" s="618">
        <v>973</v>
      </c>
      <c r="S18" s="1107">
        <v>1171</v>
      </c>
      <c r="T18" s="1107">
        <v>1293</v>
      </c>
      <c r="U18" s="1107">
        <v>1039</v>
      </c>
      <c r="V18" s="1107">
        <v>729</v>
      </c>
      <c r="W18" s="1107">
        <v>780</v>
      </c>
      <c r="X18" s="1107">
        <v>1428</v>
      </c>
      <c r="Y18" s="1107">
        <v>1168</v>
      </c>
      <c r="Z18" s="1107">
        <v>861</v>
      </c>
      <c r="AA18" s="1107">
        <v>1017</v>
      </c>
      <c r="AB18" s="1107">
        <v>1324</v>
      </c>
      <c r="AC18" s="1107">
        <v>1157</v>
      </c>
      <c r="AD18" s="938">
        <f t="shared" ref="AD18:AI21" si="12">AC18</f>
        <v>1157</v>
      </c>
      <c r="AE18" s="938">
        <f t="shared" si="12"/>
        <v>1157</v>
      </c>
      <c r="AF18" s="938">
        <f t="shared" si="12"/>
        <v>1157</v>
      </c>
      <c r="AG18" s="938">
        <f t="shared" si="12"/>
        <v>1157</v>
      </c>
      <c r="AH18" s="938">
        <f t="shared" si="12"/>
        <v>1157</v>
      </c>
      <c r="AI18" s="938">
        <f t="shared" si="12"/>
        <v>1157</v>
      </c>
      <c r="AJ18" s="938">
        <f t="shared" ref="AJ18:AJ21" si="13">AI18</f>
        <v>1157</v>
      </c>
      <c r="AK18" s="938">
        <f t="shared" ref="AK18:AL21" si="14">AJ18</f>
        <v>1157</v>
      </c>
      <c r="AL18" s="938">
        <f t="shared" si="14"/>
        <v>1157</v>
      </c>
    </row>
    <row r="19" spans="1:38">
      <c r="A19" s="2"/>
      <c r="B19" s="36" t="s">
        <v>394</v>
      </c>
      <c r="C19" s="18" t="s">
        <v>732</v>
      </c>
      <c r="D19" s="618">
        <v>15</v>
      </c>
      <c r="E19" s="618">
        <v>8</v>
      </c>
      <c r="F19" s="618">
        <v>20</v>
      </c>
      <c r="G19" s="618">
        <v>14</v>
      </c>
      <c r="H19" s="618">
        <v>10</v>
      </c>
      <c r="I19" s="618">
        <v>15</v>
      </c>
      <c r="J19" s="618">
        <v>20</v>
      </c>
      <c r="K19" s="618">
        <v>17</v>
      </c>
      <c r="L19" s="618">
        <v>12</v>
      </c>
      <c r="M19" s="618">
        <v>18</v>
      </c>
      <c r="N19" s="618">
        <v>17</v>
      </c>
      <c r="O19" s="618">
        <v>22</v>
      </c>
      <c r="P19" s="618">
        <v>24</v>
      </c>
      <c r="Q19" s="618">
        <v>27</v>
      </c>
      <c r="R19" s="618">
        <v>29</v>
      </c>
      <c r="S19" s="1107">
        <v>32</v>
      </c>
      <c r="T19" s="1107">
        <v>29</v>
      </c>
      <c r="U19" s="1107">
        <v>29</v>
      </c>
      <c r="V19" s="1107">
        <v>19</v>
      </c>
      <c r="W19" s="1107">
        <v>35</v>
      </c>
      <c r="X19" s="1107">
        <v>28</v>
      </c>
      <c r="Y19" s="1107">
        <v>21</v>
      </c>
      <c r="Z19" s="1107">
        <v>28</v>
      </c>
      <c r="AA19" s="1107">
        <v>36</v>
      </c>
      <c r="AB19" s="1107">
        <v>162</v>
      </c>
      <c r="AC19" s="1107">
        <v>100</v>
      </c>
      <c r="AD19" s="938">
        <f t="shared" si="12"/>
        <v>100</v>
      </c>
      <c r="AE19" s="938">
        <f t="shared" si="12"/>
        <v>100</v>
      </c>
      <c r="AF19" s="938">
        <f t="shared" si="12"/>
        <v>100</v>
      </c>
      <c r="AG19" s="938">
        <f t="shared" si="12"/>
        <v>100</v>
      </c>
      <c r="AH19" s="938">
        <f t="shared" si="12"/>
        <v>100</v>
      </c>
      <c r="AI19" s="938">
        <f t="shared" si="12"/>
        <v>100</v>
      </c>
      <c r="AJ19" s="938">
        <f t="shared" si="13"/>
        <v>100</v>
      </c>
      <c r="AK19" s="938">
        <f t="shared" si="14"/>
        <v>100</v>
      </c>
      <c r="AL19" s="938">
        <f t="shared" si="14"/>
        <v>100</v>
      </c>
    </row>
    <row r="20" spans="1:38">
      <c r="A20" s="2"/>
      <c r="B20" s="36" t="s">
        <v>397</v>
      </c>
      <c r="C20" s="18" t="s">
        <v>732</v>
      </c>
      <c r="D20" s="180"/>
      <c r="E20" s="180"/>
      <c r="F20" s="180"/>
      <c r="G20" s="180"/>
      <c r="H20" s="180"/>
      <c r="I20" s="618">
        <v>0</v>
      </c>
      <c r="J20" s="618">
        <v>391</v>
      </c>
      <c r="K20" s="618">
        <v>249</v>
      </c>
      <c r="L20" s="618">
        <v>444</v>
      </c>
      <c r="M20" s="618">
        <v>1073</v>
      </c>
      <c r="N20" s="618">
        <v>592</v>
      </c>
      <c r="O20" s="618">
        <v>285</v>
      </c>
      <c r="P20" s="618">
        <v>658</v>
      </c>
      <c r="Q20" s="618">
        <v>1062</v>
      </c>
      <c r="R20" s="618">
        <v>1322</v>
      </c>
      <c r="S20" s="1107">
        <v>1790</v>
      </c>
      <c r="T20" s="1107">
        <v>2180</v>
      </c>
      <c r="U20" s="1107">
        <v>1623</v>
      </c>
      <c r="V20" s="1107">
        <v>1897</v>
      </c>
      <c r="W20" s="1107">
        <v>2083</v>
      </c>
      <c r="X20" s="1107">
        <v>2011</v>
      </c>
      <c r="Y20" s="1107">
        <v>786</v>
      </c>
      <c r="Z20" s="1107">
        <v>512</v>
      </c>
      <c r="AA20" s="1107">
        <v>333</v>
      </c>
      <c r="AB20" s="1107">
        <v>211</v>
      </c>
      <c r="AC20" s="1107">
        <v>481</v>
      </c>
      <c r="AD20" s="938">
        <f t="shared" si="12"/>
        <v>481</v>
      </c>
      <c r="AE20" s="938">
        <f t="shared" si="12"/>
        <v>481</v>
      </c>
      <c r="AF20" s="938">
        <f t="shared" si="12"/>
        <v>481</v>
      </c>
      <c r="AG20" s="938">
        <f t="shared" si="12"/>
        <v>481</v>
      </c>
      <c r="AH20" s="938">
        <f t="shared" si="12"/>
        <v>481</v>
      </c>
      <c r="AI20" s="938">
        <f t="shared" si="12"/>
        <v>481</v>
      </c>
      <c r="AJ20" s="938">
        <f t="shared" si="13"/>
        <v>481</v>
      </c>
      <c r="AK20" s="938">
        <f t="shared" si="14"/>
        <v>481</v>
      </c>
      <c r="AL20" s="938">
        <f t="shared" si="14"/>
        <v>481</v>
      </c>
    </row>
    <row r="21" spans="1:38">
      <c r="A21" s="2"/>
      <c r="B21" s="36" t="s">
        <v>808</v>
      </c>
      <c r="C21" s="18" t="s">
        <v>732</v>
      </c>
      <c r="D21" s="618">
        <v>885</v>
      </c>
      <c r="E21" s="618">
        <v>1402</v>
      </c>
      <c r="F21" s="618">
        <v>1302</v>
      </c>
      <c r="G21" s="618">
        <v>255</v>
      </c>
      <c r="H21" s="618">
        <v>120</v>
      </c>
      <c r="I21" s="618">
        <v>48</v>
      </c>
      <c r="J21" s="618">
        <v>23</v>
      </c>
      <c r="K21" s="618">
        <v>19</v>
      </c>
      <c r="L21" s="618">
        <v>15</v>
      </c>
      <c r="M21" s="618">
        <v>16</v>
      </c>
      <c r="N21" s="618">
        <v>18</v>
      </c>
      <c r="O21" s="618">
        <v>3</v>
      </c>
      <c r="P21" s="180">
        <f>12+19</f>
        <v>31</v>
      </c>
      <c r="Q21" s="618">
        <f>38+18</f>
        <v>56</v>
      </c>
      <c r="R21" s="618">
        <f>196+127</f>
        <v>323</v>
      </c>
      <c r="S21" s="1107">
        <f>201+137</f>
        <v>338</v>
      </c>
      <c r="T21" s="1107">
        <f>394+171</f>
        <v>565</v>
      </c>
      <c r="U21" s="1107">
        <f>292+194</f>
        <v>486</v>
      </c>
      <c r="V21" s="1107">
        <f>1237+36</f>
        <v>1273</v>
      </c>
      <c r="W21" s="1107">
        <f>1298+25</f>
        <v>1323</v>
      </c>
      <c r="X21" s="1107">
        <f>897+21</f>
        <v>918</v>
      </c>
      <c r="Y21" s="1107">
        <f>1018+15</f>
        <v>1033</v>
      </c>
      <c r="Z21" s="1107">
        <f>814+15</f>
        <v>829</v>
      </c>
      <c r="AA21" s="1107">
        <f>686+22</f>
        <v>708</v>
      </c>
      <c r="AB21" s="1107">
        <f>636+33</f>
        <v>669</v>
      </c>
      <c r="AC21" s="1107">
        <f>222+381</f>
        <v>603</v>
      </c>
      <c r="AD21" s="938">
        <f t="shared" si="12"/>
        <v>603</v>
      </c>
      <c r="AE21" s="938">
        <f t="shared" si="12"/>
        <v>603</v>
      </c>
      <c r="AF21" s="938">
        <f t="shared" si="12"/>
        <v>603</v>
      </c>
      <c r="AG21" s="938">
        <f t="shared" si="12"/>
        <v>603</v>
      </c>
      <c r="AH21" s="938">
        <f t="shared" si="12"/>
        <v>603</v>
      </c>
      <c r="AI21" s="938">
        <f t="shared" si="12"/>
        <v>603</v>
      </c>
      <c r="AJ21" s="938">
        <f t="shared" si="13"/>
        <v>603</v>
      </c>
      <c r="AK21" s="938">
        <f t="shared" si="14"/>
        <v>603</v>
      </c>
      <c r="AL21" s="938">
        <f t="shared" si="14"/>
        <v>603</v>
      </c>
    </row>
    <row r="22" spans="1:38">
      <c r="A22" s="2"/>
      <c r="B22" s="36" t="s">
        <v>30</v>
      </c>
      <c r="C22" s="18" t="s">
        <v>732</v>
      </c>
      <c r="D22" s="452">
        <f>'Cost + BS Assumptions'!D74</f>
        <v>22316</v>
      </c>
      <c r="E22" s="452">
        <f>'Cost + BS Assumptions'!E74</f>
        <v>22803</v>
      </c>
      <c r="F22" s="452">
        <f>'Cost + BS Assumptions'!F74</f>
        <v>23421</v>
      </c>
      <c r="G22" s="452">
        <f>'Cost + BS Assumptions'!G74</f>
        <v>23012</v>
      </c>
      <c r="H22" s="452">
        <f>'Cost + BS Assumptions'!H74</f>
        <v>22863</v>
      </c>
      <c r="I22" s="452">
        <f>'Cost + BS Assumptions'!I74</f>
        <v>22891</v>
      </c>
      <c r="J22" s="452">
        <f>'Cost + BS Assumptions'!J74</f>
        <v>23592</v>
      </c>
      <c r="K22" s="452">
        <f>'Cost + BS Assumptions'!K74</f>
        <v>24607</v>
      </c>
      <c r="L22" s="452">
        <f>'Cost + BS Assumptions'!L74</f>
        <v>24311</v>
      </c>
      <c r="M22" s="452">
        <f>'Cost + BS Assumptions'!M74</f>
        <v>23895</v>
      </c>
      <c r="N22" s="452">
        <f>'Cost + BS Assumptions'!N74</f>
        <v>22894</v>
      </c>
      <c r="O22" s="452">
        <f>'Cost + BS Assumptions'!O74</f>
        <v>21790</v>
      </c>
      <c r="P22" s="452">
        <f>'Cost + BS Assumptions'!P74</f>
        <v>20504</v>
      </c>
      <c r="Q22" s="452">
        <f>'Cost + BS Assumptions'!Q74</f>
        <v>20326</v>
      </c>
      <c r="R22" s="452">
        <f>'Cost + BS Assumptions'!R74</f>
        <v>19842</v>
      </c>
      <c r="S22" s="467">
        <f>'Cost + BS Assumptions'!S74</f>
        <v>20450</v>
      </c>
      <c r="T22" s="467">
        <f>'Cost + BS Assumptions'!T74</f>
        <v>20581</v>
      </c>
      <c r="U22" s="467">
        <f>'Cost + BS Assumptions'!U74</f>
        <v>21350</v>
      </c>
      <c r="V22" s="467">
        <f>'Cost + BS Assumptions'!V74</f>
        <v>21573</v>
      </c>
      <c r="W22" s="467">
        <f>'Cost + BS Assumptions'!W74</f>
        <v>21836</v>
      </c>
      <c r="X22" s="467">
        <f>'Cost + BS Assumptions'!X74</f>
        <v>21499</v>
      </c>
      <c r="Y22" s="467">
        <f>'Cost + BS Assumptions'!Y74</f>
        <v>20863</v>
      </c>
      <c r="Z22" s="467">
        <f>'Cost + BS Assumptions'!Z74</f>
        <v>20485</v>
      </c>
      <c r="AA22" s="467">
        <f>'Cost + BS Assumptions'!AA74</f>
        <v>20969</v>
      </c>
      <c r="AB22" s="467">
        <f>'Cost + BS Assumptions'!AB74</f>
        <v>20867</v>
      </c>
      <c r="AC22" s="467">
        <f>'Cost + BS Assumptions'!AC74</f>
        <v>20651</v>
      </c>
      <c r="AD22" s="467">
        <f>'Cost + BS Assumptions'!AD74</f>
        <v>20179.871858306611</v>
      </c>
      <c r="AE22" s="467">
        <f>'Cost + BS Assumptions'!AE74</f>
        <v>19700.745640860576</v>
      </c>
      <c r="AF22" s="467">
        <f>'Cost + BS Assumptions'!AF74</f>
        <v>19212.380152864946</v>
      </c>
      <c r="AG22" s="467">
        <f>'Cost + BS Assumptions'!AG74</f>
        <v>18713.411661449976</v>
      </c>
      <c r="AH22" s="467">
        <f>'Cost + BS Assumptions'!AH74</f>
        <v>18202.412235495354</v>
      </c>
      <c r="AI22" s="467">
        <f>'Cost + BS Assumptions'!AI74</f>
        <v>17677.851170517541</v>
      </c>
      <c r="AJ22" s="467">
        <f>'Cost + BS Assumptions'!AJ74</f>
        <v>16835.722738663218</v>
      </c>
      <c r="AK22" s="467">
        <f>'Cost + BS Assumptions'!AK74</f>
        <v>15645.661977638063</v>
      </c>
      <c r="AL22" s="467">
        <f>'Cost + BS Assumptions'!AL74</f>
        <v>14409.48374318664</v>
      </c>
    </row>
    <row r="23" spans="1:38">
      <c r="A23" s="2"/>
      <c r="B23" s="438" t="s">
        <v>1177</v>
      </c>
      <c r="C23" s="18" t="s">
        <v>732</v>
      </c>
      <c r="D23" s="452"/>
      <c r="E23" s="452"/>
      <c r="F23" s="452"/>
      <c r="G23" s="452"/>
      <c r="H23" s="452"/>
      <c r="I23" s="452"/>
      <c r="J23" s="452"/>
      <c r="K23" s="452"/>
      <c r="L23" s="452"/>
      <c r="M23" s="452"/>
      <c r="N23" s="452"/>
      <c r="O23" s="452"/>
      <c r="P23" s="452"/>
      <c r="Q23" s="452"/>
      <c r="R23" s="452"/>
      <c r="S23" s="467">
        <f>+'Cost + BS Assumptions'!S88</f>
        <v>0</v>
      </c>
      <c r="T23" s="467">
        <f>+'Cost + BS Assumptions'!T88</f>
        <v>0</v>
      </c>
      <c r="U23" s="467">
        <f>+'Cost + BS Assumptions'!U88</f>
        <v>0</v>
      </c>
      <c r="V23" s="467">
        <f>+'Cost + BS Assumptions'!V88</f>
        <v>0</v>
      </c>
      <c r="W23" s="467">
        <f>+'Cost + BS Assumptions'!W88</f>
        <v>0</v>
      </c>
      <c r="X23" s="467">
        <f>+'Cost + BS Assumptions'!X92</f>
        <v>3030</v>
      </c>
      <c r="Y23" s="467">
        <f>+'Cost + BS Assumptions'!Y92</f>
        <v>2852</v>
      </c>
      <c r="Z23" s="467">
        <f>+'Cost + BS Assumptions'!Z92</f>
        <v>2926</v>
      </c>
      <c r="AA23" s="467">
        <f>+'Cost + BS Assumptions'!AA92</f>
        <v>2825</v>
      </c>
      <c r="AB23" s="467">
        <f>+'Cost + BS Assumptions'!AB92</f>
        <v>2666</v>
      </c>
      <c r="AC23" s="467">
        <f>+'Cost + BS Assumptions'!AC92</f>
        <v>2681</v>
      </c>
      <c r="AD23" s="467">
        <f>+'Cost + BS Assumptions'!AD92</f>
        <v>2696</v>
      </c>
      <c r="AE23" s="467">
        <f>+'Cost + BS Assumptions'!AE92</f>
        <v>2711</v>
      </c>
      <c r="AF23" s="467">
        <f>+'Cost + BS Assumptions'!AF92</f>
        <v>2726</v>
      </c>
      <c r="AG23" s="467">
        <f>+'Cost + BS Assumptions'!AG92</f>
        <v>2741</v>
      </c>
      <c r="AH23" s="467">
        <f>+'Cost + BS Assumptions'!AH92</f>
        <v>2756</v>
      </c>
      <c r="AI23" s="467">
        <f>+'Cost + BS Assumptions'!AI92</f>
        <v>2771</v>
      </c>
      <c r="AJ23" s="467">
        <f>+'Cost + BS Assumptions'!AJ92</f>
        <v>2786</v>
      </c>
      <c r="AK23" s="467">
        <f>+'Cost + BS Assumptions'!AK92</f>
        <v>2801</v>
      </c>
      <c r="AL23" s="467">
        <f>+'Cost + BS Assumptions'!AL92</f>
        <v>2816</v>
      </c>
    </row>
    <row r="24" spans="1:38">
      <c r="A24" s="2"/>
      <c r="B24" s="36" t="s">
        <v>347</v>
      </c>
      <c r="C24" s="18" t="s">
        <v>732</v>
      </c>
      <c r="D24" s="618">
        <v>421</v>
      </c>
      <c r="E24" s="618">
        <v>1464</v>
      </c>
      <c r="F24" s="618">
        <v>1358</v>
      </c>
      <c r="G24" s="618">
        <v>1146</v>
      </c>
      <c r="H24" s="618">
        <v>1501</v>
      </c>
      <c r="I24" s="468">
        <f>'Cost + BS Assumptions'!I108</f>
        <v>4292</v>
      </c>
      <c r="J24" s="468">
        <f>'Cost + BS Assumptions'!J108</f>
        <v>4050</v>
      </c>
      <c r="K24" s="468">
        <f>'Cost + BS Assumptions'!K108</f>
        <v>4513</v>
      </c>
      <c r="L24" s="468">
        <f>'Cost + BS Assumptions'!L108</f>
        <v>5228</v>
      </c>
      <c r="M24" s="468">
        <f>'Cost + BS Assumptions'!M108</f>
        <v>6070</v>
      </c>
      <c r="N24" s="468">
        <f>'Cost + BS Assumptions'!N108</f>
        <v>6226</v>
      </c>
      <c r="O24" s="468">
        <f>'Cost + BS Assumptions'!O108</f>
        <v>6212</v>
      </c>
      <c r="P24" s="468">
        <f>'Cost + BS Assumptions'!P108</f>
        <v>6132</v>
      </c>
      <c r="Q24" s="468">
        <f>'Cost + BS Assumptions'!Q108</f>
        <v>6820</v>
      </c>
      <c r="R24" s="468">
        <f>'Cost + BS Assumptions'!R108</f>
        <v>5987</v>
      </c>
      <c r="S24" s="466">
        <f>'Cost + BS Assumptions'!S108-S25</f>
        <v>7680</v>
      </c>
      <c r="T24" s="466">
        <f>'Cost + BS Assumptions'!T108-T25</f>
        <v>7883</v>
      </c>
      <c r="U24" s="466">
        <f>'Cost + BS Assumptions'!U108-U25</f>
        <v>8289</v>
      </c>
      <c r="V24" s="466">
        <f>'Cost + BS Assumptions'!V108-V25</f>
        <v>6873</v>
      </c>
      <c r="W24" s="466">
        <f>'Cost + BS Assumptions'!W108-W25</f>
        <v>6134</v>
      </c>
      <c r="X24" s="466">
        <f>'Cost + BS Assumptions'!X108-X25</f>
        <v>6327</v>
      </c>
      <c r="Y24" s="466">
        <f>'Cost + BS Assumptions'!Y108-Y25</f>
        <v>6079</v>
      </c>
      <c r="Z24" s="466">
        <f>'Cost + BS Assumptions'!Z108-Z25</f>
        <v>6386</v>
      </c>
      <c r="AA24" s="466">
        <f>'Cost + BS Assumptions'!AA108-AA25</f>
        <v>7525</v>
      </c>
      <c r="AB24" s="466">
        <f>'Cost + BS Assumptions'!AB108-AB25</f>
        <v>8782</v>
      </c>
      <c r="AC24" s="466">
        <f>'Cost + BS Assumptions'!AC108-AC25</f>
        <v>8557</v>
      </c>
      <c r="AD24" s="466">
        <f>'Cost + BS Assumptions'!AD108-AD25</f>
        <v>8411.8932152555099</v>
      </c>
      <c r="AE24" s="466">
        <f>'Cost + BS Assumptions'!AE108-AE25</f>
        <v>8410.1213673838156</v>
      </c>
      <c r="AF24" s="466">
        <f>'Cost + BS Assumptions'!AF108-AF25</f>
        <v>8400.6501273874583</v>
      </c>
      <c r="AG24" s="466">
        <f>'Cost + BS Assumptions'!AG108-AG25</f>
        <v>8382.3430512083178</v>
      </c>
      <c r="AH24" s="466">
        <f>'Cost + BS Assumptions'!AH108-AH25</f>
        <v>8354.0101962461322</v>
      </c>
      <c r="AI24" s="466">
        <f>'Cost + BS Assumptions'!AI108-AI25</f>
        <v>8314.3759754312869</v>
      </c>
      <c r="AJ24" s="466">
        <f>'Cost + BS Assumptions'!AJ108-AJ25</f>
        <v>8262.044870042957</v>
      </c>
      <c r="AK24" s="466">
        <f>'Cost + BS Assumptions'!AK108-AK25</f>
        <v>8195.4633822225951</v>
      </c>
      <c r="AL24" s="466">
        <f>'Cost + BS Assumptions'!AL108-AL25</f>
        <v>7948.9735848234905</v>
      </c>
    </row>
    <row r="25" spans="1:38">
      <c r="A25" s="2"/>
      <c r="B25" s="36" t="s">
        <v>738</v>
      </c>
      <c r="C25" s="18" t="s">
        <v>732</v>
      </c>
      <c r="D25" s="618">
        <v>115</v>
      </c>
      <c r="E25" s="618">
        <v>1548</v>
      </c>
      <c r="F25" s="618">
        <v>2063</v>
      </c>
      <c r="G25" s="618">
        <v>2018</v>
      </c>
      <c r="H25" s="618">
        <v>2104</v>
      </c>
      <c r="I25" s="468">
        <v>2037</v>
      </c>
      <c r="J25" s="468">
        <v>2073</v>
      </c>
      <c r="K25" s="468">
        <v>2126</v>
      </c>
      <c r="L25" s="468">
        <v>2017</v>
      </c>
      <c r="M25" s="468">
        <v>2346</v>
      </c>
      <c r="N25" s="468">
        <v>1802</v>
      </c>
      <c r="O25" s="468">
        <v>1415</v>
      </c>
      <c r="P25" s="468">
        <v>1289</v>
      </c>
      <c r="Q25" s="618">
        <v>1382</v>
      </c>
      <c r="R25" s="618">
        <v>395</v>
      </c>
      <c r="S25" s="1107">
        <v>1652</v>
      </c>
      <c r="T25" s="1107">
        <v>1346</v>
      </c>
      <c r="U25" s="1107">
        <v>1269</v>
      </c>
      <c r="V25" s="1107">
        <v>1049</v>
      </c>
      <c r="W25" s="1107">
        <v>1076</v>
      </c>
      <c r="X25" s="1107">
        <v>1085</v>
      </c>
      <c r="Y25" s="1107">
        <v>1052</v>
      </c>
      <c r="Z25" s="1107">
        <v>1769</v>
      </c>
      <c r="AA25" s="1107">
        <v>3464</v>
      </c>
      <c r="AB25" s="1107">
        <v>3639</v>
      </c>
      <c r="AC25" s="1107">
        <v>3218</v>
      </c>
      <c r="AD25" s="938">
        <f>'Cost + BS Assumptions'!AD109</f>
        <v>3218</v>
      </c>
      <c r="AE25" s="938">
        <f>'Cost + BS Assumptions'!AE109</f>
        <v>3218</v>
      </c>
      <c r="AF25" s="938">
        <f>'Cost + BS Assumptions'!AF109</f>
        <v>3218</v>
      </c>
      <c r="AG25" s="938">
        <f>'Cost + BS Assumptions'!AG109</f>
        <v>3218</v>
      </c>
      <c r="AH25" s="938">
        <f>'Cost + BS Assumptions'!AH109</f>
        <v>3218</v>
      </c>
      <c r="AI25" s="938">
        <f>'Cost + BS Assumptions'!AI109</f>
        <v>3218</v>
      </c>
      <c r="AJ25" s="938">
        <f>'Cost + BS Assumptions'!AJ109</f>
        <v>3218</v>
      </c>
      <c r="AK25" s="938">
        <f>'Cost + BS Assumptions'!AK109</f>
        <v>3218</v>
      </c>
      <c r="AL25" s="938">
        <f>'Cost + BS Assumptions'!AL109</f>
        <v>3218</v>
      </c>
    </row>
    <row r="26" spans="1:38">
      <c r="A26" s="2"/>
      <c r="B26" s="36" t="s">
        <v>503</v>
      </c>
      <c r="C26" s="18" t="s">
        <v>732</v>
      </c>
      <c r="D26" s="618">
        <v>1440</v>
      </c>
      <c r="E26" s="618">
        <v>2192</v>
      </c>
      <c r="F26" s="618">
        <v>2675</v>
      </c>
      <c r="G26" s="618">
        <v>2520</v>
      </c>
      <c r="H26" s="618">
        <v>2328</v>
      </c>
      <c r="I26" s="618">
        <v>249</v>
      </c>
      <c r="J26" s="618">
        <v>1030</v>
      </c>
      <c r="K26" s="618">
        <v>815</v>
      </c>
      <c r="L26" s="618">
        <v>183</v>
      </c>
      <c r="M26" s="618">
        <v>189</v>
      </c>
      <c r="N26" s="618">
        <v>331</v>
      </c>
      <c r="O26" s="618">
        <v>393</v>
      </c>
      <c r="P26" s="180">
        <f>80+6</f>
        <v>86</v>
      </c>
      <c r="Q26" s="618">
        <f>5+3</f>
        <v>8</v>
      </c>
      <c r="R26" s="618">
        <f>7+44</f>
        <v>51</v>
      </c>
      <c r="S26" s="1107">
        <f>66+296</f>
        <v>362</v>
      </c>
      <c r="T26" s="1107">
        <f>54+15</f>
        <v>69</v>
      </c>
      <c r="U26" s="1107">
        <f>44+142</f>
        <v>186</v>
      </c>
      <c r="V26" s="938">
        <f t="shared" ref="V26:AA26" si="15">V27-SUM(V18:V25)</f>
        <v>2020</v>
      </c>
      <c r="W26" s="938">
        <f t="shared" si="15"/>
        <v>2019</v>
      </c>
      <c r="X26" s="938">
        <f t="shared" si="15"/>
        <v>1543</v>
      </c>
      <c r="Y26" s="938">
        <f t="shared" si="15"/>
        <v>1557</v>
      </c>
      <c r="Z26" s="938">
        <f t="shared" si="15"/>
        <v>1572</v>
      </c>
      <c r="AA26" s="938">
        <f t="shared" si="15"/>
        <v>1419</v>
      </c>
      <c r="AB26" s="938">
        <f t="shared" ref="AB26:AC26" si="16">AB27-SUM(AB18:AB25)</f>
        <v>1123</v>
      </c>
      <c r="AC26" s="938">
        <f t="shared" si="16"/>
        <v>1025</v>
      </c>
      <c r="AD26" s="938">
        <f>AC26-'Cash Flow Statement'!AD44</f>
        <v>1657</v>
      </c>
      <c r="AE26" s="938">
        <f>AD26-'Cash Flow Statement'!AE44</f>
        <v>2289</v>
      </c>
      <c r="AF26" s="938">
        <f>AE26-'Cash Flow Statement'!AF44</f>
        <v>2921</v>
      </c>
      <c r="AG26" s="938">
        <f>AF26-'Cash Flow Statement'!AG44</f>
        <v>3553</v>
      </c>
      <c r="AH26" s="938">
        <f>AG26-'Cash Flow Statement'!AH44</f>
        <v>4185</v>
      </c>
      <c r="AI26" s="938">
        <f>AH26-'Cash Flow Statement'!AI44</f>
        <v>4817</v>
      </c>
      <c r="AJ26" s="938">
        <f>AI26-'Cash Flow Statement'!AJ44</f>
        <v>5449</v>
      </c>
      <c r="AK26" s="938">
        <f>AJ26-'Cash Flow Statement'!AK44</f>
        <v>6081</v>
      </c>
      <c r="AL26" s="938">
        <f>AK26-'Cash Flow Statement'!AL44</f>
        <v>6713</v>
      </c>
    </row>
    <row r="27" spans="1:38">
      <c r="A27" s="6"/>
      <c r="B27" s="6" t="s">
        <v>1104</v>
      </c>
      <c r="C27" s="21" t="s">
        <v>732</v>
      </c>
      <c r="D27" s="60">
        <f t="shared" ref="D27:T27" si="17">SUM(D18:D26)</f>
        <v>25450</v>
      </c>
      <c r="E27" s="60">
        <f t="shared" si="17"/>
        <v>31220</v>
      </c>
      <c r="F27" s="60">
        <f t="shared" si="17"/>
        <v>31844</v>
      </c>
      <c r="G27" s="60">
        <f t="shared" si="17"/>
        <v>29842</v>
      </c>
      <c r="H27" s="60">
        <f t="shared" si="17"/>
        <v>29666</v>
      </c>
      <c r="I27" s="60">
        <f t="shared" si="17"/>
        <v>29629</v>
      </c>
      <c r="J27" s="60">
        <f t="shared" si="17"/>
        <v>31325</v>
      </c>
      <c r="K27" s="60">
        <f t="shared" si="17"/>
        <v>32536</v>
      </c>
      <c r="L27" s="60">
        <f t="shared" si="17"/>
        <v>32408</v>
      </c>
      <c r="M27" s="60">
        <f t="shared" si="17"/>
        <v>33770</v>
      </c>
      <c r="N27" s="60">
        <f t="shared" si="17"/>
        <v>32097</v>
      </c>
      <c r="O27" s="60">
        <f t="shared" si="17"/>
        <v>30460</v>
      </c>
      <c r="P27" s="60">
        <f t="shared" si="17"/>
        <v>29575</v>
      </c>
      <c r="Q27" s="60">
        <f t="shared" si="17"/>
        <v>30624</v>
      </c>
      <c r="R27" s="60">
        <f t="shared" si="17"/>
        <v>28922</v>
      </c>
      <c r="S27" s="341">
        <f t="shared" si="17"/>
        <v>33475</v>
      </c>
      <c r="T27" s="341">
        <f t="shared" si="17"/>
        <v>33946</v>
      </c>
      <c r="U27" s="341">
        <f>SUM(U18:U26)</f>
        <v>34271</v>
      </c>
      <c r="V27" s="1106">
        <v>35433</v>
      </c>
      <c r="W27" s="1106">
        <v>35286</v>
      </c>
      <c r="X27" s="1106">
        <v>37869</v>
      </c>
      <c r="Y27" s="1106">
        <v>35411</v>
      </c>
      <c r="Z27" s="1106">
        <v>35368</v>
      </c>
      <c r="AA27" s="1106">
        <v>38296</v>
      </c>
      <c r="AB27" s="1106">
        <v>39443</v>
      </c>
      <c r="AC27" s="1106">
        <v>38473</v>
      </c>
      <c r="AD27" s="341">
        <f t="shared" ref="AD27:AH27" si="18">SUM(AD18:AD26)</f>
        <v>38503.765073562121</v>
      </c>
      <c r="AE27" s="341">
        <f t="shared" si="18"/>
        <v>38669.867008244393</v>
      </c>
      <c r="AF27" s="341">
        <f t="shared" si="18"/>
        <v>38819.030280252402</v>
      </c>
      <c r="AG27" s="341">
        <f t="shared" si="18"/>
        <v>38948.754712658294</v>
      </c>
      <c r="AH27" s="341">
        <f t="shared" si="18"/>
        <v>39056.422431741485</v>
      </c>
      <c r="AI27" s="341">
        <f>SUM(AI18:AI26)</f>
        <v>39139.227145948826</v>
      </c>
      <c r="AJ27" s="341">
        <f t="shared" ref="AJ27:AK27" si="19">SUM(AJ18:AJ26)</f>
        <v>38891.767608706177</v>
      </c>
      <c r="AK27" s="341">
        <f t="shared" si="19"/>
        <v>38282.125359860656</v>
      </c>
      <c r="AL27" s="341">
        <f t="shared" ref="AL27" si="20">SUM(AL18:AL26)</f>
        <v>37446.457328010132</v>
      </c>
    </row>
    <row r="28" spans="1:38">
      <c r="A28" s="6"/>
      <c r="B28" s="6"/>
      <c r="C28" s="21"/>
      <c r="D28" s="60"/>
      <c r="E28" s="60"/>
      <c r="F28" s="60"/>
      <c r="G28" s="60"/>
      <c r="H28" s="60"/>
      <c r="I28" s="60"/>
      <c r="J28" s="60"/>
      <c r="K28" s="60"/>
      <c r="L28" s="60"/>
      <c r="M28" s="60"/>
      <c r="N28" s="60"/>
      <c r="O28" s="60"/>
      <c r="P28" s="60"/>
      <c r="Q28" s="60"/>
      <c r="R28" s="60"/>
      <c r="S28" s="341"/>
      <c r="T28" s="341"/>
      <c r="U28" s="341"/>
      <c r="V28" s="1106"/>
      <c r="W28" s="1106"/>
      <c r="X28" s="1106"/>
      <c r="Y28" s="1106"/>
      <c r="Z28" s="341"/>
      <c r="AA28" s="341"/>
      <c r="AB28" s="341"/>
      <c r="AC28" s="341"/>
      <c r="AD28" s="341"/>
      <c r="AE28" s="341"/>
      <c r="AF28" s="341"/>
      <c r="AG28" s="341"/>
      <c r="AH28" s="341"/>
      <c r="AI28" s="341"/>
      <c r="AJ28" s="341"/>
      <c r="AK28" s="341"/>
      <c r="AL28" s="341"/>
    </row>
    <row r="29" spans="1:38">
      <c r="A29" s="6"/>
      <c r="B29" s="6" t="s">
        <v>408</v>
      </c>
      <c r="C29" s="21" t="s">
        <v>732</v>
      </c>
      <c r="D29" s="60">
        <f t="shared" ref="D29:T29" si="21">D15+D27</f>
        <v>30339</v>
      </c>
      <c r="E29" s="60">
        <f t="shared" si="21"/>
        <v>37473</v>
      </c>
      <c r="F29" s="60">
        <f t="shared" si="21"/>
        <v>38219</v>
      </c>
      <c r="G29" s="60">
        <f t="shared" si="21"/>
        <v>35599</v>
      </c>
      <c r="H29" s="60">
        <f t="shared" si="21"/>
        <v>34993</v>
      </c>
      <c r="I29" s="60">
        <f t="shared" si="21"/>
        <v>35211</v>
      </c>
      <c r="J29" s="60">
        <f t="shared" si="21"/>
        <v>36224</v>
      </c>
      <c r="K29" s="60">
        <f t="shared" si="21"/>
        <v>37837</v>
      </c>
      <c r="L29" s="60">
        <f t="shared" si="21"/>
        <v>37921</v>
      </c>
      <c r="M29" s="60">
        <f t="shared" si="21"/>
        <v>39962</v>
      </c>
      <c r="N29" s="60">
        <f t="shared" si="21"/>
        <v>39282</v>
      </c>
      <c r="O29" s="60">
        <f t="shared" si="21"/>
        <v>37913</v>
      </c>
      <c r="P29" s="60">
        <f t="shared" si="21"/>
        <v>39525</v>
      </c>
      <c r="Q29" s="60">
        <f t="shared" si="21"/>
        <v>38527</v>
      </c>
      <c r="R29" s="60">
        <f t="shared" si="21"/>
        <v>39360</v>
      </c>
      <c r="S29" s="341">
        <f t="shared" si="21"/>
        <v>40445</v>
      </c>
      <c r="T29" s="341">
        <f t="shared" si="21"/>
        <v>43285.991403674998</v>
      </c>
      <c r="U29" s="341">
        <f>U15+U27</f>
        <v>42133</v>
      </c>
      <c r="V29" s="341">
        <f t="shared" ref="V29:Z29" si="22">V15+V27</f>
        <v>42635</v>
      </c>
      <c r="W29" s="341">
        <f>W15+W27</f>
        <v>42589</v>
      </c>
      <c r="X29" s="341">
        <f t="shared" si="22"/>
        <v>44403</v>
      </c>
      <c r="Y29" s="341">
        <f>Y15+Y27</f>
        <v>42525</v>
      </c>
      <c r="Z29" s="341">
        <f t="shared" si="22"/>
        <v>41628</v>
      </c>
      <c r="AA29" s="341">
        <f t="shared" ref="AA29:AB29" si="23">AA15+AA27</f>
        <v>45029</v>
      </c>
      <c r="AB29" s="341">
        <f t="shared" si="23"/>
        <v>45550</v>
      </c>
      <c r="AC29" s="341">
        <f t="shared" ref="AC29" si="24">AC15+AC27</f>
        <v>44968</v>
      </c>
      <c r="AD29" s="341">
        <f t="shared" ref="AD29:AH29" si="25">AD15+AD27</f>
        <v>44974.74182391994</v>
      </c>
      <c r="AE29" s="341">
        <f t="shared" si="25"/>
        <v>45480.008543767028</v>
      </c>
      <c r="AF29" s="341">
        <f t="shared" si="25"/>
        <v>46246.260334507002</v>
      </c>
      <c r="AG29" s="341">
        <f t="shared" si="25"/>
        <v>47029.802977739979</v>
      </c>
      <c r="AH29" s="341">
        <f t="shared" si="25"/>
        <v>47840.59212790025</v>
      </c>
      <c r="AI29" s="341">
        <f>AI15+AI27</f>
        <v>48682.498887273643</v>
      </c>
      <c r="AJ29" s="341">
        <f t="shared" ref="AJ29:AK29" si="26">AJ15+AJ27</f>
        <v>49564.121702899574</v>
      </c>
      <c r="AK29" s="341">
        <f t="shared" si="26"/>
        <v>50495.195511490179</v>
      </c>
      <c r="AL29" s="341">
        <f t="shared" ref="AL29" si="27">AL15+AL27</f>
        <v>51467.195272153753</v>
      </c>
    </row>
    <row r="30" spans="1:38">
      <c r="A30" s="6"/>
      <c r="B30" s="6"/>
      <c r="C30" s="21"/>
      <c r="D30" s="31"/>
      <c r="E30" s="42"/>
      <c r="F30" s="42"/>
      <c r="G30" s="42"/>
      <c r="H30" s="42"/>
      <c r="I30" s="42"/>
      <c r="J30" s="42"/>
      <c r="K30" s="42"/>
      <c r="L30" s="42"/>
      <c r="M30" s="42"/>
      <c r="N30" s="42"/>
      <c r="O30" s="42"/>
      <c r="P30" s="42"/>
      <c r="Q30" s="42"/>
      <c r="R30" s="42"/>
      <c r="S30" s="1105"/>
      <c r="T30" s="1105"/>
      <c r="U30" s="1105"/>
      <c r="V30" s="1105"/>
      <c r="W30" s="1105"/>
      <c r="X30" s="1105"/>
      <c r="Y30" s="1105"/>
      <c r="Z30" s="1105"/>
      <c r="AA30" s="1105"/>
      <c r="AB30" s="1105"/>
      <c r="AC30" s="1105"/>
      <c r="AD30" s="1105"/>
      <c r="AE30" s="1105"/>
      <c r="AF30" s="1105"/>
      <c r="AG30" s="1105"/>
      <c r="AH30" s="1105"/>
      <c r="AI30" s="1105"/>
      <c r="AJ30" s="1105"/>
      <c r="AK30" s="1105"/>
      <c r="AL30" s="1105"/>
    </row>
    <row r="31" spans="1:38">
      <c r="A31" s="6"/>
      <c r="B31" s="6" t="s">
        <v>410</v>
      </c>
      <c r="C31" s="21"/>
      <c r="D31" s="31"/>
      <c r="E31" s="42"/>
      <c r="F31" s="42"/>
      <c r="G31" s="42"/>
      <c r="H31" s="42"/>
      <c r="I31" s="42"/>
      <c r="J31" s="42"/>
      <c r="K31" s="42"/>
      <c r="L31" s="42"/>
      <c r="M31" s="42"/>
      <c r="N31" s="42"/>
      <c r="O31" s="42"/>
      <c r="P31" s="42"/>
      <c r="Q31" s="42"/>
      <c r="R31" s="42"/>
      <c r="S31" s="1105"/>
      <c r="T31" s="1105"/>
      <c r="U31" s="1105"/>
      <c r="V31" s="1105"/>
      <c r="W31" s="1105"/>
      <c r="X31" s="1105"/>
      <c r="Y31" s="1105"/>
      <c r="Z31" s="1105"/>
      <c r="AA31" s="1105"/>
      <c r="AB31" s="1105"/>
      <c r="AC31" s="1105"/>
      <c r="AD31" s="1105"/>
      <c r="AE31" s="1105"/>
      <c r="AF31" s="1105"/>
      <c r="AG31" s="1105"/>
      <c r="AH31" s="1105"/>
      <c r="AI31" s="1105"/>
      <c r="AJ31" s="1105"/>
      <c r="AK31" s="1105"/>
      <c r="AL31" s="1105"/>
    </row>
    <row r="32" spans="1:38">
      <c r="A32" s="2"/>
      <c r="B32" s="36" t="s">
        <v>507</v>
      </c>
      <c r="C32" s="18" t="s">
        <v>732</v>
      </c>
      <c r="D32" s="618">
        <v>2528</v>
      </c>
      <c r="E32" s="618">
        <v>2823</v>
      </c>
      <c r="F32" s="618">
        <v>2762</v>
      </c>
      <c r="G32" s="618">
        <v>2525</v>
      </c>
      <c r="H32" s="618">
        <v>2338</v>
      </c>
      <c r="I32" s="618">
        <v>2807</v>
      </c>
      <c r="J32" s="618">
        <v>3570</v>
      </c>
      <c r="K32" s="618">
        <v>4221</v>
      </c>
      <c r="L32" s="618">
        <v>3930</v>
      </c>
      <c r="M32" s="618">
        <v>3734</v>
      </c>
      <c r="N32" s="618">
        <v>3843</v>
      </c>
      <c r="O32" s="618">
        <v>4093</v>
      </c>
      <c r="P32" s="549">
        <v>4131</v>
      </c>
      <c r="Q32" s="549">
        <v>4241</v>
      </c>
      <c r="R32" s="549">
        <v>3834</v>
      </c>
      <c r="S32" s="1104">
        <v>4045</v>
      </c>
      <c r="T32" s="1104">
        <v>3948</v>
      </c>
      <c r="U32" s="1104">
        <v>4189</v>
      </c>
      <c r="V32" s="1104">
        <v>4528</v>
      </c>
      <c r="W32" s="1104">
        <v>4528</v>
      </c>
      <c r="X32" s="1104">
        <v>3980</v>
      </c>
      <c r="Y32" s="1104">
        <v>3766</v>
      </c>
      <c r="Z32" s="1104">
        <v>4189</v>
      </c>
      <c r="AA32" s="1104">
        <v>4365</v>
      </c>
      <c r="AB32" s="1104">
        <v>4626</v>
      </c>
      <c r="AC32" s="1104">
        <v>4212</v>
      </c>
      <c r="AD32" s="467">
        <f>'Cost + BS Assumptions'!AD173*'P&amp;L'!AD21/365</f>
        <v>4564.0734067421818</v>
      </c>
      <c r="AE32" s="467">
        <f>'Cost + BS Assumptions'!AE173*'P&amp;L'!AE21/365</f>
        <v>4664.0394088545891</v>
      </c>
      <c r="AF32" s="467">
        <f>'Cost + BS Assumptions'!AF173*'P&amp;L'!AF21/365</f>
        <v>4781.7888021490362</v>
      </c>
      <c r="AG32" s="467">
        <f>'Cost + BS Assumptions'!AG173*'P&amp;L'!AG21/365</f>
        <v>4918.8961238966422</v>
      </c>
      <c r="AH32" s="467">
        <f>'Cost + BS Assumptions'!AH173*'P&amp;L'!AH21/365</f>
        <v>5079.8228939306873</v>
      </c>
      <c r="AI32" s="467">
        <f>'Cost + BS Assumptions'!AI173*'P&amp;L'!AI21/365</f>
        <v>5262.2773498936986</v>
      </c>
      <c r="AJ32" s="467">
        <f>'Cost + BS Assumptions'!AJ173*'P&amp;L'!AJ21/365</f>
        <v>5468.114108296616</v>
      </c>
      <c r="AK32" s="467">
        <f>'Cost + BS Assumptions'!AK173*'P&amp;L'!AK21/365</f>
        <v>5699.8333750639013</v>
      </c>
      <c r="AL32" s="467">
        <f>'Cost + BS Assumptions'!AL173*'P&amp;L'!AL21/365</f>
        <v>5932.1014540298629</v>
      </c>
    </row>
    <row r="33" spans="1:43">
      <c r="A33" s="2"/>
      <c r="B33" s="645" t="s">
        <v>338</v>
      </c>
      <c r="C33" s="630" t="s">
        <v>732</v>
      </c>
      <c r="D33" s="685">
        <v>3316</v>
      </c>
      <c r="E33" s="685">
        <v>2604</v>
      </c>
      <c r="F33" s="685">
        <v>1896</v>
      </c>
      <c r="G33" s="685">
        <v>1323</v>
      </c>
      <c r="H33" s="685">
        <v>3246</v>
      </c>
      <c r="I33" s="685">
        <v>1507</v>
      </c>
      <c r="J33" s="685">
        <v>1982</v>
      </c>
      <c r="K33" s="685">
        <v>2743</v>
      </c>
      <c r="L33" s="685">
        <v>2055</v>
      </c>
      <c r="M33" s="685">
        <v>1979</v>
      </c>
      <c r="N33" s="685">
        <v>2540</v>
      </c>
      <c r="O33" s="685">
        <v>1990</v>
      </c>
      <c r="P33" s="687">
        <v>3306</v>
      </c>
      <c r="Q33" s="687">
        <v>751</v>
      </c>
      <c r="R33" s="687">
        <v>2277</v>
      </c>
      <c r="S33" s="1103">
        <v>1496</v>
      </c>
      <c r="T33" s="1103">
        <v>2655</v>
      </c>
      <c r="U33" s="1103">
        <v>2476</v>
      </c>
      <c r="V33" s="1103">
        <v>1635</v>
      </c>
      <c r="W33" s="1103">
        <v>2222</v>
      </c>
      <c r="X33" s="1103">
        <v>2763</v>
      </c>
      <c r="Y33" s="1103">
        <v>3631</v>
      </c>
      <c r="Z33" s="1103">
        <v>2690</v>
      </c>
      <c r="AA33" s="1103">
        <f>2662+448</f>
        <v>3110</v>
      </c>
      <c r="AB33" s="1103">
        <f>3698+530</f>
        <v>4228</v>
      </c>
      <c r="AC33" s="1103">
        <f>4314+502</f>
        <v>4816</v>
      </c>
      <c r="AD33" s="1108">
        <f t="shared" ref="AD33:AL33" si="28">AC33</f>
        <v>4816</v>
      </c>
      <c r="AE33" s="1108">
        <f t="shared" si="28"/>
        <v>4816</v>
      </c>
      <c r="AF33" s="1108">
        <f t="shared" si="28"/>
        <v>4816</v>
      </c>
      <c r="AG33" s="1108">
        <f t="shared" si="28"/>
        <v>4816</v>
      </c>
      <c r="AH33" s="1108">
        <f t="shared" si="28"/>
        <v>4816</v>
      </c>
      <c r="AI33" s="1108">
        <f t="shared" si="28"/>
        <v>4816</v>
      </c>
      <c r="AJ33" s="1108">
        <f t="shared" si="28"/>
        <v>4816</v>
      </c>
      <c r="AK33" s="1108">
        <f t="shared" si="28"/>
        <v>4816</v>
      </c>
      <c r="AL33" s="1108">
        <f t="shared" si="28"/>
        <v>4816</v>
      </c>
    </row>
    <row r="34" spans="1:43">
      <c r="A34" s="2"/>
      <c r="B34" s="36" t="s">
        <v>397</v>
      </c>
      <c r="C34" s="18" t="s">
        <v>732</v>
      </c>
      <c r="D34" s="180"/>
      <c r="E34" s="180"/>
      <c r="F34" s="180"/>
      <c r="G34" s="180"/>
      <c r="H34" s="180"/>
      <c r="I34" s="618">
        <v>11</v>
      </c>
      <c r="J34" s="618">
        <v>12</v>
      </c>
      <c r="K34" s="618">
        <v>177</v>
      </c>
      <c r="L34" s="618">
        <v>82</v>
      </c>
      <c r="M34" s="618">
        <v>111</v>
      </c>
      <c r="N34" s="618">
        <v>384</v>
      </c>
      <c r="O34" s="618">
        <v>634</v>
      </c>
      <c r="P34" s="549">
        <v>299</v>
      </c>
      <c r="Q34" s="549">
        <v>44</v>
      </c>
      <c r="R34" s="549">
        <v>400</v>
      </c>
      <c r="S34" s="1104">
        <v>214</v>
      </c>
      <c r="T34" s="1104">
        <v>286</v>
      </c>
      <c r="U34" s="1104">
        <v>42</v>
      </c>
      <c r="V34" s="1104">
        <v>1</v>
      </c>
      <c r="W34" s="1104">
        <v>57</v>
      </c>
      <c r="X34" s="1104">
        <v>54</v>
      </c>
      <c r="Y34" s="1104">
        <v>26</v>
      </c>
      <c r="Z34" s="1104">
        <v>0</v>
      </c>
      <c r="AA34" s="1104">
        <v>0</v>
      </c>
      <c r="AB34" s="1104">
        <v>0</v>
      </c>
      <c r="AC34" s="1104">
        <v>0</v>
      </c>
      <c r="AD34" s="1105">
        <f t="shared" ref="AD34:AI37" si="29">AC34</f>
        <v>0</v>
      </c>
      <c r="AE34" s="1105">
        <f t="shared" si="29"/>
        <v>0</v>
      </c>
      <c r="AF34" s="1105">
        <f t="shared" si="29"/>
        <v>0</v>
      </c>
      <c r="AG34" s="1105">
        <f t="shared" si="29"/>
        <v>0</v>
      </c>
      <c r="AH34" s="1105">
        <f t="shared" si="29"/>
        <v>0</v>
      </c>
      <c r="AI34" s="1105">
        <f t="shared" si="29"/>
        <v>0</v>
      </c>
      <c r="AJ34" s="1105">
        <f t="shared" ref="AJ34:AJ37" si="30">AI34</f>
        <v>0</v>
      </c>
      <c r="AK34" s="1105">
        <f t="shared" ref="AK34:AL37" si="31">AJ34</f>
        <v>0</v>
      </c>
      <c r="AL34" s="1105">
        <f t="shared" si="31"/>
        <v>0</v>
      </c>
    </row>
    <row r="35" spans="1:43">
      <c r="A35" s="2"/>
      <c r="B35" s="2" t="s">
        <v>395</v>
      </c>
      <c r="C35" s="18" t="s">
        <v>732</v>
      </c>
      <c r="D35" s="180"/>
      <c r="E35" s="618">
        <v>1128</v>
      </c>
      <c r="F35" s="618">
        <v>1037</v>
      </c>
      <c r="G35" s="618">
        <v>973</v>
      </c>
      <c r="H35" s="618">
        <v>1095</v>
      </c>
      <c r="I35" s="618">
        <v>1132</v>
      </c>
      <c r="J35" s="618">
        <v>1170</v>
      </c>
      <c r="K35" s="618">
        <v>1192</v>
      </c>
      <c r="L35" s="618">
        <v>1257</v>
      </c>
      <c r="M35" s="618">
        <v>1171</v>
      </c>
      <c r="N35" s="618">
        <v>1102</v>
      </c>
      <c r="O35" s="618">
        <v>1018</v>
      </c>
      <c r="P35" s="549">
        <v>1170</v>
      </c>
      <c r="Q35" s="549">
        <v>1124</v>
      </c>
      <c r="R35" s="549">
        <v>926</v>
      </c>
      <c r="S35" s="1104">
        <v>1113</v>
      </c>
      <c r="T35" s="1104">
        <v>1118</v>
      </c>
      <c r="U35" s="1104">
        <v>1236</v>
      </c>
      <c r="V35" s="1104">
        <v>1532</v>
      </c>
      <c r="W35" s="1104">
        <v>1657</v>
      </c>
      <c r="X35" s="1104">
        <v>1611</v>
      </c>
      <c r="Y35" s="1104">
        <v>1605</v>
      </c>
      <c r="Z35" s="1104">
        <v>1622</v>
      </c>
      <c r="AA35" s="1104">
        <v>1495</v>
      </c>
      <c r="AB35" s="1104">
        <v>1477</v>
      </c>
      <c r="AC35" s="1104">
        <v>1487</v>
      </c>
      <c r="AD35" s="1105">
        <f t="shared" si="29"/>
        <v>1487</v>
      </c>
      <c r="AE35" s="1105">
        <f t="shared" si="29"/>
        <v>1487</v>
      </c>
      <c r="AF35" s="1105">
        <f t="shared" si="29"/>
        <v>1487</v>
      </c>
      <c r="AG35" s="1105">
        <f t="shared" si="29"/>
        <v>1487</v>
      </c>
      <c r="AH35" s="1105">
        <f t="shared" si="29"/>
        <v>1487</v>
      </c>
      <c r="AI35" s="1105">
        <f t="shared" si="29"/>
        <v>1487</v>
      </c>
      <c r="AJ35" s="1105">
        <f t="shared" si="30"/>
        <v>1487</v>
      </c>
      <c r="AK35" s="1105">
        <f t="shared" si="31"/>
        <v>1487</v>
      </c>
      <c r="AL35" s="1105">
        <f t="shared" si="31"/>
        <v>1487</v>
      </c>
    </row>
    <row r="36" spans="1:43">
      <c r="A36" s="2"/>
      <c r="B36" s="36" t="s">
        <v>409</v>
      </c>
      <c r="C36" s="18" t="s">
        <v>732</v>
      </c>
      <c r="D36" s="618">
        <v>2842</v>
      </c>
      <c r="E36" s="618">
        <v>2724</v>
      </c>
      <c r="F36" s="618">
        <v>2535</v>
      </c>
      <c r="G36" s="618">
        <v>1013</v>
      </c>
      <c r="H36" s="618">
        <v>897</v>
      </c>
      <c r="I36" s="618">
        <v>955</v>
      </c>
      <c r="J36" s="618">
        <v>737</v>
      </c>
      <c r="K36" s="618">
        <v>614</v>
      </c>
      <c r="L36" s="618">
        <v>535</v>
      </c>
      <c r="M36" s="618">
        <v>495</v>
      </c>
      <c r="N36" s="618">
        <v>389</v>
      </c>
      <c r="O36" s="618">
        <v>394</v>
      </c>
      <c r="P36" s="549">
        <v>942</v>
      </c>
      <c r="Q36" s="549">
        <v>918</v>
      </c>
      <c r="R36" s="549">
        <v>932</v>
      </c>
      <c r="S36" s="1104">
        <v>970</v>
      </c>
      <c r="T36" s="1104">
        <f>913+92</f>
        <v>1005</v>
      </c>
      <c r="U36" s="1104">
        <f>865+190</f>
        <v>1055</v>
      </c>
      <c r="V36" s="1104">
        <f>868+89</f>
        <v>957</v>
      </c>
      <c r="W36" s="1104">
        <f>804+103</f>
        <v>907</v>
      </c>
      <c r="X36" s="1104">
        <f>727+124</f>
        <v>851</v>
      </c>
      <c r="Y36" s="1104">
        <f>682+87</f>
        <v>769</v>
      </c>
      <c r="Z36" s="1104">
        <f>667+160</f>
        <v>827</v>
      </c>
      <c r="AA36" s="1104">
        <v>327</v>
      </c>
      <c r="AB36" s="1104">
        <v>349</v>
      </c>
      <c r="AC36" s="1104">
        <v>130</v>
      </c>
      <c r="AD36" s="1105">
        <f t="shared" si="29"/>
        <v>130</v>
      </c>
      <c r="AE36" s="1105">
        <f t="shared" si="29"/>
        <v>130</v>
      </c>
      <c r="AF36" s="1105">
        <f t="shared" si="29"/>
        <v>130</v>
      </c>
      <c r="AG36" s="1105">
        <f t="shared" si="29"/>
        <v>130</v>
      </c>
      <c r="AH36" s="1105">
        <f t="shared" si="29"/>
        <v>130</v>
      </c>
      <c r="AI36" s="1105">
        <f t="shared" si="29"/>
        <v>130</v>
      </c>
      <c r="AJ36" s="1105">
        <f t="shared" si="30"/>
        <v>130</v>
      </c>
      <c r="AK36" s="1105">
        <f t="shared" si="31"/>
        <v>130</v>
      </c>
      <c r="AL36" s="1105">
        <f t="shared" si="31"/>
        <v>130</v>
      </c>
    </row>
    <row r="37" spans="1:43">
      <c r="A37" s="2"/>
      <c r="B37" s="36" t="s">
        <v>28</v>
      </c>
      <c r="C37" s="18" t="s">
        <v>732</v>
      </c>
      <c r="D37" s="618">
        <v>735</v>
      </c>
      <c r="E37" s="618">
        <v>0</v>
      </c>
      <c r="F37" s="618">
        <v>0</v>
      </c>
      <c r="G37" s="618">
        <v>0</v>
      </c>
      <c r="H37" s="618">
        <v>0</v>
      </c>
      <c r="I37" s="618">
        <v>0</v>
      </c>
      <c r="J37" s="618">
        <v>428</v>
      </c>
      <c r="K37" s="618">
        <v>449</v>
      </c>
      <c r="L37" s="618">
        <v>264</v>
      </c>
      <c r="M37" s="618">
        <v>262</v>
      </c>
      <c r="N37" s="618">
        <v>424</v>
      </c>
      <c r="O37" s="618">
        <v>409</v>
      </c>
      <c r="P37" s="132">
        <f>731+105</f>
        <v>836</v>
      </c>
      <c r="Q37" s="549">
        <v>444</v>
      </c>
      <c r="R37" s="549">
        <f>19+296</f>
        <v>315</v>
      </c>
      <c r="S37" s="1104">
        <v>291</v>
      </c>
      <c r="T37" s="1104">
        <v>176</v>
      </c>
      <c r="U37" s="1104">
        <v>161</v>
      </c>
      <c r="V37" s="1105">
        <f t="shared" ref="V37:AA37" si="32">V38-SUM(V32:V36)</f>
        <v>132</v>
      </c>
      <c r="W37" s="1105">
        <f t="shared" si="32"/>
        <v>182</v>
      </c>
      <c r="X37" s="1105">
        <f t="shared" si="32"/>
        <v>835</v>
      </c>
      <c r="Y37" s="1105">
        <f t="shared" si="32"/>
        <v>627</v>
      </c>
      <c r="Z37" s="1105">
        <f t="shared" si="32"/>
        <v>532</v>
      </c>
      <c r="AA37" s="1105">
        <f t="shared" si="32"/>
        <v>795</v>
      </c>
      <c r="AB37" s="1105">
        <f t="shared" ref="AB37:AC37" si="33">AB38-SUM(AB32:AB36)</f>
        <v>846</v>
      </c>
      <c r="AC37" s="1105">
        <f t="shared" si="33"/>
        <v>876</v>
      </c>
      <c r="AD37" s="1105">
        <f t="shared" si="29"/>
        <v>876</v>
      </c>
      <c r="AE37" s="1105">
        <f t="shared" si="29"/>
        <v>876</v>
      </c>
      <c r="AF37" s="1105">
        <f t="shared" si="29"/>
        <v>876</v>
      </c>
      <c r="AG37" s="1105">
        <f t="shared" si="29"/>
        <v>876</v>
      </c>
      <c r="AH37" s="1105">
        <f t="shared" si="29"/>
        <v>876</v>
      </c>
      <c r="AI37" s="1105">
        <f t="shared" si="29"/>
        <v>876</v>
      </c>
      <c r="AJ37" s="1105">
        <f t="shared" si="30"/>
        <v>876</v>
      </c>
      <c r="AK37" s="1105">
        <f t="shared" si="31"/>
        <v>876</v>
      </c>
      <c r="AL37" s="1105">
        <f t="shared" si="31"/>
        <v>876</v>
      </c>
    </row>
    <row r="38" spans="1:43">
      <c r="A38" s="6"/>
      <c r="B38" s="6" t="s">
        <v>743</v>
      </c>
      <c r="C38" s="21" t="s">
        <v>732</v>
      </c>
      <c r="D38" s="60">
        <f t="shared" ref="D38:T38" si="34">SUM(D32:D37)</f>
        <v>9421</v>
      </c>
      <c r="E38" s="60">
        <f t="shared" si="34"/>
        <v>9279</v>
      </c>
      <c r="F38" s="60">
        <f t="shared" si="34"/>
        <v>8230</v>
      </c>
      <c r="G38" s="60">
        <f t="shared" si="34"/>
        <v>5834</v>
      </c>
      <c r="H38" s="60">
        <f t="shared" si="34"/>
        <v>7576</v>
      </c>
      <c r="I38" s="60">
        <f t="shared" si="34"/>
        <v>6412</v>
      </c>
      <c r="J38" s="60">
        <f t="shared" si="34"/>
        <v>7899</v>
      </c>
      <c r="K38" s="60">
        <f t="shared" si="34"/>
        <v>9396</v>
      </c>
      <c r="L38" s="60">
        <f t="shared" si="34"/>
        <v>8123</v>
      </c>
      <c r="M38" s="60">
        <f t="shared" si="34"/>
        <v>7752</v>
      </c>
      <c r="N38" s="60">
        <f t="shared" si="34"/>
        <v>8682</v>
      </c>
      <c r="O38" s="60">
        <f t="shared" si="34"/>
        <v>8538</v>
      </c>
      <c r="P38" s="60">
        <f t="shared" si="34"/>
        <v>10684</v>
      </c>
      <c r="Q38" s="60">
        <f t="shared" si="34"/>
        <v>7522</v>
      </c>
      <c r="R38" s="60">
        <f t="shared" si="34"/>
        <v>8684</v>
      </c>
      <c r="S38" s="341">
        <f t="shared" si="34"/>
        <v>8129</v>
      </c>
      <c r="T38" s="341">
        <f t="shared" si="34"/>
        <v>9188</v>
      </c>
      <c r="U38" s="341">
        <f>SUM(U32:U37)</f>
        <v>9159</v>
      </c>
      <c r="V38" s="1106">
        <v>8785</v>
      </c>
      <c r="W38" s="1106">
        <v>9553</v>
      </c>
      <c r="X38" s="1106">
        <v>10094</v>
      </c>
      <c r="Y38" s="1106">
        <v>10424</v>
      </c>
      <c r="Z38" s="1106">
        <v>9860</v>
      </c>
      <c r="AA38" s="1106">
        <v>10092</v>
      </c>
      <c r="AB38" s="1106">
        <v>11526</v>
      </c>
      <c r="AC38" s="1106">
        <v>11521</v>
      </c>
      <c r="AD38" s="341">
        <f t="shared" ref="AD38:AH38" si="35">SUM(AD32:AD37)</f>
        <v>11873.073406742182</v>
      </c>
      <c r="AE38" s="341">
        <f t="shared" si="35"/>
        <v>11973.039408854589</v>
      </c>
      <c r="AF38" s="341">
        <f t="shared" si="35"/>
        <v>12090.788802149036</v>
      </c>
      <c r="AG38" s="341">
        <f t="shared" si="35"/>
        <v>12227.896123896642</v>
      </c>
      <c r="AH38" s="341">
        <f t="shared" si="35"/>
        <v>12388.822893930686</v>
      </c>
      <c r="AI38" s="341">
        <f>SUM(AI32:AI37)</f>
        <v>12571.277349893699</v>
      </c>
      <c r="AJ38" s="341">
        <f t="shared" ref="AJ38:AK38" si="36">SUM(AJ32:AJ37)</f>
        <v>12777.114108296617</v>
      </c>
      <c r="AK38" s="341">
        <f t="shared" si="36"/>
        <v>13008.833375063901</v>
      </c>
      <c r="AL38" s="341">
        <f t="shared" ref="AL38" si="37">SUM(AL32:AL37)</f>
        <v>13241.101454029864</v>
      </c>
    </row>
    <row r="39" spans="1:43">
      <c r="A39" s="6"/>
      <c r="B39" s="6"/>
      <c r="C39" s="21"/>
      <c r="D39" s="31"/>
      <c r="E39" s="42"/>
      <c r="F39" s="42"/>
      <c r="G39" s="42"/>
      <c r="H39" s="42"/>
      <c r="I39" s="42"/>
      <c r="J39" s="42"/>
      <c r="K39" s="42"/>
      <c r="L39" s="42"/>
      <c r="M39" s="42"/>
      <c r="N39" s="42"/>
      <c r="O39" s="42"/>
      <c r="P39" s="42"/>
      <c r="Q39" s="42"/>
      <c r="R39" s="42"/>
      <c r="S39" s="1105"/>
      <c r="T39" s="1105"/>
      <c r="U39" s="1105"/>
      <c r="V39" s="1105"/>
      <c r="W39" s="1105"/>
      <c r="X39" s="1105"/>
      <c r="Y39" s="1105"/>
      <c r="Z39" s="1105"/>
      <c r="AA39" s="1105"/>
      <c r="AB39" s="1105"/>
      <c r="AC39" s="1105"/>
      <c r="AD39" s="1105"/>
      <c r="AE39" s="1105"/>
      <c r="AF39" s="1105"/>
      <c r="AG39" s="1105"/>
      <c r="AH39" s="1105"/>
      <c r="AI39" s="1105"/>
      <c r="AJ39" s="1105"/>
      <c r="AK39" s="1105"/>
      <c r="AL39" s="1105"/>
    </row>
    <row r="40" spans="1:43">
      <c r="A40" s="6"/>
      <c r="B40" s="6" t="s">
        <v>183</v>
      </c>
      <c r="C40" s="21"/>
      <c r="D40" s="31"/>
      <c r="E40" s="42"/>
      <c r="F40" s="42"/>
      <c r="G40" s="42"/>
      <c r="H40" s="42"/>
      <c r="I40" s="42"/>
      <c r="J40" s="42"/>
      <c r="K40" s="42"/>
      <c r="L40" s="42"/>
      <c r="M40" s="42"/>
      <c r="N40" s="42"/>
      <c r="O40" s="42"/>
      <c r="P40" s="42"/>
      <c r="Q40" s="42"/>
      <c r="R40" s="42"/>
      <c r="S40" s="1105"/>
      <c r="T40" s="1105"/>
      <c r="U40" s="1105"/>
      <c r="V40" s="1105"/>
      <c r="W40" s="1105"/>
      <c r="X40" s="1105"/>
      <c r="Y40" s="1105"/>
      <c r="Z40" s="1105"/>
      <c r="AA40" s="1105"/>
      <c r="AB40" s="1105"/>
      <c r="AC40" s="1105"/>
      <c r="AD40" s="1105"/>
      <c r="AE40" s="1105"/>
      <c r="AF40" s="1105"/>
      <c r="AG40" s="1105"/>
      <c r="AH40" s="1105"/>
      <c r="AI40" s="1105"/>
      <c r="AJ40" s="1105"/>
      <c r="AK40" s="1105"/>
      <c r="AL40" s="1105"/>
    </row>
    <row r="41" spans="1:43">
      <c r="A41" s="2"/>
      <c r="B41" s="36" t="s">
        <v>507</v>
      </c>
      <c r="C41" s="18" t="s">
        <v>732</v>
      </c>
      <c r="D41" s="618">
        <v>728</v>
      </c>
      <c r="E41" s="618">
        <v>463</v>
      </c>
      <c r="F41" s="618">
        <v>567</v>
      </c>
      <c r="G41" s="618">
        <v>483</v>
      </c>
      <c r="H41" s="618">
        <v>457</v>
      </c>
      <c r="I41" s="618">
        <v>638</v>
      </c>
      <c r="J41" s="618">
        <v>197</v>
      </c>
      <c r="K41" s="618">
        <v>567</v>
      </c>
      <c r="L41" s="618">
        <v>181</v>
      </c>
      <c r="M41" s="618">
        <v>245</v>
      </c>
      <c r="N41" s="618">
        <v>248</v>
      </c>
      <c r="O41" s="618">
        <v>177</v>
      </c>
      <c r="P41" s="549">
        <v>174</v>
      </c>
      <c r="Q41" s="549">
        <v>163</v>
      </c>
      <c r="R41" s="549">
        <v>66</v>
      </c>
      <c r="S41" s="1104">
        <v>74</v>
      </c>
      <c r="T41" s="1104">
        <v>66</v>
      </c>
      <c r="U41" s="1104">
        <v>70</v>
      </c>
      <c r="V41" s="1104">
        <v>65</v>
      </c>
      <c r="W41" s="1104">
        <v>68</v>
      </c>
      <c r="X41" s="1104">
        <v>4</v>
      </c>
      <c r="Y41" s="1104">
        <v>9</v>
      </c>
      <c r="Z41" s="1104">
        <v>233</v>
      </c>
      <c r="AA41" s="1104">
        <v>208</v>
      </c>
      <c r="AB41" s="1104">
        <v>10</v>
      </c>
      <c r="AC41" s="1104">
        <v>28</v>
      </c>
      <c r="AD41" s="1105">
        <f t="shared" ref="AD41:AI41" si="38">AC41</f>
        <v>28</v>
      </c>
      <c r="AE41" s="1105">
        <f t="shared" si="38"/>
        <v>28</v>
      </c>
      <c r="AF41" s="1105">
        <f t="shared" si="38"/>
        <v>28</v>
      </c>
      <c r="AG41" s="1105">
        <f t="shared" si="38"/>
        <v>28</v>
      </c>
      <c r="AH41" s="1105">
        <f t="shared" si="38"/>
        <v>28</v>
      </c>
      <c r="AI41" s="1105">
        <f t="shared" si="38"/>
        <v>28</v>
      </c>
      <c r="AJ41" s="1105">
        <f t="shared" ref="AJ41:AJ46" si="39">AI41</f>
        <v>28</v>
      </c>
      <c r="AK41" s="1105">
        <f t="shared" ref="AK41:AL46" si="40">AJ41</f>
        <v>28</v>
      </c>
      <c r="AL41" s="1105">
        <f t="shared" si="40"/>
        <v>28</v>
      </c>
    </row>
    <row r="42" spans="1:43">
      <c r="A42" s="2"/>
      <c r="B42" s="645" t="s">
        <v>338</v>
      </c>
      <c r="C42" s="630" t="s">
        <v>732</v>
      </c>
      <c r="D42" s="685">
        <v>6505</v>
      </c>
      <c r="E42" s="685">
        <v>11386</v>
      </c>
      <c r="F42" s="685">
        <v>12481</v>
      </c>
      <c r="G42" s="685">
        <v>11232</v>
      </c>
      <c r="H42" s="685">
        <v>9014</v>
      </c>
      <c r="I42" s="685">
        <v>10941</v>
      </c>
      <c r="J42" s="685">
        <v>11442</v>
      </c>
      <c r="K42" s="685">
        <v>11619</v>
      </c>
      <c r="L42" s="685">
        <v>13444</v>
      </c>
      <c r="M42" s="685">
        <v>15344</v>
      </c>
      <c r="N42" s="685">
        <v>12370</v>
      </c>
      <c r="O42" s="685">
        <v>12178</v>
      </c>
      <c r="P42" s="687">
        <v>11958</v>
      </c>
      <c r="Q42" s="687">
        <v>14313</v>
      </c>
      <c r="R42" s="687">
        <v>13547</v>
      </c>
      <c r="S42" s="1103">
        <v>14138</v>
      </c>
      <c r="T42" s="1103">
        <v>14647</v>
      </c>
      <c r="U42" s="1103">
        <v>14808</v>
      </c>
      <c r="V42" s="1103">
        <v>15316</v>
      </c>
      <c r="W42" s="1103">
        <v>15031</v>
      </c>
      <c r="X42" s="1103">
        <v>13066</v>
      </c>
      <c r="Y42" s="1103">
        <v>10505</v>
      </c>
      <c r="Z42" s="1103">
        <v>8292</v>
      </c>
      <c r="AA42" s="1103">
        <v>10013</v>
      </c>
      <c r="AB42" s="1103">
        <v>10162</v>
      </c>
      <c r="AC42" s="1103">
        <v>10582</v>
      </c>
      <c r="AD42" s="1108">
        <f>AC42+'Cash Flow Statement'!AD45</f>
        <v>11182</v>
      </c>
      <c r="AE42" s="1108">
        <f>AD42+'Cash Flow Statement'!AE45</f>
        <v>11782</v>
      </c>
      <c r="AF42" s="1108">
        <f>AE42+'Cash Flow Statement'!AF45</f>
        <v>12382</v>
      </c>
      <c r="AG42" s="1108">
        <f>AF42+'Cash Flow Statement'!AG45</f>
        <v>12982</v>
      </c>
      <c r="AH42" s="1108">
        <f>AG42+'Cash Flow Statement'!AH45</f>
        <v>13582</v>
      </c>
      <c r="AI42" s="1108">
        <f>AH42+'Cash Flow Statement'!AI45</f>
        <v>14182</v>
      </c>
      <c r="AJ42" s="1108">
        <f>AI42+'Cash Flow Statement'!AJ45</f>
        <v>14782</v>
      </c>
      <c r="AK42" s="1108">
        <f>AJ42+'Cash Flow Statement'!AK45</f>
        <v>15382</v>
      </c>
      <c r="AL42" s="1108">
        <f>AK42+'Cash Flow Statement'!AL45</f>
        <v>15982</v>
      </c>
    </row>
    <row r="43" spans="1:43">
      <c r="A43" s="2"/>
      <c r="B43" s="36" t="s">
        <v>397</v>
      </c>
      <c r="C43" s="18" t="s">
        <v>732</v>
      </c>
      <c r="D43" s="180"/>
      <c r="E43" s="180"/>
      <c r="F43" s="180"/>
      <c r="G43" s="180"/>
      <c r="H43" s="180"/>
      <c r="I43" s="618">
        <v>864</v>
      </c>
      <c r="J43" s="618">
        <v>768</v>
      </c>
      <c r="K43" s="618">
        <v>1328</v>
      </c>
      <c r="L43" s="618">
        <v>1222</v>
      </c>
      <c r="M43" s="618">
        <v>819</v>
      </c>
      <c r="N43" s="618">
        <v>1518</v>
      </c>
      <c r="O43" s="618">
        <v>1799</v>
      </c>
      <c r="P43" s="549">
        <v>2349</v>
      </c>
      <c r="Q43" s="549">
        <v>1625</v>
      </c>
      <c r="R43" s="549">
        <v>1169</v>
      </c>
      <c r="S43" s="1104">
        <v>911</v>
      </c>
      <c r="T43" s="1104">
        <v>663</v>
      </c>
      <c r="U43" s="1104">
        <v>536</v>
      </c>
      <c r="V43" s="1104">
        <v>388</v>
      </c>
      <c r="W43" s="1104">
        <v>283</v>
      </c>
      <c r="X43" s="1104">
        <v>320</v>
      </c>
      <c r="Y43" s="1104">
        <v>331</v>
      </c>
      <c r="Z43" s="1104">
        <v>305</v>
      </c>
      <c r="AA43" s="1104">
        <v>189</v>
      </c>
      <c r="AB43" s="1104">
        <v>176</v>
      </c>
      <c r="AC43" s="1104">
        <v>91</v>
      </c>
      <c r="AD43" s="1105">
        <f t="shared" ref="AD43:AI46" si="41">AC43</f>
        <v>91</v>
      </c>
      <c r="AE43" s="1105">
        <f t="shared" si="41"/>
        <v>91</v>
      </c>
      <c r="AF43" s="1105">
        <f t="shared" si="41"/>
        <v>91</v>
      </c>
      <c r="AG43" s="1105">
        <f t="shared" si="41"/>
        <v>91</v>
      </c>
      <c r="AH43" s="1105">
        <f t="shared" si="41"/>
        <v>91</v>
      </c>
      <c r="AI43" s="1105">
        <f t="shared" si="41"/>
        <v>91</v>
      </c>
      <c r="AJ43" s="1105">
        <f t="shared" si="39"/>
        <v>91</v>
      </c>
      <c r="AK43" s="1105">
        <f t="shared" si="40"/>
        <v>91</v>
      </c>
      <c r="AL43" s="1105">
        <f t="shared" si="40"/>
        <v>91</v>
      </c>
      <c r="AQ43" s="1035"/>
    </row>
    <row r="44" spans="1:43">
      <c r="A44" s="2"/>
      <c r="B44" s="36" t="s">
        <v>409</v>
      </c>
      <c r="C44" s="18" t="s">
        <v>732</v>
      </c>
      <c r="D44" s="31"/>
      <c r="E44" s="42"/>
      <c r="F44" s="42"/>
      <c r="G44" s="42"/>
      <c r="H44" s="42"/>
      <c r="I44" s="618">
        <v>894</v>
      </c>
      <c r="J44" s="618">
        <v>974</v>
      </c>
      <c r="K44" s="618">
        <v>834</v>
      </c>
      <c r="L44" s="618">
        <v>776</v>
      </c>
      <c r="M44" s="618">
        <v>761</v>
      </c>
      <c r="N44" s="618">
        <v>727</v>
      </c>
      <c r="O44" s="618">
        <v>696</v>
      </c>
      <c r="P44" s="549">
        <v>264</v>
      </c>
      <c r="Q44" s="549">
        <v>276</v>
      </c>
      <c r="R44" s="549">
        <v>261</v>
      </c>
      <c r="S44" s="1104">
        <v>284</v>
      </c>
      <c r="T44" s="1104">
        <f>169+127</f>
        <v>296</v>
      </c>
      <c r="U44" s="1104">
        <f>160+134</f>
        <v>294</v>
      </c>
      <c r="V44" s="1104">
        <f>157+168</f>
        <v>325</v>
      </c>
      <c r="W44" s="1104">
        <f>158+158</f>
        <v>316</v>
      </c>
      <c r="X44" s="1104">
        <f>127+143</f>
        <v>270</v>
      </c>
      <c r="Y44" s="1104">
        <f>150+126</f>
        <v>276</v>
      </c>
      <c r="Z44" s="1104">
        <f>132+119</f>
        <v>251</v>
      </c>
      <c r="AA44" s="1104">
        <v>186</v>
      </c>
      <c r="AB44" s="1104">
        <v>196</v>
      </c>
      <c r="AC44" s="1104">
        <v>217</v>
      </c>
      <c r="AD44" s="1105">
        <f t="shared" si="41"/>
        <v>217</v>
      </c>
      <c r="AE44" s="1105">
        <f t="shared" si="41"/>
        <v>217</v>
      </c>
      <c r="AF44" s="1105">
        <f t="shared" si="41"/>
        <v>217</v>
      </c>
      <c r="AG44" s="1105">
        <f t="shared" si="41"/>
        <v>217</v>
      </c>
      <c r="AH44" s="1105">
        <f t="shared" si="41"/>
        <v>217</v>
      </c>
      <c r="AI44" s="1105">
        <f t="shared" si="41"/>
        <v>217</v>
      </c>
      <c r="AJ44" s="1105">
        <f t="shared" si="39"/>
        <v>217</v>
      </c>
      <c r="AK44" s="1105">
        <f t="shared" si="40"/>
        <v>217</v>
      </c>
      <c r="AL44" s="1105">
        <f t="shared" si="40"/>
        <v>217</v>
      </c>
    </row>
    <row r="45" spans="1:43">
      <c r="A45" s="2"/>
      <c r="B45" s="36" t="s">
        <v>501</v>
      </c>
      <c r="C45" s="18" t="s">
        <v>732</v>
      </c>
      <c r="D45" s="618">
        <v>737</v>
      </c>
      <c r="E45" s="618">
        <v>1573</v>
      </c>
      <c r="F45" s="618">
        <v>1987</v>
      </c>
      <c r="G45" s="618">
        <v>1814</v>
      </c>
      <c r="H45" s="618">
        <v>1807</v>
      </c>
      <c r="I45" s="618">
        <v>1804</v>
      </c>
      <c r="J45" s="618">
        <v>1705</v>
      </c>
      <c r="K45" s="618">
        <v>1513</v>
      </c>
      <c r="L45" s="618">
        <v>1575</v>
      </c>
      <c r="M45" s="618">
        <v>1593</v>
      </c>
      <c r="N45" s="618">
        <v>1927</v>
      </c>
      <c r="O45" s="618">
        <v>1730</v>
      </c>
      <c r="P45" s="549">
        <v>1107</v>
      </c>
      <c r="Q45" s="549">
        <v>1330</v>
      </c>
      <c r="R45" s="549">
        <v>1286</v>
      </c>
      <c r="S45" s="1104">
        <f>1558+4</f>
        <v>1562</v>
      </c>
      <c r="T45" s="1104">
        <f>1493+4</f>
        <v>1497</v>
      </c>
      <c r="U45" s="1104">
        <f>1539+6</f>
        <v>1545</v>
      </c>
      <c r="V45" s="1104">
        <v>1537</v>
      </c>
      <c r="W45" s="1104">
        <v>1529</v>
      </c>
      <c r="X45" s="1104">
        <v>1605</v>
      </c>
      <c r="Y45" s="1104">
        <v>1580</v>
      </c>
      <c r="Z45" s="1104">
        <v>1655</v>
      </c>
      <c r="AA45" s="1104">
        <v>2112</v>
      </c>
      <c r="AB45" s="1104">
        <v>1783</v>
      </c>
      <c r="AC45" s="1104">
        <v>1843</v>
      </c>
      <c r="AD45" s="1105">
        <f t="shared" si="41"/>
        <v>1843</v>
      </c>
      <c r="AE45" s="1105">
        <f t="shared" si="41"/>
        <v>1843</v>
      </c>
      <c r="AF45" s="1105">
        <f t="shared" si="41"/>
        <v>1843</v>
      </c>
      <c r="AG45" s="1105">
        <f t="shared" si="41"/>
        <v>1843</v>
      </c>
      <c r="AH45" s="1105">
        <f t="shared" si="41"/>
        <v>1843</v>
      </c>
      <c r="AI45" s="1105">
        <f t="shared" si="41"/>
        <v>1843</v>
      </c>
      <c r="AJ45" s="1105">
        <f t="shared" si="39"/>
        <v>1843</v>
      </c>
      <c r="AK45" s="1105">
        <f t="shared" si="40"/>
        <v>1843</v>
      </c>
      <c r="AL45" s="1105">
        <f t="shared" si="40"/>
        <v>1843</v>
      </c>
    </row>
    <row r="46" spans="1:43">
      <c r="A46" s="2"/>
      <c r="B46" s="36" t="s">
        <v>28</v>
      </c>
      <c r="C46" s="18" t="s">
        <v>732</v>
      </c>
      <c r="D46" s="618">
        <v>1346</v>
      </c>
      <c r="E46" s="618">
        <v>1050</v>
      </c>
      <c r="F46" s="618">
        <v>848</v>
      </c>
      <c r="G46" s="618">
        <v>814</v>
      </c>
      <c r="H46" s="618">
        <v>778</v>
      </c>
      <c r="I46" s="618">
        <v>0</v>
      </c>
      <c r="J46" s="618">
        <v>405</v>
      </c>
      <c r="K46" s="618">
        <v>0</v>
      </c>
      <c r="L46" s="618">
        <v>355</v>
      </c>
      <c r="M46" s="618">
        <v>767</v>
      </c>
      <c r="N46" s="618">
        <v>802</v>
      </c>
      <c r="O46" s="618">
        <v>503</v>
      </c>
      <c r="P46" s="132">
        <f>831+469</f>
        <v>1300</v>
      </c>
      <c r="Q46" s="549">
        <f>42+381</f>
        <v>423</v>
      </c>
      <c r="R46" s="549">
        <v>387</v>
      </c>
      <c r="S46" s="1104">
        <v>837</v>
      </c>
      <c r="T46" s="1104">
        <f>1022</f>
        <v>1022</v>
      </c>
      <c r="U46" s="1104">
        <v>1161</v>
      </c>
      <c r="V46" s="1105">
        <f t="shared" ref="V46:AA46" si="42">V47-SUM(V41:V45)</f>
        <v>1688</v>
      </c>
      <c r="W46" s="1105">
        <f t="shared" si="42"/>
        <v>1279</v>
      </c>
      <c r="X46" s="1105">
        <f t="shared" si="42"/>
        <v>3897</v>
      </c>
      <c r="Y46" s="1105">
        <f t="shared" si="42"/>
        <v>4125</v>
      </c>
      <c r="Z46" s="1105">
        <f t="shared" si="42"/>
        <v>4195</v>
      </c>
      <c r="AA46" s="1105">
        <f t="shared" si="42"/>
        <v>4413</v>
      </c>
      <c r="AB46" s="1105">
        <f t="shared" ref="AB46:AC46" si="43">AB47-SUM(AB41:AB45)</f>
        <v>4345</v>
      </c>
      <c r="AC46" s="1105">
        <f t="shared" si="43"/>
        <v>4370</v>
      </c>
      <c r="AD46" s="1105">
        <f t="shared" si="41"/>
        <v>4370</v>
      </c>
      <c r="AE46" s="1105">
        <f t="shared" si="41"/>
        <v>4370</v>
      </c>
      <c r="AF46" s="1105">
        <f t="shared" si="41"/>
        <v>4370</v>
      </c>
      <c r="AG46" s="1105">
        <f t="shared" si="41"/>
        <v>4370</v>
      </c>
      <c r="AH46" s="1105">
        <f t="shared" si="41"/>
        <v>4370</v>
      </c>
      <c r="AI46" s="1105">
        <f t="shared" si="41"/>
        <v>4370</v>
      </c>
      <c r="AJ46" s="1105">
        <f t="shared" si="39"/>
        <v>4370</v>
      </c>
      <c r="AK46" s="1105">
        <f t="shared" si="40"/>
        <v>4370</v>
      </c>
      <c r="AL46" s="1105">
        <f t="shared" si="40"/>
        <v>4370</v>
      </c>
    </row>
    <row r="47" spans="1:43">
      <c r="A47" s="6"/>
      <c r="B47" s="6" t="s">
        <v>1103</v>
      </c>
      <c r="C47" s="21" t="s">
        <v>732</v>
      </c>
      <c r="D47" s="60">
        <f t="shared" ref="D47:T47" si="44">SUM(D41:D46)</f>
        <v>9316</v>
      </c>
      <c r="E47" s="60">
        <f t="shared" si="44"/>
        <v>14472</v>
      </c>
      <c r="F47" s="60">
        <f t="shared" si="44"/>
        <v>15883</v>
      </c>
      <c r="G47" s="60">
        <f t="shared" si="44"/>
        <v>14343</v>
      </c>
      <c r="H47" s="60">
        <f t="shared" si="44"/>
        <v>12056</v>
      </c>
      <c r="I47" s="60">
        <f t="shared" si="44"/>
        <v>15141</v>
      </c>
      <c r="J47" s="60">
        <f t="shared" si="44"/>
        <v>15491</v>
      </c>
      <c r="K47" s="60">
        <f t="shared" si="44"/>
        <v>15861</v>
      </c>
      <c r="L47" s="60">
        <f t="shared" si="44"/>
        <v>17553</v>
      </c>
      <c r="M47" s="60">
        <f t="shared" si="44"/>
        <v>19529</v>
      </c>
      <c r="N47" s="60">
        <f t="shared" si="44"/>
        <v>17592</v>
      </c>
      <c r="O47" s="60">
        <f t="shared" si="44"/>
        <v>17083</v>
      </c>
      <c r="P47" s="60">
        <f t="shared" si="44"/>
        <v>17152</v>
      </c>
      <c r="Q47" s="60">
        <f t="shared" si="44"/>
        <v>18130</v>
      </c>
      <c r="R47" s="60">
        <f t="shared" si="44"/>
        <v>16716</v>
      </c>
      <c r="S47" s="341">
        <f t="shared" si="44"/>
        <v>17806</v>
      </c>
      <c r="T47" s="341">
        <f t="shared" si="44"/>
        <v>18191</v>
      </c>
      <c r="U47" s="341">
        <f>SUM(U41:U46)</f>
        <v>18414</v>
      </c>
      <c r="V47" s="1106">
        <v>19319</v>
      </c>
      <c r="W47" s="1106">
        <v>18506</v>
      </c>
      <c r="X47" s="1106">
        <v>19162</v>
      </c>
      <c r="Y47" s="1106">
        <v>16826</v>
      </c>
      <c r="Z47" s="1106">
        <v>14931</v>
      </c>
      <c r="AA47" s="1106">
        <v>17121</v>
      </c>
      <c r="AB47" s="1106">
        <v>16672</v>
      </c>
      <c r="AC47" s="1106">
        <v>17131</v>
      </c>
      <c r="AD47" s="341">
        <f t="shared" ref="AD47:AH47" si="45">SUM(AD41:AD46)</f>
        <v>17731</v>
      </c>
      <c r="AE47" s="341">
        <f t="shared" si="45"/>
        <v>18331</v>
      </c>
      <c r="AF47" s="341">
        <f t="shared" si="45"/>
        <v>18931</v>
      </c>
      <c r="AG47" s="341">
        <f t="shared" si="45"/>
        <v>19531</v>
      </c>
      <c r="AH47" s="341">
        <f t="shared" si="45"/>
        <v>20131</v>
      </c>
      <c r="AI47" s="341">
        <f>SUM(AI41:AI46)</f>
        <v>20731</v>
      </c>
      <c r="AJ47" s="341">
        <f t="shared" ref="AJ47:AK47" si="46">SUM(AJ41:AJ46)</f>
        <v>21331</v>
      </c>
      <c r="AK47" s="341">
        <f t="shared" si="46"/>
        <v>21931</v>
      </c>
      <c r="AL47" s="341">
        <f t="shared" ref="AL47" si="47">SUM(AL41:AL46)</f>
        <v>22531</v>
      </c>
    </row>
    <row r="48" spans="1:43">
      <c r="A48" s="6"/>
      <c r="B48" s="6"/>
      <c r="C48" s="21"/>
      <c r="D48" s="60"/>
      <c r="E48" s="60"/>
      <c r="F48" s="60"/>
      <c r="G48" s="60"/>
      <c r="H48" s="60"/>
      <c r="I48" s="60"/>
      <c r="J48" s="60"/>
      <c r="K48" s="60"/>
      <c r="L48" s="60"/>
      <c r="M48" s="60"/>
      <c r="N48" s="60"/>
      <c r="O48" s="60"/>
      <c r="P48" s="60"/>
      <c r="Q48" s="60"/>
      <c r="R48" s="60"/>
      <c r="S48" s="341"/>
      <c r="T48" s="341"/>
      <c r="U48" s="341"/>
      <c r="V48" s="1106"/>
      <c r="W48" s="1106"/>
      <c r="X48" s="1106"/>
      <c r="Y48" s="1106"/>
      <c r="Z48" s="341"/>
      <c r="AA48" s="341"/>
      <c r="AB48" s="341"/>
      <c r="AC48" s="341"/>
      <c r="AD48" s="341"/>
      <c r="AE48" s="341"/>
      <c r="AF48" s="341"/>
      <c r="AG48" s="341"/>
      <c r="AH48" s="341"/>
      <c r="AI48" s="341"/>
      <c r="AJ48" s="341"/>
      <c r="AK48" s="341"/>
      <c r="AL48" s="341"/>
    </row>
    <row r="49" spans="1:48">
      <c r="A49" s="6"/>
      <c r="B49" s="6" t="s">
        <v>508</v>
      </c>
      <c r="C49" s="21" t="s">
        <v>732</v>
      </c>
      <c r="D49" s="60">
        <f t="shared" ref="D49:T49" si="48">D38+D47</f>
        <v>18737</v>
      </c>
      <c r="E49" s="60">
        <f t="shared" si="48"/>
        <v>23751</v>
      </c>
      <c r="F49" s="60">
        <f t="shared" si="48"/>
        <v>24113</v>
      </c>
      <c r="G49" s="60">
        <f t="shared" si="48"/>
        <v>20177</v>
      </c>
      <c r="H49" s="60">
        <f t="shared" si="48"/>
        <v>19632</v>
      </c>
      <c r="I49" s="60">
        <f t="shared" si="48"/>
        <v>21553</v>
      </c>
      <c r="J49" s="60">
        <f t="shared" si="48"/>
        <v>23390</v>
      </c>
      <c r="K49" s="60">
        <f t="shared" si="48"/>
        <v>25257</v>
      </c>
      <c r="L49" s="60">
        <f t="shared" si="48"/>
        <v>25676</v>
      </c>
      <c r="M49" s="60">
        <f t="shared" si="48"/>
        <v>27281</v>
      </c>
      <c r="N49" s="60">
        <f t="shared" si="48"/>
        <v>26274</v>
      </c>
      <c r="O49" s="60">
        <f t="shared" si="48"/>
        <v>25621</v>
      </c>
      <c r="P49" s="60">
        <f t="shared" si="48"/>
        <v>27836</v>
      </c>
      <c r="Q49" s="60">
        <f t="shared" si="48"/>
        <v>25652</v>
      </c>
      <c r="R49" s="60">
        <f t="shared" si="48"/>
        <v>25400</v>
      </c>
      <c r="S49" s="341">
        <f t="shared" si="48"/>
        <v>25935</v>
      </c>
      <c r="T49" s="341">
        <f t="shared" si="48"/>
        <v>27379</v>
      </c>
      <c r="U49" s="341">
        <f>U38+U47</f>
        <v>27573</v>
      </c>
      <c r="V49" s="341">
        <f t="shared" ref="V49:Z49" si="49">V38+V47</f>
        <v>28104</v>
      </c>
      <c r="W49" s="341">
        <f>W38+W47</f>
        <v>28059</v>
      </c>
      <c r="X49" s="341">
        <f t="shared" si="49"/>
        <v>29256</v>
      </c>
      <c r="Y49" s="341">
        <f>Y38+Y47</f>
        <v>27250</v>
      </c>
      <c r="Z49" s="341">
        <f t="shared" si="49"/>
        <v>24791</v>
      </c>
      <c r="AA49" s="341">
        <f t="shared" ref="AA49:AB49" si="50">AA38+AA47</f>
        <v>27213</v>
      </c>
      <c r="AB49" s="341">
        <f t="shared" si="50"/>
        <v>28198</v>
      </c>
      <c r="AC49" s="341">
        <f t="shared" ref="AC49" si="51">AC38+AC47</f>
        <v>28652</v>
      </c>
      <c r="AD49" s="341">
        <f t="shared" ref="AD49:AH49" si="52">AD38+AD47</f>
        <v>29604.07340674218</v>
      </c>
      <c r="AE49" s="341">
        <f t="shared" si="52"/>
        <v>30304.039408854587</v>
      </c>
      <c r="AF49" s="341">
        <f t="shared" si="52"/>
        <v>31021.788802149036</v>
      </c>
      <c r="AG49" s="341">
        <f t="shared" si="52"/>
        <v>31758.896123896644</v>
      </c>
      <c r="AH49" s="341">
        <f t="shared" si="52"/>
        <v>32519.822893930686</v>
      </c>
      <c r="AI49" s="341">
        <f>AI38+AI47</f>
        <v>33302.277349893702</v>
      </c>
      <c r="AJ49" s="341">
        <f t="shared" ref="AJ49:AK49" si="53">AJ38+AJ47</f>
        <v>34108.114108296621</v>
      </c>
      <c r="AK49" s="341">
        <f t="shared" si="53"/>
        <v>34939.833375063899</v>
      </c>
      <c r="AL49" s="341">
        <f t="shared" ref="AL49" si="54">AL38+AL47</f>
        <v>35772.101454029864</v>
      </c>
    </row>
    <row r="50" spans="1:48">
      <c r="A50" s="6"/>
      <c r="B50" s="6"/>
      <c r="C50" s="21"/>
      <c r="D50" s="60"/>
      <c r="E50" s="60"/>
      <c r="F50" s="60"/>
      <c r="G50" s="60"/>
      <c r="H50" s="60"/>
      <c r="I50" s="60"/>
      <c r="J50" s="60"/>
      <c r="K50" s="60"/>
      <c r="L50" s="60"/>
      <c r="M50" s="60"/>
      <c r="N50" s="60"/>
      <c r="O50" s="60"/>
      <c r="P50" s="60"/>
      <c r="Q50" s="60"/>
      <c r="R50" s="60"/>
      <c r="S50" s="409"/>
      <c r="T50" s="409"/>
      <c r="U50" s="409"/>
      <c r="V50" s="409"/>
      <c r="W50" s="409"/>
      <c r="X50" s="409"/>
      <c r="Y50" s="409"/>
      <c r="Z50" s="409"/>
      <c r="AA50" s="409"/>
      <c r="AB50" s="409"/>
      <c r="AC50" s="409"/>
      <c r="AD50" s="409"/>
      <c r="AE50" s="409"/>
      <c r="AF50" s="409"/>
      <c r="AG50" s="409"/>
      <c r="AH50" s="409"/>
      <c r="AI50" s="409"/>
      <c r="AJ50" s="409"/>
      <c r="AK50" s="409"/>
      <c r="AL50" s="409"/>
    </row>
    <row r="51" spans="1:48">
      <c r="A51" s="6"/>
      <c r="B51" s="32" t="s">
        <v>333</v>
      </c>
      <c r="C51" s="33" t="s">
        <v>732</v>
      </c>
      <c r="D51" s="972">
        <f t="shared" ref="D51:Z51" si="55">D29-D49</f>
        <v>11602</v>
      </c>
      <c r="E51" s="972">
        <f t="shared" si="55"/>
        <v>13722</v>
      </c>
      <c r="F51" s="972">
        <f t="shared" si="55"/>
        <v>14106</v>
      </c>
      <c r="G51" s="972">
        <f t="shared" si="55"/>
        <v>15422</v>
      </c>
      <c r="H51" s="972">
        <f t="shared" si="55"/>
        <v>15361</v>
      </c>
      <c r="I51" s="972">
        <f t="shared" si="55"/>
        <v>13658</v>
      </c>
      <c r="J51" s="972">
        <f t="shared" si="55"/>
        <v>12834</v>
      </c>
      <c r="K51" s="972">
        <f t="shared" si="55"/>
        <v>12580</v>
      </c>
      <c r="L51" s="972">
        <f t="shared" si="55"/>
        <v>12245</v>
      </c>
      <c r="M51" s="972">
        <f t="shared" si="55"/>
        <v>12681</v>
      </c>
      <c r="N51" s="972">
        <f t="shared" si="55"/>
        <v>13008</v>
      </c>
      <c r="O51" s="972">
        <f t="shared" si="55"/>
        <v>12292</v>
      </c>
      <c r="P51" s="972">
        <f t="shared" si="55"/>
        <v>11689</v>
      </c>
      <c r="Q51" s="972">
        <f t="shared" si="55"/>
        <v>12875</v>
      </c>
      <c r="R51" s="972">
        <f t="shared" si="55"/>
        <v>13960</v>
      </c>
      <c r="S51" s="1109">
        <f t="shared" si="55"/>
        <v>14510</v>
      </c>
      <c r="T51" s="1109">
        <f t="shared" si="55"/>
        <v>15906.991403674998</v>
      </c>
      <c r="U51" s="1109">
        <f t="shared" si="55"/>
        <v>14560</v>
      </c>
      <c r="V51" s="1109">
        <f t="shared" si="55"/>
        <v>14531</v>
      </c>
      <c r="W51" s="1109">
        <f t="shared" si="55"/>
        <v>14530</v>
      </c>
      <c r="X51" s="1109">
        <f t="shared" si="55"/>
        <v>15147</v>
      </c>
      <c r="Y51" s="1109">
        <f>Y29-Y49</f>
        <v>15275</v>
      </c>
      <c r="Z51" s="1109">
        <f t="shared" si="55"/>
        <v>16837</v>
      </c>
      <c r="AA51" s="1109">
        <f t="shared" ref="AA51:AB51" si="56">AA29-AA49</f>
        <v>17816</v>
      </c>
      <c r="AB51" s="1109">
        <f t="shared" si="56"/>
        <v>17352</v>
      </c>
      <c r="AC51" s="1109">
        <f t="shared" ref="AC51" si="57">AC29-AC49</f>
        <v>16316</v>
      </c>
      <c r="AD51" s="1109">
        <f t="shared" ref="AD51:AH51" si="58">AD29-AD49</f>
        <v>15370.66841717776</v>
      </c>
      <c r="AE51" s="1109">
        <f t="shared" si="58"/>
        <v>15175.96913491244</v>
      </c>
      <c r="AF51" s="1109">
        <f t="shared" si="58"/>
        <v>15224.471532357966</v>
      </c>
      <c r="AG51" s="1109">
        <f t="shared" si="58"/>
        <v>15270.906853843335</v>
      </c>
      <c r="AH51" s="1109">
        <f t="shared" si="58"/>
        <v>15320.769233969564</v>
      </c>
      <c r="AI51" s="1109">
        <f>AI29-AI49</f>
        <v>15380.221537379941</v>
      </c>
      <c r="AJ51" s="1109">
        <f t="shared" ref="AJ51:AK51" si="59">AJ29-AJ49</f>
        <v>15456.007594602954</v>
      </c>
      <c r="AK51" s="1109">
        <f t="shared" si="59"/>
        <v>15555.36213642628</v>
      </c>
      <c r="AL51" s="1109">
        <f t="shared" ref="AL51" si="60">AL29-AL49</f>
        <v>15695.093818123889</v>
      </c>
    </row>
    <row r="52" spans="1:48">
      <c r="A52" s="6"/>
      <c r="B52" s="6"/>
      <c r="C52" s="21"/>
      <c r="D52" s="60"/>
      <c r="E52" s="60"/>
      <c r="F52" s="60"/>
      <c r="G52" s="60"/>
      <c r="H52" s="60"/>
      <c r="I52" s="60"/>
      <c r="J52" s="60"/>
      <c r="K52" s="60"/>
      <c r="L52" s="60"/>
      <c r="M52" s="60"/>
      <c r="N52" s="60"/>
      <c r="O52" s="60"/>
      <c r="P52" s="60"/>
      <c r="Q52" s="60"/>
      <c r="R52" s="60"/>
      <c r="S52" s="409"/>
      <c r="T52" s="409"/>
      <c r="U52" s="409"/>
      <c r="V52" s="409"/>
      <c r="W52" s="409"/>
      <c r="X52" s="409"/>
      <c r="Y52" s="409"/>
      <c r="Z52" s="409"/>
      <c r="AA52" s="409"/>
      <c r="AB52" s="409"/>
      <c r="AC52" s="409"/>
      <c r="AD52" s="409"/>
      <c r="AE52" s="409"/>
      <c r="AF52" s="409"/>
      <c r="AG52" s="409"/>
      <c r="AH52" s="409"/>
      <c r="AI52" s="409"/>
      <c r="AJ52" s="409"/>
      <c r="AK52" s="409"/>
      <c r="AL52" s="409"/>
    </row>
    <row r="53" spans="1:48">
      <c r="A53" s="6"/>
      <c r="B53" s="6" t="s">
        <v>70</v>
      </c>
      <c r="C53" s="21"/>
      <c r="D53" s="60"/>
      <c r="E53" s="60"/>
      <c r="F53" s="60"/>
      <c r="G53" s="60"/>
      <c r="H53" s="60"/>
      <c r="I53" s="60"/>
      <c r="J53" s="60"/>
      <c r="K53" s="60"/>
      <c r="L53" s="60"/>
      <c r="M53" s="60"/>
      <c r="N53" s="60"/>
      <c r="O53" s="60"/>
      <c r="P53" s="60"/>
      <c r="Q53" s="60"/>
      <c r="R53" s="60"/>
      <c r="S53" s="409"/>
      <c r="T53" s="409"/>
      <c r="U53" s="409"/>
      <c r="V53" s="409"/>
      <c r="W53" s="409"/>
      <c r="X53" s="409"/>
      <c r="Y53" s="409"/>
      <c r="Z53" s="409"/>
      <c r="AA53" s="409"/>
      <c r="AB53" s="409"/>
      <c r="AC53" s="409"/>
      <c r="AD53" s="409"/>
      <c r="AE53" s="409"/>
      <c r="AF53" s="409"/>
      <c r="AG53" s="409"/>
      <c r="AH53" s="409"/>
      <c r="AI53" s="409"/>
      <c r="AJ53" s="409"/>
      <c r="AK53" s="409"/>
      <c r="AL53" s="409"/>
    </row>
    <row r="54" spans="1:48">
      <c r="A54" s="2"/>
      <c r="B54" s="36" t="s">
        <v>403</v>
      </c>
      <c r="C54" s="18" t="s">
        <v>732</v>
      </c>
      <c r="D54" s="56">
        <f t="shared" ref="D54:T54" si="61">SUM(D55:D58)</f>
        <v>11595</v>
      </c>
      <c r="E54" s="56">
        <f t="shared" si="61"/>
        <v>13239</v>
      </c>
      <c r="F54" s="56">
        <f t="shared" si="61"/>
        <v>14108</v>
      </c>
      <c r="G54" s="56">
        <f t="shared" si="61"/>
        <v>15420</v>
      </c>
      <c r="H54" s="56">
        <f t="shared" si="61"/>
        <v>15359</v>
      </c>
      <c r="I54" s="56">
        <f t="shared" si="61"/>
        <v>13656</v>
      </c>
      <c r="J54" s="56">
        <f t="shared" si="61"/>
        <v>12588</v>
      </c>
      <c r="K54" s="56">
        <f t="shared" si="61"/>
        <v>12329</v>
      </c>
      <c r="L54" s="56">
        <f t="shared" si="61"/>
        <v>12017</v>
      </c>
      <c r="M54" s="56">
        <f t="shared" si="61"/>
        <v>12418</v>
      </c>
      <c r="N54" s="56">
        <f t="shared" si="61"/>
        <v>12696</v>
      </c>
      <c r="O54" s="56">
        <f t="shared" si="61"/>
        <v>12074</v>
      </c>
      <c r="P54" s="56">
        <f t="shared" si="61"/>
        <v>11480</v>
      </c>
      <c r="Q54" s="56">
        <f t="shared" si="61"/>
        <v>12611</v>
      </c>
      <c r="R54" s="56">
        <f t="shared" si="61"/>
        <v>13822</v>
      </c>
      <c r="S54" s="334">
        <f t="shared" si="61"/>
        <v>14103</v>
      </c>
      <c r="T54" s="334">
        <f t="shared" si="61"/>
        <v>15871</v>
      </c>
      <c r="U54" s="334">
        <f>SUM(U55:U58)</f>
        <v>14541</v>
      </c>
      <c r="V54" s="334">
        <f t="shared" ref="V54:Z54" si="62">SUM(V55:V58)</f>
        <v>14632</v>
      </c>
      <c r="W54" s="334">
        <f>SUM(W55:W58)</f>
        <v>14549</v>
      </c>
      <c r="X54" s="334">
        <f t="shared" si="62"/>
        <v>14473</v>
      </c>
      <c r="Y54" s="334">
        <f>SUM(Y55:Y58)</f>
        <v>14588</v>
      </c>
      <c r="Z54" s="334">
        <f t="shared" si="62"/>
        <v>15349</v>
      </c>
      <c r="AA54" s="334">
        <f t="shared" ref="AA54:AB54" si="63">SUM(AA55:AA58)</f>
        <v>15407</v>
      </c>
      <c r="AB54" s="334">
        <f t="shared" si="63"/>
        <v>14922</v>
      </c>
      <c r="AC54" s="334">
        <f t="shared" ref="AC54" si="64">SUM(AC55:AC58)</f>
        <v>13899</v>
      </c>
      <c r="AD54" s="334">
        <f t="shared" ref="AD54:AH54" si="65">SUM(AD55:AD58)</f>
        <v>12953.66841717776</v>
      </c>
      <c r="AE54" s="334">
        <f t="shared" si="65"/>
        <v>12758.969134912437</v>
      </c>
      <c r="AF54" s="334">
        <f t="shared" si="65"/>
        <v>12807.471532357969</v>
      </c>
      <c r="AG54" s="334">
        <f t="shared" si="65"/>
        <v>12853.906853843337</v>
      </c>
      <c r="AH54" s="334">
        <f t="shared" si="65"/>
        <v>12903.769233969562</v>
      </c>
      <c r="AI54" s="334">
        <f>SUM(AI55:AI58)</f>
        <v>12963.221537379939</v>
      </c>
      <c r="AJ54" s="334">
        <f t="shared" ref="AJ54:AK54" si="66">SUM(AJ55:AJ58)</f>
        <v>13039.007594602946</v>
      </c>
      <c r="AK54" s="334">
        <f t="shared" si="66"/>
        <v>13138.362136426274</v>
      </c>
      <c r="AL54" s="334">
        <f t="shared" ref="AL54" si="67">SUM(AL55:AL58)</f>
        <v>13278.093818123878</v>
      </c>
      <c r="AV54" s="731"/>
    </row>
    <row r="55" spans="1:48">
      <c r="A55" s="2"/>
      <c r="B55" s="20" t="s">
        <v>200</v>
      </c>
      <c r="C55" s="18" t="s">
        <v>732</v>
      </c>
      <c r="D55" s="618">
        <v>6433</v>
      </c>
      <c r="E55" s="618">
        <v>6433</v>
      </c>
      <c r="F55" s="618">
        <v>6433</v>
      </c>
      <c r="G55" s="618">
        <v>6433</v>
      </c>
      <c r="H55" s="618">
        <v>6073</v>
      </c>
      <c r="I55" s="618">
        <v>5536</v>
      </c>
      <c r="J55" s="618">
        <v>5569</v>
      </c>
      <c r="K55" s="618">
        <v>5611</v>
      </c>
      <c r="L55" s="618">
        <v>5534</v>
      </c>
      <c r="M55" s="618">
        <v>5576</v>
      </c>
      <c r="N55" s="618">
        <v>5590</v>
      </c>
      <c r="O55" s="618">
        <v>5610</v>
      </c>
      <c r="P55" s="618">
        <v>5635</v>
      </c>
      <c r="Q55" s="618">
        <v>5711</v>
      </c>
      <c r="R55" s="549">
        <v>5719</v>
      </c>
      <c r="S55" s="538">
        <v>5198</v>
      </c>
      <c r="T55" s="538">
        <v>5167</v>
      </c>
      <c r="U55" s="538">
        <v>4421</v>
      </c>
      <c r="V55" s="538">
        <v>4428</v>
      </c>
      <c r="W55" s="538">
        <v>4447</v>
      </c>
      <c r="X55" s="538">
        <v>4451</v>
      </c>
      <c r="Y55" s="538">
        <v>4436</v>
      </c>
      <c r="Z55" s="538">
        <v>3098</v>
      </c>
      <c r="AA55" s="538">
        <v>3095</v>
      </c>
      <c r="AB55" s="538">
        <v>3095</v>
      </c>
      <c r="AC55" s="538">
        <v>2345</v>
      </c>
      <c r="AD55" s="334">
        <f>AC55+'Cash Flow Statement'!AD43+'Cash Flow Statement'!AD19</f>
        <v>1345</v>
      </c>
      <c r="AE55" s="334">
        <f>AD55+'Cash Flow Statement'!AE43+'Cash Flow Statement'!AE19</f>
        <v>1095</v>
      </c>
      <c r="AF55" s="334">
        <f>AE55+'Cash Flow Statement'!AF43+'Cash Flow Statement'!AF19</f>
        <v>1095</v>
      </c>
      <c r="AG55" s="334">
        <f>AF55+'Cash Flow Statement'!AG43+'Cash Flow Statement'!AG19</f>
        <v>1095</v>
      </c>
      <c r="AH55" s="334">
        <f>AG55+'Cash Flow Statement'!AH43+'Cash Flow Statement'!AH19</f>
        <v>1095</v>
      </c>
      <c r="AI55" s="334">
        <f>AH55+'Cash Flow Statement'!AI43+'Cash Flow Statement'!AI19</f>
        <v>1095</v>
      </c>
      <c r="AJ55" s="334">
        <f>AI55+'Cash Flow Statement'!AJ43+'Cash Flow Statement'!AJ19</f>
        <v>1095</v>
      </c>
      <c r="AK55" s="334">
        <f>AJ55+'Cash Flow Statement'!AK43+'Cash Flow Statement'!AK19</f>
        <v>1095</v>
      </c>
      <c r="AL55" s="334">
        <f>AK55+'Cash Flow Statement'!AL43+'Cash Flow Statement'!AL19</f>
        <v>1095</v>
      </c>
      <c r="AV55" s="731"/>
    </row>
    <row r="56" spans="1:48">
      <c r="A56" s="2"/>
      <c r="B56" s="20" t="s">
        <v>201</v>
      </c>
      <c r="C56" s="18" t="s">
        <v>732</v>
      </c>
      <c r="D56" s="618">
        <v>-8</v>
      </c>
      <c r="E56" s="618">
        <v>11</v>
      </c>
      <c r="F56" s="618">
        <v>14</v>
      </c>
      <c r="G56" s="618">
        <v>-150</v>
      </c>
      <c r="H56" s="618">
        <v>-105</v>
      </c>
      <c r="I56" s="618">
        <v>-153</v>
      </c>
      <c r="J56" s="618">
        <v>-160</v>
      </c>
      <c r="K56" s="618">
        <v>-258</v>
      </c>
      <c r="L56" s="618">
        <v>-410</v>
      </c>
      <c r="M56" s="618">
        <v>-273</v>
      </c>
      <c r="N56" s="618">
        <v>-312</v>
      </c>
      <c r="O56" s="618">
        <v>-843</v>
      </c>
      <c r="P56" s="618">
        <v>-867</v>
      </c>
      <c r="Q56" s="618">
        <v>-619</v>
      </c>
      <c r="R56" s="549">
        <v>-228</v>
      </c>
      <c r="S56" s="538">
        <v>372</v>
      </c>
      <c r="T56" s="538">
        <v>62</v>
      </c>
      <c r="U56" s="538">
        <v>-105</v>
      </c>
      <c r="V56" s="538">
        <v>-131</v>
      </c>
      <c r="W56" s="538">
        <v>-58</v>
      </c>
      <c r="X56" s="538">
        <v>5</v>
      </c>
      <c r="Y56" s="538">
        <v>138</v>
      </c>
      <c r="Z56" s="538">
        <v>2333</v>
      </c>
      <c r="AA56" s="538">
        <v>2196</v>
      </c>
      <c r="AB56" s="538">
        <v>2135</v>
      </c>
      <c r="AC56" s="538">
        <v>1766</v>
      </c>
      <c r="AD56" s="334">
        <f t="shared" ref="AD56:AI56" si="68">AC56</f>
        <v>1766</v>
      </c>
      <c r="AE56" s="334">
        <f t="shared" si="68"/>
        <v>1766</v>
      </c>
      <c r="AF56" s="334">
        <f t="shared" si="68"/>
        <v>1766</v>
      </c>
      <c r="AG56" s="334">
        <f t="shared" si="68"/>
        <v>1766</v>
      </c>
      <c r="AH56" s="334">
        <f t="shared" si="68"/>
        <v>1766</v>
      </c>
      <c r="AI56" s="334">
        <f t="shared" si="68"/>
        <v>1766</v>
      </c>
      <c r="AJ56" s="334">
        <f t="shared" ref="AJ56" si="69">AI56</f>
        <v>1766</v>
      </c>
      <c r="AK56" s="334">
        <f t="shared" ref="AK56:AL56" si="70">AJ56</f>
        <v>1766</v>
      </c>
      <c r="AL56" s="334">
        <f t="shared" si="70"/>
        <v>1766</v>
      </c>
    </row>
    <row r="57" spans="1:48" outlineLevel="1">
      <c r="A57" s="2"/>
      <c r="B57" s="20" t="s">
        <v>411</v>
      </c>
      <c r="C57" s="18" t="s">
        <v>732</v>
      </c>
      <c r="D57" s="31"/>
      <c r="E57" s="42"/>
      <c r="F57" s="42"/>
      <c r="G57" s="42"/>
      <c r="H57" s="42"/>
      <c r="I57" s="42"/>
      <c r="J57" s="42"/>
      <c r="K57" s="116"/>
      <c r="L57" s="116"/>
      <c r="M57" s="116"/>
      <c r="N57" s="116"/>
      <c r="O57" s="116"/>
      <c r="P57" s="180"/>
      <c r="Q57" s="618"/>
      <c r="R57" s="549"/>
      <c r="S57" s="538"/>
      <c r="T57" s="538"/>
      <c r="U57" s="538"/>
      <c r="V57" s="538"/>
      <c r="W57" s="538"/>
      <c r="X57" s="538"/>
      <c r="Y57" s="538"/>
      <c r="Z57" s="538"/>
      <c r="AA57" s="538"/>
      <c r="AB57" s="538"/>
      <c r="AC57" s="538"/>
      <c r="AD57" s="334"/>
      <c r="AE57" s="334"/>
      <c r="AF57" s="334"/>
      <c r="AG57" s="334"/>
      <c r="AH57" s="334"/>
      <c r="AI57" s="334"/>
      <c r="AJ57" s="334"/>
      <c r="AK57" s="334"/>
      <c r="AL57" s="334"/>
    </row>
    <row r="58" spans="1:48">
      <c r="A58" s="2"/>
      <c r="B58" s="20" t="s">
        <v>202</v>
      </c>
      <c r="C58" s="18" t="s">
        <v>732</v>
      </c>
      <c r="D58" s="618">
        <v>5170</v>
      </c>
      <c r="E58" s="618">
        <v>6795</v>
      </c>
      <c r="F58" s="618">
        <v>7661</v>
      </c>
      <c r="G58" s="618">
        <v>9137</v>
      </c>
      <c r="H58" s="618">
        <v>9391</v>
      </c>
      <c r="I58" s="618">
        <v>8273</v>
      </c>
      <c r="J58" s="618">
        <v>7179</v>
      </c>
      <c r="K58" s="618">
        <v>6976</v>
      </c>
      <c r="L58" s="618">
        <v>6893</v>
      </c>
      <c r="M58" s="618">
        <v>7115</v>
      </c>
      <c r="N58" s="618">
        <v>7418</v>
      </c>
      <c r="O58" s="618">
        <v>7307</v>
      </c>
      <c r="P58" s="618">
        <v>6712</v>
      </c>
      <c r="Q58" s="618">
        <v>7519</v>
      </c>
      <c r="R58" s="549">
        <v>8331</v>
      </c>
      <c r="S58" s="538">
        <v>8533</v>
      </c>
      <c r="T58" s="538">
        <v>10642</v>
      </c>
      <c r="U58" s="538">
        <v>10225</v>
      </c>
      <c r="V58" s="538">
        <v>10335</v>
      </c>
      <c r="W58" s="538">
        <v>10160</v>
      </c>
      <c r="X58" s="538">
        <v>10017</v>
      </c>
      <c r="Y58" s="538">
        <v>10014</v>
      </c>
      <c r="Z58" s="538">
        <v>9918</v>
      </c>
      <c r="AA58" s="538">
        <v>10116</v>
      </c>
      <c r="AB58" s="538">
        <v>9692</v>
      </c>
      <c r="AC58" s="538">
        <v>9788</v>
      </c>
      <c r="AD58" s="334">
        <f>AC58+'P&amp;L'!AD94+'Cash Flow Statement'!AD48</f>
        <v>9842.6684171777597</v>
      </c>
      <c r="AE58" s="334">
        <f>AD58+'P&amp;L'!AE94+'Cash Flow Statement'!AE48</f>
        <v>9897.9691349124369</v>
      </c>
      <c r="AF58" s="334">
        <f>AE58+'P&amp;L'!AF94+'Cash Flow Statement'!AF48</f>
        <v>9946.4715323579694</v>
      </c>
      <c r="AG58" s="334">
        <f>AF58+'P&amp;L'!AG94+'Cash Flow Statement'!AG48</f>
        <v>9992.9068538433366</v>
      </c>
      <c r="AH58" s="334">
        <f>AG58+'P&amp;L'!AH94+'Cash Flow Statement'!AH48</f>
        <v>10042.769233969562</v>
      </c>
      <c r="AI58" s="334">
        <f>AH58+'P&amp;L'!AI94+'Cash Flow Statement'!AI48</f>
        <v>10102.221537379939</v>
      </c>
      <c r="AJ58" s="334">
        <f>AI58+'P&amp;L'!AJ94+'Cash Flow Statement'!AJ48</f>
        <v>10178.007594602946</v>
      </c>
      <c r="AK58" s="334">
        <f>AJ58+'P&amp;L'!AK94+'Cash Flow Statement'!AK48</f>
        <v>10277.362136426274</v>
      </c>
      <c r="AL58" s="334">
        <f>AK58+'P&amp;L'!AL94+'Cash Flow Statement'!AL48</f>
        <v>10417.093818123878</v>
      </c>
    </row>
    <row r="59" spans="1:48">
      <c r="A59" s="2"/>
      <c r="B59" s="36" t="s">
        <v>343</v>
      </c>
      <c r="C59" s="18" t="s">
        <v>732</v>
      </c>
      <c r="D59" s="618">
        <v>7</v>
      </c>
      <c r="E59" s="618">
        <v>483</v>
      </c>
      <c r="F59" s="618">
        <v>-2</v>
      </c>
      <c r="G59" s="618">
        <v>2</v>
      </c>
      <c r="H59" s="618">
        <v>2</v>
      </c>
      <c r="I59" s="618">
        <v>2</v>
      </c>
      <c r="J59" s="618">
        <v>246</v>
      </c>
      <c r="K59" s="618">
        <v>251</v>
      </c>
      <c r="L59" s="618">
        <v>228</v>
      </c>
      <c r="M59" s="618">
        <v>263</v>
      </c>
      <c r="N59" s="618">
        <v>312</v>
      </c>
      <c r="O59" s="618">
        <v>218</v>
      </c>
      <c r="P59" s="618">
        <v>209</v>
      </c>
      <c r="Q59" s="618">
        <v>264</v>
      </c>
      <c r="R59" s="549">
        <v>138</v>
      </c>
      <c r="S59" s="538">
        <v>407</v>
      </c>
      <c r="T59" s="538">
        <v>36</v>
      </c>
      <c r="U59" s="538">
        <v>19</v>
      </c>
      <c r="V59" s="538">
        <f>-13-88</f>
        <v>-101</v>
      </c>
      <c r="W59" s="538">
        <v>-19</v>
      </c>
      <c r="X59" s="538">
        <v>674</v>
      </c>
      <c r="Y59" s="538">
        <v>687</v>
      </c>
      <c r="Z59" s="538">
        <v>1488</v>
      </c>
      <c r="AA59" s="538">
        <v>2409</v>
      </c>
      <c r="AB59" s="538">
        <v>2430</v>
      </c>
      <c r="AC59" s="538">
        <v>2417</v>
      </c>
      <c r="AD59" s="334">
        <f>AC59+'Cash Flow Statement'!AD31</f>
        <v>2417</v>
      </c>
      <c r="AE59" s="334">
        <f>AD59+'Cash Flow Statement'!AE31</f>
        <v>2417</v>
      </c>
      <c r="AF59" s="334">
        <f>AE59+'Cash Flow Statement'!AF31</f>
        <v>2417</v>
      </c>
      <c r="AG59" s="334">
        <f>AF59+'Cash Flow Statement'!AG31</f>
        <v>2417</v>
      </c>
      <c r="AH59" s="334">
        <f>AG59+'Cash Flow Statement'!AH31</f>
        <v>2417</v>
      </c>
      <c r="AI59" s="334">
        <f>AH59+'Cash Flow Statement'!AI31</f>
        <v>2417</v>
      </c>
      <c r="AJ59" s="334">
        <f>AI59+'Cash Flow Statement'!AJ31</f>
        <v>2417</v>
      </c>
      <c r="AK59" s="334">
        <f>AJ59+'Cash Flow Statement'!AK31</f>
        <v>2417</v>
      </c>
      <c r="AL59" s="334">
        <f>AK59+'Cash Flow Statement'!AL31</f>
        <v>2417</v>
      </c>
    </row>
    <row r="60" spans="1:48">
      <c r="A60" s="6"/>
      <c r="B60" s="6" t="s">
        <v>344</v>
      </c>
      <c r="C60" s="21" t="s">
        <v>732</v>
      </c>
      <c r="D60" s="60">
        <f t="shared" ref="D60:T60" si="71">D54+D59</f>
        <v>11602</v>
      </c>
      <c r="E60" s="60">
        <f t="shared" si="71"/>
        <v>13722</v>
      </c>
      <c r="F60" s="60">
        <f t="shared" si="71"/>
        <v>14106</v>
      </c>
      <c r="G60" s="60">
        <f t="shared" si="71"/>
        <v>15422</v>
      </c>
      <c r="H60" s="60">
        <f t="shared" si="71"/>
        <v>15361</v>
      </c>
      <c r="I60" s="60">
        <f t="shared" si="71"/>
        <v>13658</v>
      </c>
      <c r="J60" s="60">
        <f t="shared" si="71"/>
        <v>12834</v>
      </c>
      <c r="K60" s="60">
        <f t="shared" si="71"/>
        <v>12580</v>
      </c>
      <c r="L60" s="60">
        <f t="shared" si="71"/>
        <v>12245</v>
      </c>
      <c r="M60" s="60">
        <f t="shared" si="71"/>
        <v>12681</v>
      </c>
      <c r="N60" s="60">
        <f t="shared" si="71"/>
        <v>13008</v>
      </c>
      <c r="O60" s="60">
        <f t="shared" si="71"/>
        <v>12292</v>
      </c>
      <c r="P60" s="60">
        <f t="shared" si="71"/>
        <v>11689</v>
      </c>
      <c r="Q60" s="60">
        <f t="shared" si="71"/>
        <v>12875</v>
      </c>
      <c r="R60" s="60">
        <f t="shared" si="71"/>
        <v>13960</v>
      </c>
      <c r="S60" s="409">
        <f t="shared" si="71"/>
        <v>14510</v>
      </c>
      <c r="T60" s="409">
        <f t="shared" si="71"/>
        <v>15907</v>
      </c>
      <c r="U60" s="409">
        <f>U54+U59</f>
        <v>14560</v>
      </c>
      <c r="V60" s="409">
        <f t="shared" ref="V60:Z60" si="72">V54+V59</f>
        <v>14531</v>
      </c>
      <c r="W60" s="409">
        <f>W54+W59</f>
        <v>14530</v>
      </c>
      <c r="X60" s="409">
        <f t="shared" si="72"/>
        <v>15147</v>
      </c>
      <c r="Y60" s="409">
        <f>Y54+Y59</f>
        <v>15275</v>
      </c>
      <c r="Z60" s="409">
        <f t="shared" si="72"/>
        <v>16837</v>
      </c>
      <c r="AA60" s="409">
        <f t="shared" ref="AA60:AB60" si="73">AA54+AA59</f>
        <v>17816</v>
      </c>
      <c r="AB60" s="409">
        <f t="shared" si="73"/>
        <v>17352</v>
      </c>
      <c r="AC60" s="409">
        <f t="shared" ref="AC60" si="74">AC54+AC59</f>
        <v>16316</v>
      </c>
      <c r="AD60" s="409">
        <f t="shared" ref="AD60:AH60" si="75">AD54+AD59</f>
        <v>15370.66841717776</v>
      </c>
      <c r="AE60" s="409">
        <f t="shared" si="75"/>
        <v>15175.969134912437</v>
      </c>
      <c r="AF60" s="409">
        <f t="shared" si="75"/>
        <v>15224.471532357969</v>
      </c>
      <c r="AG60" s="409">
        <f t="shared" si="75"/>
        <v>15270.906853843337</v>
      </c>
      <c r="AH60" s="409">
        <f t="shared" si="75"/>
        <v>15320.769233969562</v>
      </c>
      <c r="AI60" s="409">
        <f>AI54+AI59</f>
        <v>15380.221537379939</v>
      </c>
      <c r="AJ60" s="409">
        <f t="shared" ref="AJ60:AK60" si="76">AJ54+AJ59</f>
        <v>15456.007594602946</v>
      </c>
      <c r="AK60" s="409">
        <f t="shared" si="76"/>
        <v>15555.362136426274</v>
      </c>
      <c r="AL60" s="409">
        <f t="shared" ref="AL60" si="77">AL54+AL59</f>
        <v>15695.093818123878</v>
      </c>
    </row>
    <row r="61" spans="1:48">
      <c r="A61" s="6"/>
      <c r="B61" s="6"/>
      <c r="C61" s="21"/>
      <c r="D61" s="31"/>
      <c r="E61" s="31"/>
      <c r="F61" s="31"/>
      <c r="G61" s="31"/>
      <c r="H61" s="31"/>
      <c r="I61" s="31"/>
      <c r="J61" s="117"/>
      <c r="K61" s="117"/>
      <c r="L61" s="31"/>
      <c r="M61" s="42"/>
      <c r="N61" s="31"/>
      <c r="O61" s="31"/>
      <c r="P61" s="31"/>
      <c r="Q61" s="31"/>
      <c r="R61" s="31"/>
      <c r="S61" s="31"/>
      <c r="T61" s="31"/>
      <c r="U61" s="31"/>
      <c r="V61" s="31"/>
      <c r="W61" s="31"/>
      <c r="X61" s="31"/>
      <c r="Y61" s="31"/>
      <c r="Z61" s="31"/>
      <c r="AA61" s="31"/>
      <c r="AB61" s="31"/>
      <c r="AC61" s="31"/>
      <c r="AD61" s="31"/>
      <c r="AE61" s="31"/>
      <c r="AF61" s="31"/>
      <c r="AG61" s="31"/>
      <c r="AH61" s="31"/>
      <c r="AI61" s="31"/>
      <c r="AJ61" s="31"/>
      <c r="AK61" s="31"/>
      <c r="AL61" s="31"/>
    </row>
    <row r="62" spans="1:48">
      <c r="A62" s="2"/>
      <c r="B62" s="973" t="s">
        <v>340</v>
      </c>
      <c r="C62" s="1099"/>
      <c r="D62" s="1100">
        <f t="shared" ref="D62:X62" si="78">D51-D60</f>
        <v>0</v>
      </c>
      <c r="E62" s="1100">
        <f t="shared" si="78"/>
        <v>0</v>
      </c>
      <c r="F62" s="1100">
        <f t="shared" si="78"/>
        <v>0</v>
      </c>
      <c r="G62" s="1100">
        <f t="shared" si="78"/>
        <v>0</v>
      </c>
      <c r="H62" s="1100">
        <f t="shared" si="78"/>
        <v>0</v>
      </c>
      <c r="I62" s="1100">
        <f t="shared" si="78"/>
        <v>0</v>
      </c>
      <c r="J62" s="1100">
        <f t="shared" si="78"/>
        <v>0</v>
      </c>
      <c r="K62" s="1100">
        <f t="shared" si="78"/>
        <v>0</v>
      </c>
      <c r="L62" s="1100">
        <f t="shared" si="78"/>
        <v>0</v>
      </c>
      <c r="M62" s="1100">
        <f t="shared" si="78"/>
        <v>0</v>
      </c>
      <c r="N62" s="1100">
        <f t="shared" si="78"/>
        <v>0</v>
      </c>
      <c r="O62" s="1100">
        <f t="shared" si="78"/>
        <v>0</v>
      </c>
      <c r="P62" s="1100">
        <f t="shared" si="78"/>
        <v>0</v>
      </c>
      <c r="Q62" s="1100">
        <f t="shared" si="78"/>
        <v>0</v>
      </c>
      <c r="R62" s="1100">
        <f t="shared" si="78"/>
        <v>0</v>
      </c>
      <c r="S62" s="1101">
        <f t="shared" si="78"/>
        <v>0</v>
      </c>
      <c r="T62" s="1101">
        <f t="shared" si="78"/>
        <v>-8.5963250021450222E-3</v>
      </c>
      <c r="U62" s="1101">
        <f t="shared" si="78"/>
        <v>0</v>
      </c>
      <c r="V62" s="1101">
        <f t="shared" si="78"/>
        <v>0</v>
      </c>
      <c r="W62" s="1101">
        <f t="shared" si="78"/>
        <v>0</v>
      </c>
      <c r="X62" s="1101">
        <f t="shared" si="78"/>
        <v>0</v>
      </c>
      <c r="Y62" s="1101">
        <f t="shared" ref="Y62:AD62" si="79">Y51-Y60</f>
        <v>0</v>
      </c>
      <c r="Z62" s="1101">
        <f t="shared" si="79"/>
        <v>0</v>
      </c>
      <c r="AA62" s="1101">
        <f t="shared" si="79"/>
        <v>0</v>
      </c>
      <c r="AB62" s="1101">
        <f t="shared" si="79"/>
        <v>0</v>
      </c>
      <c r="AC62" s="1101">
        <f t="shared" ref="AC62" si="80">AC51-AC60</f>
        <v>0</v>
      </c>
      <c r="AD62" s="1101">
        <f t="shared" si="79"/>
        <v>0</v>
      </c>
      <c r="AE62" s="1101">
        <f>AE51-AE60</f>
        <v>0</v>
      </c>
      <c r="AF62" s="1101">
        <f>AF51-AF60</f>
        <v>0</v>
      </c>
      <c r="AG62" s="1101">
        <f>AG51-AG60</f>
        <v>0</v>
      </c>
      <c r="AH62" s="1101">
        <f>AH51-AH60</f>
        <v>0</v>
      </c>
      <c r="AI62" s="1101">
        <f>AI51-AI60</f>
        <v>0</v>
      </c>
      <c r="AJ62" s="1101">
        <f t="shared" ref="AJ62:AK62" si="81">AJ51-AJ60</f>
        <v>0</v>
      </c>
      <c r="AK62" s="1101">
        <f t="shared" si="81"/>
        <v>0</v>
      </c>
      <c r="AL62" s="1101">
        <f t="shared" ref="AL62" si="82">AL51-AL60</f>
        <v>0</v>
      </c>
    </row>
    <row r="63" spans="1:48">
      <c r="A63" s="2"/>
      <c r="B63" s="134"/>
      <c r="T63" s="180"/>
      <c r="U63" s="180"/>
      <c r="V63" s="180"/>
      <c r="W63" s="180"/>
      <c r="X63" s="180"/>
      <c r="Y63" s="180"/>
      <c r="Z63" s="1110"/>
      <c r="AA63" s="180"/>
      <c r="AB63" s="1097"/>
      <c r="AC63" s="1097"/>
      <c r="AD63" s="1097"/>
      <c r="AE63" s="1097"/>
      <c r="AF63" s="1097"/>
      <c r="AG63" s="1097"/>
      <c r="AH63" s="1097"/>
      <c r="AI63" s="1097"/>
      <c r="AJ63" s="1097"/>
      <c r="AK63" s="1097"/>
      <c r="AL63" s="1097"/>
    </row>
    <row r="64" spans="1:48">
      <c r="A64" s="2"/>
      <c r="B64" s="113"/>
      <c r="C64" s="851"/>
      <c r="D64" s="974"/>
      <c r="E64" s="974"/>
      <c r="F64" s="178"/>
      <c r="G64" s="178"/>
      <c r="H64" s="178"/>
      <c r="I64" s="178"/>
      <c r="J64" s="178"/>
      <c r="K64" s="178"/>
      <c r="L64" s="178"/>
      <c r="M64" s="178"/>
      <c r="N64" s="178"/>
      <c r="O64" s="178"/>
      <c r="P64" s="178"/>
      <c r="Q64" s="178"/>
      <c r="R64" s="178"/>
      <c r="S64" s="178"/>
      <c r="T64" s="178"/>
      <c r="U64" s="178"/>
      <c r="V64" s="178"/>
      <c r="W64" s="178"/>
      <c r="X64" s="178"/>
      <c r="Y64" s="178"/>
      <c r="Z64" s="178"/>
      <c r="AA64" s="178"/>
      <c r="AB64" s="178"/>
      <c r="AC64" s="178"/>
      <c r="AD64" s="178"/>
      <c r="AE64" s="178"/>
      <c r="AF64" s="178"/>
      <c r="AG64" s="178"/>
      <c r="AH64" s="178"/>
      <c r="AI64" s="178"/>
      <c r="AJ64" s="178"/>
      <c r="AK64" s="178"/>
      <c r="AL64" s="178"/>
    </row>
    <row r="65" spans="1:38" outlineLevel="1">
      <c r="A65" s="2"/>
      <c r="B65" s="388" t="s">
        <v>345</v>
      </c>
      <c r="C65" s="389" t="str">
        <f t="shared" ref="C65:AH65" si="83">C5</f>
        <v>unit</v>
      </c>
      <c r="D65" s="390">
        <f t="shared" si="83"/>
        <v>0</v>
      </c>
      <c r="E65" s="391">
        <f t="shared" si="83"/>
        <v>1</v>
      </c>
      <c r="F65" s="391">
        <f t="shared" si="83"/>
        <v>2</v>
      </c>
      <c r="G65" s="391">
        <f t="shared" si="83"/>
        <v>3</v>
      </c>
      <c r="H65" s="391">
        <f t="shared" si="83"/>
        <v>4</v>
      </c>
      <c r="I65" s="391">
        <f t="shared" si="83"/>
        <v>5</v>
      </c>
      <c r="J65" s="391">
        <f t="shared" si="83"/>
        <v>6</v>
      </c>
      <c r="K65" s="391">
        <f t="shared" si="83"/>
        <v>7</v>
      </c>
      <c r="L65" s="391">
        <f t="shared" si="83"/>
        <v>8</v>
      </c>
      <c r="M65" s="391">
        <f t="shared" si="83"/>
        <v>9</v>
      </c>
      <c r="N65" s="386">
        <f t="shared" si="83"/>
        <v>10</v>
      </c>
      <c r="O65" s="386">
        <f t="shared" si="83"/>
        <v>11</v>
      </c>
      <c r="P65" s="386">
        <f t="shared" si="83"/>
        <v>12</v>
      </c>
      <c r="Q65" s="386">
        <f t="shared" si="83"/>
        <v>13</v>
      </c>
      <c r="R65" s="386">
        <f t="shared" si="83"/>
        <v>14</v>
      </c>
      <c r="S65" s="386">
        <f t="shared" si="83"/>
        <v>15</v>
      </c>
      <c r="T65" s="386">
        <f t="shared" si="83"/>
        <v>16</v>
      </c>
      <c r="U65" s="386">
        <f t="shared" si="83"/>
        <v>17</v>
      </c>
      <c r="V65" s="386">
        <f t="shared" si="83"/>
        <v>18</v>
      </c>
      <c r="W65" s="386">
        <f t="shared" si="83"/>
        <v>19</v>
      </c>
      <c r="X65" s="386">
        <f t="shared" si="83"/>
        <v>20</v>
      </c>
      <c r="Y65" s="386">
        <f>Y5</f>
        <v>21</v>
      </c>
      <c r="Z65" s="386">
        <f t="shared" si="83"/>
        <v>22</v>
      </c>
      <c r="AA65" s="386">
        <f t="shared" si="83"/>
        <v>23</v>
      </c>
      <c r="AB65" s="386">
        <f t="shared" si="83"/>
        <v>24</v>
      </c>
      <c r="AC65" s="387">
        <f t="shared" si="83"/>
        <v>25</v>
      </c>
      <c r="AD65" s="387">
        <f t="shared" si="83"/>
        <v>26</v>
      </c>
      <c r="AE65" s="387">
        <f t="shared" si="83"/>
        <v>27</v>
      </c>
      <c r="AF65" s="387">
        <f t="shared" si="83"/>
        <v>28</v>
      </c>
      <c r="AG65" s="387">
        <f t="shared" si="83"/>
        <v>29</v>
      </c>
      <c r="AH65" s="387">
        <f t="shared" si="83"/>
        <v>30</v>
      </c>
      <c r="AI65" s="387">
        <f>AI5</f>
        <v>31</v>
      </c>
      <c r="AJ65" s="387">
        <f t="shared" ref="AJ65:AK65" si="84">AJ5</f>
        <v>32</v>
      </c>
      <c r="AK65" s="387">
        <f t="shared" si="84"/>
        <v>33</v>
      </c>
      <c r="AL65" s="387">
        <f t="shared" ref="AL65" si="85">AL5</f>
        <v>34</v>
      </c>
    </row>
    <row r="66" spans="1:38" outlineLevel="1">
      <c r="A66" s="2"/>
      <c r="B66" s="134"/>
      <c r="T66" s="180"/>
      <c r="U66" s="180"/>
      <c r="V66" s="180"/>
      <c r="W66" s="180"/>
      <c r="X66" s="180"/>
      <c r="Y66" s="180"/>
      <c r="Z66" s="180"/>
      <c r="AA66" s="180"/>
      <c r="AB66" s="180"/>
      <c r="AC66" s="180"/>
      <c r="AD66" s="180"/>
      <c r="AE66" s="180"/>
      <c r="AF66" s="180"/>
      <c r="AG66" s="180"/>
      <c r="AH66" s="180"/>
      <c r="AI66" s="180"/>
      <c r="AJ66" s="180"/>
      <c r="AK66" s="180"/>
      <c r="AL66" s="180"/>
    </row>
    <row r="67" spans="1:38" outlineLevel="1">
      <c r="A67" s="2"/>
      <c r="B67" s="2" t="s">
        <v>539</v>
      </c>
      <c r="C67" s="18" t="s">
        <v>732</v>
      </c>
      <c r="D67" s="56">
        <f t="shared" ref="D67:AH67" si="86">D10+D11-D32</f>
        <v>1354</v>
      </c>
      <c r="E67" s="56">
        <f t="shared" si="86"/>
        <v>1804</v>
      </c>
      <c r="F67" s="56">
        <f t="shared" si="86"/>
        <v>1505</v>
      </c>
      <c r="G67" s="56">
        <f t="shared" si="86"/>
        <v>1354</v>
      </c>
      <c r="H67" s="56">
        <f t="shared" si="86"/>
        <v>1499</v>
      </c>
      <c r="I67" s="56">
        <f t="shared" si="86"/>
        <v>974</v>
      </c>
      <c r="J67" s="56">
        <f t="shared" si="86"/>
        <v>375</v>
      </c>
      <c r="K67" s="56">
        <f t="shared" si="86"/>
        <v>-50</v>
      </c>
      <c r="L67" s="56">
        <f t="shared" si="86"/>
        <v>331</v>
      </c>
      <c r="M67" s="56">
        <f t="shared" si="86"/>
        <v>544</v>
      </c>
      <c r="N67" s="56">
        <f t="shared" si="86"/>
        <v>433</v>
      </c>
      <c r="O67" s="56">
        <f t="shared" si="86"/>
        <v>327</v>
      </c>
      <c r="P67" s="56">
        <f t="shared" si="86"/>
        <v>475</v>
      </c>
      <c r="Q67" s="56">
        <f t="shared" si="86"/>
        <v>747</v>
      </c>
      <c r="R67" s="56">
        <f t="shared" si="86"/>
        <v>700</v>
      </c>
      <c r="S67" s="56">
        <f t="shared" si="86"/>
        <v>1167</v>
      </c>
      <c r="T67" s="56">
        <f t="shared" si="86"/>
        <v>1346</v>
      </c>
      <c r="U67" s="56">
        <f t="shared" si="86"/>
        <v>2172</v>
      </c>
      <c r="V67" s="56">
        <f t="shared" si="86"/>
        <v>1464</v>
      </c>
      <c r="W67" s="56">
        <f t="shared" si="86"/>
        <v>1312</v>
      </c>
      <c r="X67" s="56">
        <f t="shared" si="86"/>
        <v>1559</v>
      </c>
      <c r="Y67" s="56">
        <f>Y10+Y11-Y32</f>
        <v>1196</v>
      </c>
      <c r="Z67" s="56">
        <f t="shared" si="86"/>
        <v>361</v>
      </c>
      <c r="AA67" s="56">
        <f t="shared" si="86"/>
        <v>397</v>
      </c>
      <c r="AB67" s="56">
        <f t="shared" si="86"/>
        <v>-280</v>
      </c>
      <c r="AC67" s="56">
        <f t="shared" si="86"/>
        <v>-50</v>
      </c>
      <c r="AD67" s="56">
        <f t="shared" si="86"/>
        <v>-47.062243346791547</v>
      </c>
      <c r="AE67" s="56">
        <f t="shared" si="86"/>
        <v>-58.688771069219911</v>
      </c>
      <c r="AF67" s="56">
        <f t="shared" si="86"/>
        <v>-71.146724054632614</v>
      </c>
      <c r="AG67" s="56">
        <f t="shared" si="86"/>
        <v>-84.595818661277917</v>
      </c>
      <c r="AH67" s="56">
        <f t="shared" si="86"/>
        <v>-103.00800964658811</v>
      </c>
      <c r="AI67" s="56">
        <f>AI10+AI11-AI32</f>
        <v>-123.06089241423979</v>
      </c>
      <c r="AJ67" s="56">
        <f t="shared" ref="AJ67:AK67" si="87">AJ10+AJ11-AJ32</f>
        <v>-145.02168112464096</v>
      </c>
      <c r="AK67" s="56">
        <f t="shared" si="87"/>
        <v>-169.20421167624954</v>
      </c>
      <c r="AL67" s="56">
        <f t="shared" ref="AL67" si="88">AL10+AL11-AL32</f>
        <v>-195.04349330907644</v>
      </c>
    </row>
    <row r="68" spans="1:38" outlineLevel="1">
      <c r="A68" s="2"/>
      <c r="B68" s="2" t="s">
        <v>401</v>
      </c>
      <c r="C68" s="18" t="s">
        <v>732</v>
      </c>
      <c r="D68" s="56"/>
      <c r="E68" s="56">
        <f t="shared" ref="E68:W68" si="89">-(E67-D67)</f>
        <v>-450</v>
      </c>
      <c r="F68" s="56">
        <f t="shared" si="89"/>
        <v>299</v>
      </c>
      <c r="G68" s="56">
        <f t="shared" si="89"/>
        <v>151</v>
      </c>
      <c r="H68" s="56">
        <f t="shared" si="89"/>
        <v>-145</v>
      </c>
      <c r="I68" s="56">
        <f t="shared" si="89"/>
        <v>525</v>
      </c>
      <c r="J68" s="56">
        <f t="shared" si="89"/>
        <v>599</v>
      </c>
      <c r="K68" s="56">
        <f t="shared" si="89"/>
        <v>425</v>
      </c>
      <c r="L68" s="56">
        <f t="shared" si="89"/>
        <v>-381</v>
      </c>
      <c r="M68" s="56">
        <f t="shared" si="89"/>
        <v>-213</v>
      </c>
      <c r="N68" s="56">
        <f t="shared" si="89"/>
        <v>111</v>
      </c>
      <c r="O68" s="56">
        <f t="shared" si="89"/>
        <v>106</v>
      </c>
      <c r="P68" s="56">
        <f t="shared" si="89"/>
        <v>-148</v>
      </c>
      <c r="Q68" s="56">
        <f t="shared" si="89"/>
        <v>-272</v>
      </c>
      <c r="R68" s="56">
        <f t="shared" si="89"/>
        <v>47</v>
      </c>
      <c r="S68" s="56">
        <f t="shared" si="89"/>
        <v>-467</v>
      </c>
      <c r="T68" s="56">
        <f t="shared" si="89"/>
        <v>-179</v>
      </c>
      <c r="U68" s="56">
        <f t="shared" si="89"/>
        <v>-826</v>
      </c>
      <c r="V68" s="56">
        <f t="shared" si="89"/>
        <v>708</v>
      </c>
      <c r="W68" s="56">
        <f t="shared" si="89"/>
        <v>152</v>
      </c>
      <c r="X68" s="56">
        <f>-(X67-W67)</f>
        <v>-247</v>
      </c>
      <c r="Y68" s="56">
        <f>-(Y67-X67)</f>
        <v>363</v>
      </c>
      <c r="Z68" s="56">
        <f>-(Z67-Y67)</f>
        <v>835</v>
      </c>
      <c r="AA68" s="56">
        <f>-(AA67-Z67)</f>
        <v>-36</v>
      </c>
      <c r="AB68" s="56">
        <f>-(AB67-AA67)</f>
        <v>677</v>
      </c>
      <c r="AC68" s="56">
        <f t="shared" ref="AC68:AI68" si="90">-(AC67-AB67)</f>
        <v>-230</v>
      </c>
      <c r="AD68" s="56">
        <f t="shared" si="90"/>
        <v>-2.9377566532084529</v>
      </c>
      <c r="AE68" s="56">
        <f t="shared" si="90"/>
        <v>11.626527722428364</v>
      </c>
      <c r="AF68" s="56">
        <f t="shared" si="90"/>
        <v>12.457952985412703</v>
      </c>
      <c r="AG68" s="56">
        <f t="shared" si="90"/>
        <v>13.449094606645303</v>
      </c>
      <c r="AH68" s="56">
        <f t="shared" si="90"/>
        <v>18.41219098531019</v>
      </c>
      <c r="AI68" s="56">
        <f t="shared" si="90"/>
        <v>20.052882767651681</v>
      </c>
      <c r="AJ68" s="56">
        <f t="shared" ref="AJ68" si="91">-(AJ67-AI67)</f>
        <v>21.960788710401175</v>
      </c>
      <c r="AK68" s="56">
        <f t="shared" ref="AK68:AL68" si="92">-(AK67-AJ67)</f>
        <v>24.182530551608579</v>
      </c>
      <c r="AL68" s="56">
        <f t="shared" si="92"/>
        <v>25.839281632826896</v>
      </c>
    </row>
    <row r="69" spans="1:38" outlineLevel="1">
      <c r="A69" s="2"/>
      <c r="B69" s="2" t="s">
        <v>540</v>
      </c>
      <c r="C69" s="18" t="s">
        <v>733</v>
      </c>
      <c r="D69" s="7"/>
      <c r="E69" s="7">
        <f t="shared" ref="E69:W69" si="93">E67/D67-1</f>
        <v>0.33234859675036921</v>
      </c>
      <c r="F69" s="7">
        <f t="shared" si="93"/>
        <v>-0.16574279379157431</v>
      </c>
      <c r="G69" s="7">
        <f t="shared" si="93"/>
        <v>-0.10033222591362123</v>
      </c>
      <c r="H69" s="7">
        <f t="shared" si="93"/>
        <v>0.10709010339734126</v>
      </c>
      <c r="I69" s="7">
        <f t="shared" si="93"/>
        <v>-0.35023348899266182</v>
      </c>
      <c r="J69" s="7">
        <f t="shared" si="93"/>
        <v>-0.61498973305954818</v>
      </c>
      <c r="K69" s="7">
        <f t="shared" si="93"/>
        <v>-1.1333333333333333</v>
      </c>
      <c r="L69" s="7">
        <f t="shared" si="93"/>
        <v>-7.62</v>
      </c>
      <c r="M69" s="7">
        <f t="shared" si="93"/>
        <v>0.64350453172205446</v>
      </c>
      <c r="N69" s="7">
        <f t="shared" si="93"/>
        <v>-0.20404411764705888</v>
      </c>
      <c r="O69" s="7">
        <f t="shared" si="93"/>
        <v>-0.24480369515011546</v>
      </c>
      <c r="P69" s="7">
        <f t="shared" si="93"/>
        <v>0.45259938837920499</v>
      </c>
      <c r="Q69" s="246">
        <f t="shared" si="93"/>
        <v>0.57263157894736838</v>
      </c>
      <c r="R69" s="246">
        <f t="shared" si="93"/>
        <v>-6.2918340026773767E-2</v>
      </c>
      <c r="S69" s="246">
        <f t="shared" si="93"/>
        <v>0.66714285714285704</v>
      </c>
      <c r="T69" s="246">
        <f t="shared" si="93"/>
        <v>0.15338474721508133</v>
      </c>
      <c r="U69" s="246">
        <f t="shared" si="93"/>
        <v>0.61367013372956913</v>
      </c>
      <c r="V69" s="246">
        <f t="shared" si="93"/>
        <v>-0.32596685082872923</v>
      </c>
      <c r="W69" s="246">
        <f t="shared" si="93"/>
        <v>-0.10382513661202186</v>
      </c>
      <c r="X69" s="246">
        <f>X67/W67-1</f>
        <v>0.18826219512195119</v>
      </c>
      <c r="Y69" s="246">
        <f>Y67/X67-1</f>
        <v>-0.23284156510583709</v>
      </c>
      <c r="Z69" s="246">
        <f>Z67/Y67-1</f>
        <v>-0.69816053511705678</v>
      </c>
      <c r="AA69" s="246">
        <f>AA67/Z67-1</f>
        <v>9.9722991689750629E-2</v>
      </c>
      <c r="AB69" s="246">
        <f>AB67/AA67-1</f>
        <v>-1.7052896725440805</v>
      </c>
      <c r="AC69" s="246">
        <f t="shared" ref="AC69:AI69" si="94">AC67/AB67-1</f>
        <v>-0.8214285714285714</v>
      </c>
      <c r="AD69" s="246">
        <f t="shared" si="94"/>
        <v>-5.8755133064169018E-2</v>
      </c>
      <c r="AE69" s="246">
        <f t="shared" si="94"/>
        <v>0.24704576100962683</v>
      </c>
      <c r="AF69" s="246">
        <f t="shared" si="94"/>
        <v>0.21227149177683913</v>
      </c>
      <c r="AG69" s="246">
        <f t="shared" si="94"/>
        <v>0.18903322374081366</v>
      </c>
      <c r="AH69" s="246">
        <f t="shared" si="94"/>
        <v>0.21764894857312855</v>
      </c>
      <c r="AI69" s="246">
        <f t="shared" si="94"/>
        <v>0.19467304374146677</v>
      </c>
      <c r="AJ69" s="246">
        <f t="shared" ref="AJ69" si="95">AJ67/AI67-1</f>
        <v>0.17845465183592335</v>
      </c>
      <c r="AK69" s="246">
        <f t="shared" ref="AK69:AL69" si="96">AK67/AJ67-1</f>
        <v>0.16675113930602259</v>
      </c>
      <c r="AL69" s="246">
        <f t="shared" si="96"/>
        <v>0.15271062922634004</v>
      </c>
    </row>
    <row r="70" spans="1:38" outlineLevel="1">
      <c r="A70" s="2"/>
      <c r="B70" s="2" t="s">
        <v>402</v>
      </c>
      <c r="C70" s="18" t="s">
        <v>732</v>
      </c>
      <c r="D70" s="56">
        <f t="shared" ref="D70:AH70" si="97">D33+D42+D43+D34-D9-D12-D20</f>
        <v>9070</v>
      </c>
      <c r="E70" s="56">
        <f t="shared" si="97"/>
        <v>12913</v>
      </c>
      <c r="F70" s="56">
        <f t="shared" si="97"/>
        <v>13307</v>
      </c>
      <c r="G70" s="56">
        <f t="shared" si="97"/>
        <v>11255</v>
      </c>
      <c r="H70" s="56">
        <f t="shared" si="97"/>
        <v>11573</v>
      </c>
      <c r="I70" s="56">
        <f t="shared" si="97"/>
        <v>11771</v>
      </c>
      <c r="J70" s="56">
        <f t="shared" si="97"/>
        <v>13103</v>
      </c>
      <c r="K70" s="56">
        <f t="shared" si="97"/>
        <v>14754</v>
      </c>
      <c r="L70" s="56">
        <f t="shared" si="97"/>
        <v>15406</v>
      </c>
      <c r="M70" s="56">
        <f t="shared" si="97"/>
        <v>15671</v>
      </c>
      <c r="N70" s="56">
        <f t="shared" si="97"/>
        <v>14111</v>
      </c>
      <c r="O70" s="56">
        <f t="shared" si="97"/>
        <v>13603</v>
      </c>
      <c r="P70" s="56">
        <f t="shared" si="97"/>
        <v>13277</v>
      </c>
      <c r="Q70" s="56">
        <f t="shared" si="97"/>
        <v>13149</v>
      </c>
      <c r="R70" s="56">
        <f t="shared" si="97"/>
        <v>10521</v>
      </c>
      <c r="S70" s="56">
        <f t="shared" si="97"/>
        <v>13566</v>
      </c>
      <c r="T70" s="56">
        <f t="shared" si="97"/>
        <v>12459.008596325</v>
      </c>
      <c r="U70" s="56">
        <f t="shared" si="97"/>
        <v>15280</v>
      </c>
      <c r="V70" s="56">
        <f t="shared" si="97"/>
        <v>14739</v>
      </c>
      <c r="W70" s="56">
        <f t="shared" si="97"/>
        <v>14727</v>
      </c>
      <c r="X70" s="56">
        <f t="shared" si="97"/>
        <v>13546</v>
      </c>
      <c r="Y70" s="56">
        <f>Y33+Y42+Y43+Y34-Y9-Y12-Y20</f>
        <v>11958</v>
      </c>
      <c r="Z70" s="56">
        <f>Z33+Z42+Z43+Z34-Z9-Z12-Z20</f>
        <v>9433</v>
      </c>
      <c r="AA70" s="56">
        <f t="shared" si="97"/>
        <v>11602</v>
      </c>
      <c r="AB70" s="56">
        <f t="shared" si="97"/>
        <v>13077</v>
      </c>
      <c r="AC70" s="56">
        <f t="shared" si="97"/>
        <v>13766</v>
      </c>
      <c r="AD70" s="56">
        <f t="shared" si="97"/>
        <v>14745.034413037571</v>
      </c>
      <c r="AE70" s="56">
        <f t="shared" si="97"/>
        <v>15094.209102262736</v>
      </c>
      <c r="AF70" s="56">
        <f t="shared" si="97"/>
        <v>15182.412023839803</v>
      </c>
      <c r="AG70" s="56">
        <f t="shared" si="97"/>
        <v>15252.252040153677</v>
      </c>
      <c r="AH70" s="56">
        <f t="shared" si="97"/>
        <v>15291.645188125329</v>
      </c>
      <c r="AI70" s="56">
        <f>AI33+AI42+AI43+AI34-AI9-AI12-AI20</f>
        <v>15294.944716154643</v>
      </c>
      <c r="AJ70" s="56">
        <f t="shared" ref="AJ70:AK70" si="98">AJ33+AJ42+AJ43+AJ34-AJ9-AJ12-AJ20</f>
        <v>14949.738332978581</v>
      </c>
      <c r="AK70" s="56">
        <f t="shared" si="98"/>
        <v>14216.559011758127</v>
      </c>
      <c r="AL70" s="56">
        <f t="shared" ref="AL70" si="99">AL33+AL42+AL43+AL34-AL9-AL12-AL20</f>
        <v>13215.320016577167</v>
      </c>
    </row>
    <row r="71" spans="1:38" outlineLevel="1">
      <c r="A71" s="2"/>
      <c r="B71" s="2" t="s">
        <v>544</v>
      </c>
      <c r="C71" s="18" t="s">
        <v>733</v>
      </c>
      <c r="D71" s="56">
        <f t="shared" ref="D71:R71" si="100">(D70)/D60</f>
        <v>0.78176176521289431</v>
      </c>
      <c r="E71" s="56">
        <f t="shared" si="100"/>
        <v>0.94104357965311181</v>
      </c>
      <c r="F71" s="56">
        <f t="shared" si="100"/>
        <v>0.94335743655182192</v>
      </c>
      <c r="G71" s="56">
        <f t="shared" si="100"/>
        <v>0.7298015821553625</v>
      </c>
      <c r="H71" s="56">
        <f t="shared" si="100"/>
        <v>0.75340147125838164</v>
      </c>
      <c r="I71" s="56">
        <f t="shared" si="100"/>
        <v>0.86183921511202222</v>
      </c>
      <c r="J71" s="56">
        <f t="shared" si="100"/>
        <v>1.0209599501324607</v>
      </c>
      <c r="K71" s="56">
        <f t="shared" si="100"/>
        <v>1.1728139904610493</v>
      </c>
      <c r="L71" s="56">
        <f t="shared" si="100"/>
        <v>1.2581461821151489</v>
      </c>
      <c r="M71" s="56">
        <f t="shared" si="100"/>
        <v>1.2357858213074679</v>
      </c>
      <c r="N71" s="7">
        <f t="shared" si="100"/>
        <v>1.0847939729397293</v>
      </c>
      <c r="O71" s="7">
        <f t="shared" si="100"/>
        <v>1.1066547347868532</v>
      </c>
      <c r="P71" s="7">
        <f t="shared" si="100"/>
        <v>1.1358542219180425</v>
      </c>
      <c r="Q71" s="246">
        <f t="shared" si="100"/>
        <v>1.0212815533980582</v>
      </c>
      <c r="R71" s="246">
        <f t="shared" si="100"/>
        <v>0.75365329512893986</v>
      </c>
      <c r="S71" s="246">
        <f>(S70)/(S70+S60)</f>
        <v>0.48318848838865935</v>
      </c>
      <c r="T71" s="246">
        <f t="shared" ref="T71:AH71" si="101">(T70)/T60</f>
        <v>0.78324062339378897</v>
      </c>
      <c r="U71" s="246">
        <f t="shared" si="101"/>
        <v>1.0494505494505495</v>
      </c>
      <c r="V71" s="246">
        <f t="shared" si="101"/>
        <v>1.0143142247608561</v>
      </c>
      <c r="W71" s="246">
        <f t="shared" si="101"/>
        <v>1.0135581555402615</v>
      </c>
      <c r="X71" s="246">
        <f t="shared" si="101"/>
        <v>0.89430250214563944</v>
      </c>
      <c r="Y71" s="246">
        <f>(Y70)/Y60</f>
        <v>0.78284779050736497</v>
      </c>
      <c r="Z71" s="246">
        <f t="shared" si="101"/>
        <v>0.56025420205499787</v>
      </c>
      <c r="AA71" s="246">
        <f t="shared" si="101"/>
        <v>0.65121239335428827</v>
      </c>
      <c r="AB71" s="246">
        <f t="shared" si="101"/>
        <v>0.75363070539419086</v>
      </c>
      <c r="AC71" s="246">
        <f t="shared" si="101"/>
        <v>0.84371169404265756</v>
      </c>
      <c r="AD71" s="246">
        <f t="shared" si="101"/>
        <v>0.95929689020934183</v>
      </c>
      <c r="AE71" s="246">
        <f t="shared" si="101"/>
        <v>0.99461253301697805</v>
      </c>
      <c r="AF71" s="246">
        <f t="shared" si="101"/>
        <v>0.99723737481273</v>
      </c>
      <c r="AG71" s="246">
        <f t="shared" si="101"/>
        <v>0.99877840825903763</v>
      </c>
      <c r="AH71" s="246">
        <f t="shared" si="101"/>
        <v>0.99809904807001082</v>
      </c>
      <c r="AI71" s="246">
        <f>(AI70)/AI60</f>
        <v>0.99445542308880008</v>
      </c>
      <c r="AJ71" s="246">
        <f t="shared" ref="AJ71:AK71" si="102">(AJ70)/AJ60</f>
        <v>0.96724449968560133</v>
      </c>
      <c r="AK71" s="246">
        <f t="shared" si="102"/>
        <v>0.91393301467838872</v>
      </c>
      <c r="AL71" s="246">
        <f t="shared" ref="AL71" si="103">(AL70)/AL60</f>
        <v>0.84200325080674587</v>
      </c>
    </row>
    <row r="72" spans="1:38" outlineLevel="1">
      <c r="A72" s="2"/>
      <c r="B72" s="2" t="s">
        <v>199</v>
      </c>
      <c r="C72" s="18" t="s">
        <v>732</v>
      </c>
      <c r="D72" s="56">
        <f t="shared" ref="D72:AH72" si="104">D29-D24-D25</f>
        <v>29803</v>
      </c>
      <c r="E72" s="56">
        <f t="shared" si="104"/>
        <v>34461</v>
      </c>
      <c r="F72" s="56">
        <f t="shared" si="104"/>
        <v>34798</v>
      </c>
      <c r="G72" s="56">
        <f t="shared" si="104"/>
        <v>32435</v>
      </c>
      <c r="H72" s="56">
        <f t="shared" si="104"/>
        <v>31388</v>
      </c>
      <c r="I72" s="56">
        <f t="shared" si="104"/>
        <v>28882</v>
      </c>
      <c r="J72" s="56">
        <f t="shared" si="104"/>
        <v>30101</v>
      </c>
      <c r="K72" s="56">
        <f t="shared" si="104"/>
        <v>31198</v>
      </c>
      <c r="L72" s="56">
        <f t="shared" si="104"/>
        <v>30676</v>
      </c>
      <c r="M72" s="56">
        <f t="shared" si="104"/>
        <v>31546</v>
      </c>
      <c r="N72" s="56">
        <f t="shared" si="104"/>
        <v>31254</v>
      </c>
      <c r="O72" s="56">
        <f t="shared" si="104"/>
        <v>30286</v>
      </c>
      <c r="P72" s="56">
        <f t="shared" si="104"/>
        <v>32104</v>
      </c>
      <c r="Q72" s="56">
        <f t="shared" si="104"/>
        <v>30325</v>
      </c>
      <c r="R72" s="56">
        <f t="shared" si="104"/>
        <v>32978</v>
      </c>
      <c r="S72" s="56">
        <f t="shared" si="104"/>
        <v>31113</v>
      </c>
      <c r="T72" s="56">
        <f t="shared" si="104"/>
        <v>34056.991403674998</v>
      </c>
      <c r="U72" s="56">
        <f t="shared" si="104"/>
        <v>32575</v>
      </c>
      <c r="V72" s="56">
        <f t="shared" si="104"/>
        <v>34713</v>
      </c>
      <c r="W72" s="56">
        <f t="shared" si="104"/>
        <v>35379</v>
      </c>
      <c r="X72" s="56">
        <f t="shared" si="104"/>
        <v>36991</v>
      </c>
      <c r="Y72" s="56">
        <f>Y29-Y24-Y25</f>
        <v>35394</v>
      </c>
      <c r="Z72" s="56">
        <f t="shared" si="104"/>
        <v>33473</v>
      </c>
      <c r="AA72" s="56">
        <f t="shared" si="104"/>
        <v>34040</v>
      </c>
      <c r="AB72" s="56">
        <f t="shared" si="104"/>
        <v>33129</v>
      </c>
      <c r="AC72" s="56">
        <f t="shared" si="104"/>
        <v>33193</v>
      </c>
      <c r="AD72" s="56">
        <f t="shared" si="104"/>
        <v>33344.848608664426</v>
      </c>
      <c r="AE72" s="56">
        <f t="shared" si="104"/>
        <v>33851.887176383214</v>
      </c>
      <c r="AF72" s="56">
        <f t="shared" si="104"/>
        <v>34627.610207119542</v>
      </c>
      <c r="AG72" s="56">
        <f t="shared" si="104"/>
        <v>35429.459926531665</v>
      </c>
      <c r="AH72" s="56">
        <f t="shared" si="104"/>
        <v>36268.581931654116</v>
      </c>
      <c r="AI72" s="56">
        <f>AI29-AI24-AI25</f>
        <v>37150.122911842358</v>
      </c>
      <c r="AJ72" s="56">
        <f t="shared" ref="AJ72:AK72" si="105">AJ29-AJ24-AJ25</f>
        <v>38084.076832856619</v>
      </c>
      <c r="AK72" s="56">
        <f t="shared" si="105"/>
        <v>39081.732129267584</v>
      </c>
      <c r="AL72" s="56">
        <f t="shared" ref="AL72" si="106">AL29-AL24-AL25</f>
        <v>40300.22168733026</v>
      </c>
    </row>
    <row r="73" spans="1:38" outlineLevel="1">
      <c r="A73" s="2"/>
      <c r="B73" s="2" t="s">
        <v>545</v>
      </c>
      <c r="C73" s="18" t="s">
        <v>732</v>
      </c>
      <c r="D73" s="56">
        <f t="shared" ref="D73:AH73" si="107">D51-D24-D25</f>
        <v>11066</v>
      </c>
      <c r="E73" s="56">
        <f t="shared" si="107"/>
        <v>10710</v>
      </c>
      <c r="F73" s="56">
        <f t="shared" si="107"/>
        <v>10685</v>
      </c>
      <c r="G73" s="56">
        <f t="shared" si="107"/>
        <v>12258</v>
      </c>
      <c r="H73" s="56">
        <f t="shared" si="107"/>
        <v>11756</v>
      </c>
      <c r="I73" s="56">
        <f t="shared" si="107"/>
        <v>7329</v>
      </c>
      <c r="J73" s="56">
        <f t="shared" si="107"/>
        <v>6711</v>
      </c>
      <c r="K73" s="56">
        <f t="shared" si="107"/>
        <v>5941</v>
      </c>
      <c r="L73" s="56">
        <f t="shared" si="107"/>
        <v>5000</v>
      </c>
      <c r="M73" s="56">
        <f t="shared" si="107"/>
        <v>4265</v>
      </c>
      <c r="N73" s="56">
        <f t="shared" si="107"/>
        <v>4980</v>
      </c>
      <c r="O73" s="56">
        <f t="shared" si="107"/>
        <v>4665</v>
      </c>
      <c r="P73" s="56">
        <f t="shared" si="107"/>
        <v>4268</v>
      </c>
      <c r="Q73" s="56">
        <f t="shared" si="107"/>
        <v>4673</v>
      </c>
      <c r="R73" s="56">
        <f t="shared" si="107"/>
        <v>7578</v>
      </c>
      <c r="S73" s="56">
        <f t="shared" si="107"/>
        <v>5178</v>
      </c>
      <c r="T73" s="56">
        <f t="shared" si="107"/>
        <v>6677.9914036749979</v>
      </c>
      <c r="U73" s="56">
        <f t="shared" si="107"/>
        <v>5002</v>
      </c>
      <c r="V73" s="56">
        <f t="shared" si="107"/>
        <v>6609</v>
      </c>
      <c r="W73" s="56">
        <f t="shared" si="107"/>
        <v>7320</v>
      </c>
      <c r="X73" s="56">
        <f t="shared" si="107"/>
        <v>7735</v>
      </c>
      <c r="Y73" s="56">
        <f>Y51-Y24-Y25</f>
        <v>8144</v>
      </c>
      <c r="Z73" s="56">
        <f t="shared" si="107"/>
        <v>8682</v>
      </c>
      <c r="AA73" s="56">
        <f t="shared" si="107"/>
        <v>6827</v>
      </c>
      <c r="AB73" s="56">
        <f t="shared" si="107"/>
        <v>4931</v>
      </c>
      <c r="AC73" s="56">
        <f t="shared" si="107"/>
        <v>4541</v>
      </c>
      <c r="AD73" s="56">
        <f t="shared" si="107"/>
        <v>3740.7752019222498</v>
      </c>
      <c r="AE73" s="56">
        <f t="shared" si="107"/>
        <v>3547.8477675286249</v>
      </c>
      <c r="AF73" s="56">
        <f t="shared" si="107"/>
        <v>3605.8214049705075</v>
      </c>
      <c r="AG73" s="56">
        <f t="shared" si="107"/>
        <v>3670.5638026350171</v>
      </c>
      <c r="AH73" s="56">
        <f t="shared" si="107"/>
        <v>3748.7590377234319</v>
      </c>
      <c r="AI73" s="56">
        <f>AI51-AI24-AI25</f>
        <v>3847.845561948654</v>
      </c>
      <c r="AJ73" s="56">
        <f t="shared" ref="AJ73:AK73" si="108">AJ51-AJ24-AJ25</f>
        <v>3975.9627245599968</v>
      </c>
      <c r="AK73" s="56">
        <f t="shared" si="108"/>
        <v>4141.8987542036848</v>
      </c>
      <c r="AL73" s="56">
        <f t="shared" ref="AL73" si="109">AL51-AL24-AL25</f>
        <v>4528.1202333003985</v>
      </c>
    </row>
    <row r="74" spans="1:38" outlineLevel="1">
      <c r="A74" s="2"/>
      <c r="B74" s="2" t="s">
        <v>350</v>
      </c>
      <c r="C74" s="18" t="s">
        <v>732</v>
      </c>
      <c r="D74" s="56">
        <f t="shared" ref="D74:AH74" si="110">D67+D22</f>
        <v>23670</v>
      </c>
      <c r="E74" s="56">
        <f t="shared" si="110"/>
        <v>24607</v>
      </c>
      <c r="F74" s="56">
        <f t="shared" si="110"/>
        <v>24926</v>
      </c>
      <c r="G74" s="56">
        <f t="shared" si="110"/>
        <v>24366</v>
      </c>
      <c r="H74" s="56">
        <f t="shared" si="110"/>
        <v>24362</v>
      </c>
      <c r="I74" s="56">
        <f t="shared" si="110"/>
        <v>23865</v>
      </c>
      <c r="J74" s="56">
        <f t="shared" si="110"/>
        <v>23967</v>
      </c>
      <c r="K74" s="56">
        <f t="shared" si="110"/>
        <v>24557</v>
      </c>
      <c r="L74" s="56">
        <f t="shared" si="110"/>
        <v>24642</v>
      </c>
      <c r="M74" s="56">
        <f t="shared" si="110"/>
        <v>24439</v>
      </c>
      <c r="N74" s="56">
        <f t="shared" si="110"/>
        <v>23327</v>
      </c>
      <c r="O74" s="56">
        <f t="shared" si="110"/>
        <v>22117</v>
      </c>
      <c r="P74" s="56">
        <f t="shared" si="110"/>
        <v>20979</v>
      </c>
      <c r="Q74" s="56">
        <f t="shared" si="110"/>
        <v>21073</v>
      </c>
      <c r="R74" s="56">
        <f t="shared" si="110"/>
        <v>20542</v>
      </c>
      <c r="S74" s="56">
        <f t="shared" si="110"/>
        <v>21617</v>
      </c>
      <c r="T74" s="56">
        <f t="shared" si="110"/>
        <v>21927</v>
      </c>
      <c r="U74" s="56">
        <f t="shared" si="110"/>
        <v>23522</v>
      </c>
      <c r="V74" s="56">
        <f t="shared" si="110"/>
        <v>23037</v>
      </c>
      <c r="W74" s="56">
        <f t="shared" si="110"/>
        <v>23148</v>
      </c>
      <c r="X74" s="56">
        <f t="shared" si="110"/>
        <v>23058</v>
      </c>
      <c r="Y74" s="56">
        <f>Y67+Y22</f>
        <v>22059</v>
      </c>
      <c r="Z74" s="56">
        <f t="shared" si="110"/>
        <v>20846</v>
      </c>
      <c r="AA74" s="56">
        <f t="shared" si="110"/>
        <v>21366</v>
      </c>
      <c r="AB74" s="56">
        <f t="shared" si="110"/>
        <v>20587</v>
      </c>
      <c r="AC74" s="56">
        <f t="shared" si="110"/>
        <v>20601</v>
      </c>
      <c r="AD74" s="56">
        <f t="shared" si="110"/>
        <v>20132.80961495982</v>
      </c>
      <c r="AE74" s="56">
        <f t="shared" si="110"/>
        <v>19642.056869791355</v>
      </c>
      <c r="AF74" s="56">
        <f t="shared" si="110"/>
        <v>19141.233428810312</v>
      </c>
      <c r="AG74" s="56">
        <f t="shared" si="110"/>
        <v>18628.815842788699</v>
      </c>
      <c r="AH74" s="56">
        <f t="shared" si="110"/>
        <v>18099.404225848768</v>
      </c>
      <c r="AI74" s="56">
        <f>AI67+AI22</f>
        <v>17554.790278103301</v>
      </c>
      <c r="AJ74" s="56">
        <f t="shared" ref="AJ74:AK74" si="111">AJ67+AJ22</f>
        <v>16690.701057538579</v>
      </c>
      <c r="AK74" s="56">
        <f t="shared" si="111"/>
        <v>15476.457765961813</v>
      </c>
      <c r="AL74" s="56">
        <f t="shared" ref="AL74" si="112">AL67+AL22</f>
        <v>14214.440249877563</v>
      </c>
    </row>
    <row r="75" spans="1:38" outlineLevel="1">
      <c r="A75" s="2"/>
      <c r="B75" s="2" t="s">
        <v>546</v>
      </c>
      <c r="C75" s="18" t="s">
        <v>35</v>
      </c>
      <c r="D75" s="61">
        <f>D73/'Cost + BS Assumptions'!D164</f>
        <v>0.86016323357947921</v>
      </c>
      <c r="E75" s="61">
        <f>E73/'Cost + BS Assumptions'!E164</f>
        <v>0.83242655059847659</v>
      </c>
      <c r="F75" s="61">
        <f>F73/'Cost + BS Assumptions'!F164</f>
        <v>0.83041890106473926</v>
      </c>
      <c r="G75" s="61">
        <f>G73/'Cost + BS Assumptions'!G164</f>
        <v>0.95266961995803212</v>
      </c>
      <c r="H75" s="61">
        <f>H73/'Cost + BS Assumptions'!H164</f>
        <v>0.92399591291362104</v>
      </c>
      <c r="I75" s="61">
        <f>I73/'Cost + BS Assumptions'!I164</f>
        <v>0.58571086070486689</v>
      </c>
      <c r="J75" s="61">
        <f>J73/'Cost + BS Assumptions'!J164</f>
        <v>0.54269771955361479</v>
      </c>
      <c r="K75" s="61">
        <f>K73/'Cost + BS Assumptions'!K164</f>
        <v>0.48008080808080811</v>
      </c>
      <c r="L75" s="61">
        <f>L73/'Cost + BS Assumptions'!L164</f>
        <v>0.40436716538617062</v>
      </c>
      <c r="M75" s="61">
        <f>M73/'Cost + BS Assumptions'!M164</f>
        <v>0.34484152652005173</v>
      </c>
      <c r="N75" s="61">
        <f>N73/'Cost + BS Assumptions'!N164</f>
        <v>0.40248929119857757</v>
      </c>
      <c r="O75" s="61">
        <f>O73/'Cost + BS Assumptions'!O164</f>
        <v>0.37675658213535779</v>
      </c>
      <c r="P75" s="61">
        <f>P73/'Cost + BS Assumptions'!P164</f>
        <v>0.34424907243103725</v>
      </c>
      <c r="Q75" s="61">
        <f>Q73/'Cost + BS Assumptions'!Q164</f>
        <v>0.37667257778494279</v>
      </c>
      <c r="R75" s="61">
        <f>R73/'Cost + BS Assumptions'!R164</f>
        <v>0.6102431953615719</v>
      </c>
      <c r="S75" s="61">
        <f>S73/'Cost + BS Assumptions'!S164</f>
        <v>0.42221135029354206</v>
      </c>
      <c r="T75" s="61">
        <f>T73/'Cost + BS Assumptions'!T164</f>
        <v>0.54728662544459905</v>
      </c>
      <c r="U75" s="61">
        <f>U73/'Cost + BS Assumptions'!U164</f>
        <v>0.41794786096256686</v>
      </c>
      <c r="V75" s="61">
        <f>V73/'Cost + BS Assumptions'!V164</f>
        <v>0.55631313131313131</v>
      </c>
      <c r="W75" s="61">
        <f>W73/'Cost + BS Assumptions'!W164</f>
        <v>0.61616161616161613</v>
      </c>
      <c r="X75" s="61">
        <f>X73/'Cost + BS Assumptions'!X164</f>
        <v>0.65109427609427606</v>
      </c>
      <c r="Y75" s="61">
        <f>Y73/'Cost + BS Assumptions'!Y164</f>
        <v>0.68581052631578943</v>
      </c>
      <c r="Z75" s="61">
        <f>Z73/'Cost + BS Assumptions'!Z164</f>
        <v>0.73857932794555503</v>
      </c>
      <c r="AA75" s="61">
        <f>AA73/'Cost + BS Assumptions'!AA164</f>
        <v>0.59144069999133675</v>
      </c>
      <c r="AB75" s="61">
        <f>AB73/'Cost + BS Assumptions'!AB164</f>
        <v>0.42718530711253572</v>
      </c>
      <c r="AC75" s="61">
        <f>AC73/'Cost + BS Assumptions'!AC164</f>
        <v>0.39438943894389439</v>
      </c>
      <c r="AD75" s="61">
        <f>AD73/'Cost + BS Assumptions'!AD164</f>
        <v>0.33236858629772364</v>
      </c>
      <c r="AE75" s="61">
        <f>AE73/'Cost + BS Assumptions'!AE164</f>
        <v>0.3166624327267516</v>
      </c>
      <c r="AF75" s="61">
        <f>AF73/'Cost + BS Assumptions'!AF164</f>
        <v>0.32183685797531664</v>
      </c>
      <c r="AG75" s="61">
        <f>AG73/'Cost + BS Assumptions'!AG164</f>
        <v>0.32761542754435069</v>
      </c>
      <c r="AH75" s="61">
        <f>AH73/'Cost + BS Assumptions'!AH164</f>
        <v>0.33459472738843227</v>
      </c>
      <c r="AI75" s="61">
        <f>AI73/'Cost + BS Assumptions'!AI164</f>
        <v>0.34343867500613229</v>
      </c>
      <c r="AJ75" s="61">
        <f>AJ73/'Cost + BS Assumptions'!AJ164</f>
        <v>0.35487374636344055</v>
      </c>
      <c r="AK75" s="61">
        <f>AK73/'Cost + BS Assumptions'!AK164</f>
        <v>0.36968433302527781</v>
      </c>
      <c r="AL75" s="61">
        <f>AL73/'Cost + BS Assumptions'!AL164</f>
        <v>0.40415645278798201</v>
      </c>
    </row>
    <row r="76" spans="1:38" outlineLevel="1">
      <c r="A76" s="2"/>
      <c r="B76" s="2" t="s">
        <v>504</v>
      </c>
      <c r="C76" s="18" t="s">
        <v>35</v>
      </c>
      <c r="D76" s="975">
        <f>D51/'Cost + BS Assumptions'!D164</f>
        <v>0.9018266614846483</v>
      </c>
      <c r="E76" s="975">
        <f>E51/'Cost + BS Assumptions'!E164</f>
        <v>1.0665319446603452</v>
      </c>
      <c r="F76" s="975">
        <f>F51/'Cost + BS Assumptions'!F164</f>
        <v>1.0962928421543483</v>
      </c>
      <c r="G76" s="975">
        <f>G51/'Cost + BS Assumptions'!G164</f>
        <v>1.1985699852335432</v>
      </c>
      <c r="H76" s="975">
        <f>H51/'Cost + BS Assumptions'!H164</f>
        <v>1.2073410359192014</v>
      </c>
      <c r="I76" s="975">
        <f>I51/'Cost + BS Assumptions'!I164</f>
        <v>1.0915048349716294</v>
      </c>
      <c r="J76" s="975">
        <f>J51/'Cost + BS Assumptions'!J164</f>
        <v>1.0378457059679767</v>
      </c>
      <c r="K76" s="975">
        <f>K51/'Cost + BS Assumptions'!K164</f>
        <v>1.0165656565656567</v>
      </c>
      <c r="L76" s="975">
        <f>L51/'Cost + BS Assumptions'!L164</f>
        <v>0.99029518803073191</v>
      </c>
      <c r="M76" s="975">
        <f>M51/'Cost + BS Assumptions'!M164</f>
        <v>1.0253072445019404</v>
      </c>
      <c r="N76" s="975">
        <f>N51/'Cost + BS Assumptions'!N164</f>
        <v>1.0513214256849592</v>
      </c>
      <c r="O76" s="975">
        <f>O51/'Cost + BS Assumptions'!O164</f>
        <v>0.99273138426748508</v>
      </c>
      <c r="P76" s="975">
        <f>P51/'Cost + BS Assumptions'!P164</f>
        <v>0.94281335699306335</v>
      </c>
      <c r="Q76" s="975">
        <f>Q51/'Cost + BS Assumptions'!Q164</f>
        <v>1.0378042882476222</v>
      </c>
      <c r="R76" s="975">
        <f>R51/'Cost + BS Assumptions'!R164</f>
        <v>1.1241745852794331</v>
      </c>
      <c r="S76" s="975">
        <f>S51/'Cost + BS Assumptions'!S164</f>
        <v>1.1831376386170906</v>
      </c>
      <c r="T76" s="975">
        <f>T51/'Cost + BS Assumptions'!T164</f>
        <v>1.3036380432449597</v>
      </c>
      <c r="U76" s="975">
        <f>U51/'Cost + BS Assumptions'!U164</f>
        <v>1.2165775401069518</v>
      </c>
      <c r="V76" s="975">
        <f>V51/'Cost + BS Assumptions'!V164</f>
        <v>1.2231481481481481</v>
      </c>
      <c r="W76" s="975">
        <f>W51/'Cost + BS Assumptions'!W164</f>
        <v>1.223063973063973</v>
      </c>
      <c r="X76" s="975">
        <f>X51/'Cost + BS Assumptions'!X164</f>
        <v>1.2749999999999999</v>
      </c>
      <c r="Y76" s="975">
        <f>Y51/'Cost + BS Assumptions'!Y164</f>
        <v>1.2863157894736843</v>
      </c>
      <c r="Z76" s="975">
        <f>Z51/'Cost + BS Assumptions'!Z164</f>
        <v>1.4323266695023393</v>
      </c>
      <c r="AA76" s="975">
        <f>AA51/'Cost + BS Assumptions'!AA164</f>
        <v>1.5434462444771724</v>
      </c>
      <c r="AB76" s="975">
        <f>AB51/'Cost + BS Assumptions'!AB164</f>
        <v>1.5032487221692801</v>
      </c>
      <c r="AC76" s="975">
        <f>AC51/'Cost + BS Assumptions'!AC164</f>
        <v>1.4170574952232065</v>
      </c>
      <c r="AD76" s="975">
        <f>AD51/'Cost + BS Assumptions'!AD164</f>
        <v>1.3656868046075719</v>
      </c>
      <c r="AE76" s="975">
        <f>AE51/'Cost + BS Assumptions'!AE164</f>
        <v>1.3545280463358258</v>
      </c>
      <c r="AF76" s="975">
        <f>AF51/'Cost + BS Assumptions'!AF164</f>
        <v>1.3588571179799789</v>
      </c>
      <c r="AG76" s="975">
        <f>AG51/'Cost + BS Assumptions'!AG164</f>
        <v>1.3630016931786628</v>
      </c>
      <c r="AH76" s="975">
        <f>AH51/'Cost + BS Assumptions'!AH164</f>
        <v>1.3674521498010779</v>
      </c>
      <c r="AI76" s="975">
        <f>AI51/'Cost + BS Assumptions'!AI164</f>
        <v>1.3727585530806787</v>
      </c>
      <c r="AJ76" s="975">
        <f>AJ51/'Cost + BS Assumptions'!AJ164</f>
        <v>1.3795228222431419</v>
      </c>
      <c r="AK76" s="975">
        <f>AK51/'Cost + BS Assumptions'!AK164</f>
        <v>1.3883906917171871</v>
      </c>
      <c r="AL76" s="975">
        <f>AL51/'Cost + BS Assumptions'!AL164</f>
        <v>1.400862414619263</v>
      </c>
    </row>
    <row r="77" spans="1:38" outlineLevel="1">
      <c r="A77" s="2"/>
      <c r="B77" s="2" t="s">
        <v>505</v>
      </c>
      <c r="C77" s="18" t="s">
        <v>733</v>
      </c>
      <c r="D77" s="7">
        <f t="shared" ref="D77:AH77" si="113">D47/D51</f>
        <v>0.80296500603344256</v>
      </c>
      <c r="E77" s="7">
        <f t="shared" si="113"/>
        <v>1.0546567555749891</v>
      </c>
      <c r="F77" s="7">
        <f t="shared" si="113"/>
        <v>1.1259747625124061</v>
      </c>
      <c r="G77" s="7">
        <f t="shared" si="113"/>
        <v>0.93003501491375962</v>
      </c>
      <c r="H77" s="7">
        <f t="shared" si="113"/>
        <v>0.78484473667078969</v>
      </c>
      <c r="I77" s="7">
        <f t="shared" si="113"/>
        <v>1.1085810513984478</v>
      </c>
      <c r="J77" s="7">
        <f t="shared" si="113"/>
        <v>1.207028206326944</v>
      </c>
      <c r="K77" s="7">
        <f t="shared" si="113"/>
        <v>1.2608108108108107</v>
      </c>
      <c r="L77" s="7">
        <f t="shared" si="113"/>
        <v>1.4334830543078807</v>
      </c>
      <c r="M77" s="7">
        <f t="shared" si="113"/>
        <v>1.5400205031148964</v>
      </c>
      <c r="N77" s="7">
        <f t="shared" si="113"/>
        <v>1.3523985239852399</v>
      </c>
      <c r="O77" s="7">
        <f t="shared" si="113"/>
        <v>1.389765701269118</v>
      </c>
      <c r="P77" s="7">
        <f t="shared" si="113"/>
        <v>1.4673624775429892</v>
      </c>
      <c r="Q77" s="246">
        <f t="shared" si="113"/>
        <v>1.4081553398058253</v>
      </c>
      <c r="R77" s="246">
        <f t="shared" si="113"/>
        <v>1.1974212034383953</v>
      </c>
      <c r="S77" s="246">
        <f t="shared" si="113"/>
        <v>1.2271536871123363</v>
      </c>
      <c r="T77" s="246">
        <f t="shared" si="113"/>
        <v>1.1435852034091958</v>
      </c>
      <c r="U77" s="246">
        <f t="shared" si="113"/>
        <v>1.2646978021978021</v>
      </c>
      <c r="V77" s="246">
        <f t="shared" si="113"/>
        <v>1.3295024430527838</v>
      </c>
      <c r="W77" s="246">
        <f t="shared" si="113"/>
        <v>1.2736407432897454</v>
      </c>
      <c r="X77" s="246">
        <f t="shared" si="113"/>
        <v>1.2650689905591865</v>
      </c>
      <c r="Y77" s="246">
        <f>Y47/Y51</f>
        <v>1.1015384615384616</v>
      </c>
      <c r="Z77" s="246">
        <f t="shared" si="113"/>
        <v>0.88679693532101922</v>
      </c>
      <c r="AA77" s="246">
        <f t="shared" si="113"/>
        <v>0.96099012123933547</v>
      </c>
      <c r="AB77" s="246">
        <f t="shared" si="113"/>
        <v>0.96081143384047951</v>
      </c>
      <c r="AC77" s="246">
        <f t="shared" si="113"/>
        <v>1.0499509683746016</v>
      </c>
      <c r="AD77" s="246">
        <f t="shared" si="113"/>
        <v>1.1535607638366858</v>
      </c>
      <c r="AE77" s="246">
        <f t="shared" si="113"/>
        <v>1.2078964998570922</v>
      </c>
      <c r="AF77" s="246">
        <f t="shared" si="113"/>
        <v>1.2434585962320077</v>
      </c>
      <c r="AG77" s="246">
        <f t="shared" si="113"/>
        <v>1.2789679216126251</v>
      </c>
      <c r="AH77" s="246">
        <f t="shared" si="113"/>
        <v>1.31396796678884</v>
      </c>
      <c r="AI77" s="246">
        <f>AI47/AI51</f>
        <v>1.347899960323431</v>
      </c>
      <c r="AJ77" s="246">
        <f t="shared" ref="AJ77:AK77" si="114">AJ47/AJ51</f>
        <v>1.3801106054999948</v>
      </c>
      <c r="AK77" s="246">
        <f t="shared" si="114"/>
        <v>1.4098675304153654</v>
      </c>
      <c r="AL77" s="246">
        <f t="shared" ref="AL77" si="115">AL47/AL51</f>
        <v>1.4355441427169016</v>
      </c>
    </row>
    <row r="78" spans="1:38" outlineLevel="1">
      <c r="A78" s="2"/>
      <c r="B78" s="2" t="s">
        <v>547</v>
      </c>
      <c r="C78" s="18" t="s">
        <v>733</v>
      </c>
      <c r="D78" s="976">
        <f>'P&amp;L'!D94/AVERAGE('Balance Sheet'!D29:D29)</f>
        <v>0.12119713899601173</v>
      </c>
      <c r="E78" s="976">
        <f>'P&amp;L'!E94/AVERAGE('Balance Sheet'!D29:E29)</f>
        <v>0.11968383177018817</v>
      </c>
      <c r="F78" s="976">
        <f>'P&amp;L'!F94/AVERAGE('Balance Sheet'!E29:F29)</f>
        <v>9.6734133065581568E-2</v>
      </c>
      <c r="G78" s="976">
        <f>'P&amp;L'!G94/AVERAGE('Balance Sheet'!F29:G29)</f>
        <v>9.2904169714703735E-2</v>
      </c>
      <c r="H78" s="976">
        <f>'P&amp;L'!H94/AVERAGE('Balance Sheet'!G29:H29)</f>
        <v>0.11667044424297371</v>
      </c>
      <c r="I78" s="976">
        <f>'P&amp;L'!I94/AVERAGE('Balance Sheet'!H29:I29)</f>
        <v>0.12275653808899772</v>
      </c>
      <c r="J78" s="976">
        <f>'P&amp;L'!J94/AVERAGE('Balance Sheet'!I29:J29)</f>
        <v>8.9115979561839434E-2</v>
      </c>
      <c r="K78" s="976">
        <f>'P&amp;L'!K94/AVERAGE('Balance Sheet'!J29:K29)</f>
        <v>8.7846504908116227E-2</v>
      </c>
      <c r="L78" s="976">
        <f>'P&amp;L'!L94/AVERAGE('Balance Sheet'!K29:L29)</f>
        <v>9.7468254177776603E-2</v>
      </c>
      <c r="M78" s="976">
        <f>'P&amp;L'!M94/AVERAGE('Balance Sheet'!L29:M29)</f>
        <v>0.10459278661582116</v>
      </c>
      <c r="N78" s="976">
        <f>'P&amp;L'!N94/AVERAGE('Balance Sheet'!M29:N29)</f>
        <v>9.8001110494169902E-2</v>
      </c>
      <c r="O78" s="976">
        <f>'P&amp;L'!O94/AVERAGE('Balance Sheet'!N29:O29)</f>
        <v>8.3710084850055058E-2</v>
      </c>
      <c r="P78" s="976">
        <f>'P&amp;L'!P94/AVERAGE('Balance Sheet'!O29:P29)</f>
        <v>9.0183560729874213E-2</v>
      </c>
      <c r="Q78" s="977">
        <f>'P&amp;L'!Q94/AVERAGE('Balance Sheet'!P29:Q29)</f>
        <v>0.10042293509798106</v>
      </c>
      <c r="R78" s="977">
        <f>'P&amp;L'!R94/AVERAGE('Balance Sheet'!Q29:R29)</f>
        <v>0.12941825978661395</v>
      </c>
      <c r="S78" s="977">
        <f>'P&amp;L'!S94/AVERAGE('Balance Sheet'!R29:S29)</f>
        <v>0.1009460560115281</v>
      </c>
      <c r="T78" s="977">
        <f>'P&amp;L'!T94/AVERAGE('Balance Sheet'!S29:T29)</f>
        <v>9.1648206612100297E-2</v>
      </c>
      <c r="U78" s="977">
        <f>'P&amp;L'!U94/AVERAGE('Balance Sheet'!T29:U29)</f>
        <v>8.0301510089065428E-2</v>
      </c>
      <c r="V78" s="977">
        <f>'P&amp;L'!V94/AVERAGE('Balance Sheet'!U29:V29)</f>
        <v>9.2676481691204224E-2</v>
      </c>
      <c r="W78" s="977">
        <f>'P&amp;L'!W94/AVERAGE('Balance Sheet'!V29:W29)</f>
        <v>4.9516568102881818E-2</v>
      </c>
      <c r="X78" s="977">
        <f>'P&amp;L'!X94/AVERAGE('Balance Sheet'!W29:X29)</f>
        <v>4.1819937465514073E-2</v>
      </c>
      <c r="Y78" s="977">
        <f>'P&amp;L'!Y94/AVERAGE('Balance Sheet'!X29:Y29)</f>
        <v>4.2725013804527888E-2</v>
      </c>
      <c r="Z78" s="977">
        <f>'P&amp;L'!Z94/AVERAGE('Balance Sheet'!Y29:Z29)</f>
        <v>4.0117405202428909E-2</v>
      </c>
      <c r="AA78" s="977">
        <f>'P&amp;L'!AA94/AVERAGE('Balance Sheet'!Z29:AA29)</f>
        <v>4.4497270849440898E-2</v>
      </c>
      <c r="AB78" s="977">
        <f>'P&amp;L'!AB94/AVERAGE('Balance Sheet'!AA29:AB29)</f>
        <v>3.5593239050994159E-2</v>
      </c>
      <c r="AC78" s="977">
        <f>'P&amp;L'!AC94/AVERAGE('Balance Sheet'!AB29:AC29)</f>
        <v>4.50960030049272E-2</v>
      </c>
      <c r="AD78" s="977">
        <f>'P&amp;L'!AD94/AVERAGE('Balance Sheet'!AC29:AD29)</f>
        <v>5.3771930188916024E-2</v>
      </c>
      <c r="AE78" s="977">
        <f>'P&amp;L'!AE94/AVERAGE('Balance Sheet'!AD29:AE29)</f>
        <v>5.5721876799054902E-2</v>
      </c>
      <c r="AF78" s="977">
        <f>'P&amp;L'!AF94/AVERAGE('Balance Sheet'!AE29:AF29)</f>
        <v>5.7244118520770319E-2</v>
      </c>
      <c r="AG78" s="977">
        <f>'P&amp;L'!AG94/AVERAGE('Balance Sheet'!AF29:AG29)</f>
        <v>5.8650983465487548E-2</v>
      </c>
      <c r="AH78" s="977">
        <f>'P&amp;L'!AH94/AVERAGE('Balance Sheet'!AG29:AH29)</f>
        <v>6.0099513128641355E-2</v>
      </c>
      <c r="AI78" s="977">
        <f>'P&amp;L'!AI94/AVERAGE('Balance Sheet'!AH29:AI29)</f>
        <v>6.1590671538288039E-2</v>
      </c>
      <c r="AJ78" s="977">
        <f>'P&amp;L'!AJ94/AVERAGE('Balance Sheet'!AI29:AJ29)</f>
        <v>6.312346477450391E-2</v>
      </c>
      <c r="AK78" s="977">
        <f>'P&amp;L'!AK94/AVERAGE('Balance Sheet'!AJ29:AK29)</f>
        <v>6.4690443981406137E-2</v>
      </c>
      <c r="AL78" s="977">
        <f>'P&amp;L'!AL94/AVERAGE('Balance Sheet'!AK29:AL29)</f>
        <v>6.6472681491377361E-2</v>
      </c>
    </row>
    <row r="79" spans="1:38" outlineLevel="1">
      <c r="A79" s="2"/>
      <c r="B79" s="2" t="s">
        <v>406</v>
      </c>
      <c r="C79" s="18" t="s">
        <v>733</v>
      </c>
      <c r="D79" s="976">
        <f>'P&amp;L'!D94/AVERAGE('Balance Sheet'!D60:D60)</f>
        <v>0.31692811584209618</v>
      </c>
      <c r="E79" s="976">
        <f>'P&amp;L'!E94/AVERAGE('Balance Sheet'!D60:E60)</f>
        <v>0.32048649502448273</v>
      </c>
      <c r="F79" s="976">
        <f>'P&amp;L'!F94/AVERAGE('Balance Sheet'!E60:F60)</f>
        <v>0.26311628575535434</v>
      </c>
      <c r="G79" s="976">
        <f>'P&amp;L'!G94/AVERAGE('Balance Sheet'!F60:G60)</f>
        <v>0.2322541316716337</v>
      </c>
      <c r="H79" s="976">
        <f>'P&amp;L'!H94/AVERAGE('Balance Sheet'!G60:H60)</f>
        <v>0.26755027125361402</v>
      </c>
      <c r="I79" s="976">
        <f>'P&amp;L'!I94/AVERAGE('Balance Sheet'!H60:I60)</f>
        <v>0.29697784210344935</v>
      </c>
      <c r="J79" s="976">
        <f>'P&amp;L'!J94/AVERAGE('Balance Sheet'!I60:J60)</f>
        <v>0.24029895817605315</v>
      </c>
      <c r="K79" s="976">
        <f>'P&amp;L'!K94/AVERAGE('Balance Sheet'!J60:K60)</f>
        <v>0.25600062957425029</v>
      </c>
      <c r="L79" s="976">
        <f>'P&amp;L'!L94/AVERAGE('Balance Sheet'!K60:L60)</f>
        <v>0.29744209466263849</v>
      </c>
      <c r="M79" s="976">
        <f>'P&amp;L'!M94/AVERAGE('Balance Sheet'!L60:M60)</f>
        <v>0.32680734975527559</v>
      </c>
      <c r="N79" s="976">
        <f>'P&amp;L'!N94/AVERAGE('Balance Sheet'!M60:N60)</f>
        <v>0.30230838101911323</v>
      </c>
      <c r="O79" s="976">
        <f>'P&amp;L'!O97/AVERAGE('Balance Sheet'!N60:O60)</f>
        <v>0.27190513833992092</v>
      </c>
      <c r="P79" s="976">
        <f>'P&amp;L'!P97/AVERAGE('Balance Sheet'!O60:P60)</f>
        <v>0.29880466101497016</v>
      </c>
      <c r="Q79" s="977">
        <f>'P&amp;L'!Q97/AVERAGE('Balance Sheet'!P60:Q60)</f>
        <v>0.31909342657008705</v>
      </c>
      <c r="R79" s="977">
        <f>'P&amp;L'!R97/AVERAGE('Balance Sheet'!Q60:R60)</f>
        <v>0.33627724986025714</v>
      </c>
      <c r="S79" s="977">
        <f>'P&amp;L'!S97/AVERAGE('Balance Sheet'!R60:S60)</f>
        <v>0.2816297857393748</v>
      </c>
      <c r="T79" s="977">
        <f>'P&amp;L'!T97/AVERAGE('Balance Sheet'!S60:T60)</f>
        <v>0.25156311273301118</v>
      </c>
      <c r="U79" s="977">
        <f>'P&amp;L'!U97/AVERAGE('Balance Sheet'!T60:U60)</f>
        <v>0.22513782124922052</v>
      </c>
      <c r="V79" s="977">
        <f>'P&amp;L'!V97/AVERAGE('Balance Sheet'!U60:V60)</f>
        <v>0.27004915609638719</v>
      </c>
      <c r="W79" s="977">
        <f>'P&amp;L'!W97/AVERAGE('Balance Sheet'!V60:W60)</f>
        <v>0.14521179587763669</v>
      </c>
      <c r="X79" s="977">
        <f>'P&amp;L'!X97/AVERAGE('Balance Sheet'!W60:X60)</f>
        <v>0.12258651480944839</v>
      </c>
      <c r="Y79" s="977">
        <f>'P&amp;L'!Y97/AVERAGE('Balance Sheet'!X60:Y60)</f>
        <v>0.12208270330681743</v>
      </c>
      <c r="Z79" s="977">
        <f>'P&amp;L'!Z97/AVERAGE('Balance Sheet'!Y60:Z60)</f>
        <v>0.10513203786746388</v>
      </c>
      <c r="AA79" s="977">
        <f>'P&amp;L'!AA97/AVERAGE('Balance Sheet'!Z60:AA60)</f>
        <v>0.11675756788734021</v>
      </c>
      <c r="AB79" s="977">
        <f>'P&amp;L'!AB97/AVERAGE('Balance Sheet'!AA60:AB60)</f>
        <v>0.12170154686078254</v>
      </c>
      <c r="AC79" s="977">
        <f>'P&amp;L'!AC97/AVERAGE('Balance Sheet'!AB60:AC60)</f>
        <v>0.12908399667339907</v>
      </c>
      <c r="AD79" s="977">
        <f>'P&amp;L'!AD97/AVERAGE('Balance Sheet'!AC60:AD60)</f>
        <v>0.15263185042620786</v>
      </c>
      <c r="AE79" s="977">
        <f>'P&amp;L'!AE97/AVERAGE('Balance Sheet'!AD60:AE60)</f>
        <v>0.16500370776595111</v>
      </c>
      <c r="AF79" s="977">
        <f>'P&amp;L'!AF97/AVERAGE('Balance Sheet'!AE60:AF60)</f>
        <v>0.17272083206310385</v>
      </c>
      <c r="AG79" s="977">
        <f>'P&amp;L'!AG97/AVERAGE('Balance Sheet'!AF60:AG60)</f>
        <v>0.17939547356224284</v>
      </c>
      <c r="AH79" s="977">
        <f>'P&amp;L'!AH97/AVERAGE('Balance Sheet'!AG60:AH60)</f>
        <v>0.18637960665523143</v>
      </c>
      <c r="AI79" s="977">
        <f>'P&amp;L'!AI97/AVERAGE('Balance Sheet'!AH60:AI60)</f>
        <v>0.19363941831231463</v>
      </c>
      <c r="AJ79" s="977">
        <f>'P&amp;L'!AJ97/AVERAGE('Balance Sheet'!AI60:AJ60)</f>
        <v>0.20111626060028109</v>
      </c>
      <c r="AK79" s="977">
        <f>'P&amp;L'!AK97/AVERAGE('Balance Sheet'!AJ60:AK60)</f>
        <v>0.20872608050584171</v>
      </c>
      <c r="AL79" s="977">
        <f>'P&amp;L'!AL97/AVERAGE('Balance Sheet'!AK60:AL60)</f>
        <v>0.21688366840208165</v>
      </c>
    </row>
    <row r="80" spans="1:38" outlineLevel="1">
      <c r="A80" s="2"/>
      <c r="B80" s="2" t="s">
        <v>548</v>
      </c>
      <c r="C80" s="18" t="s">
        <v>733</v>
      </c>
      <c r="D80" s="111">
        <f>D67/'P&amp;L'!D168</f>
        <v>7.2760492234940077E-2</v>
      </c>
      <c r="E80" s="111">
        <f>E67/'P&amp;L'!E168</f>
        <v>9.2722039473684209E-2</v>
      </c>
      <c r="F80" s="111">
        <f>F67/'P&amp;L'!F168</f>
        <v>7.4516017230281728E-2</v>
      </c>
      <c r="G80" s="111">
        <f>G67/'P&amp;L'!G168</f>
        <v>6.6437684003925412E-2</v>
      </c>
      <c r="H80" s="111">
        <f>H67/'P&amp;L'!H168</f>
        <v>7.3577774505472926E-2</v>
      </c>
      <c r="I80" s="111">
        <f>I67/'P&amp;L'!I168</f>
        <v>4.3951085239835749E-2</v>
      </c>
      <c r="J80" s="111">
        <f>J67/'P&amp;L'!J168</f>
        <v>1.651109545614653E-2</v>
      </c>
      <c r="K80" s="111">
        <f>K67/'P&amp;L'!K168</f>
        <v>-2.112110843577071E-3</v>
      </c>
      <c r="L80" s="111">
        <f>L67/'P&amp;L'!L168</f>
        <v>1.3428101281267252E-2</v>
      </c>
      <c r="M80" s="111">
        <f>M67/'P&amp;L'!M168</f>
        <v>2.1440745125551042E-2</v>
      </c>
      <c r="N80" s="111">
        <f>N67/'P&amp;L'!N168</f>
        <v>1.7451336813379466E-2</v>
      </c>
      <c r="O80" s="111">
        <f>O67/'P&amp;L'!O168</f>
        <v>1.3088916776435214E-2</v>
      </c>
      <c r="P80" s="111">
        <f>P67/'P&amp;L'!P168</f>
        <v>1.882543752517532E-2</v>
      </c>
      <c r="Q80" s="246">
        <f>Q67/'P&amp;L'!Q168</f>
        <v>2.930595693243743E-2</v>
      </c>
      <c r="R80" s="246">
        <f>R67/'P&amp;L'!R168</f>
        <v>2.7995843925782755E-2</v>
      </c>
      <c r="S80" s="246">
        <f>S67/'P&amp;L'!S168</f>
        <v>4.6029164205182334E-2</v>
      </c>
      <c r="T80" s="246">
        <f>T67/'P&amp;L'!T168</f>
        <v>5.212796176865573E-2</v>
      </c>
      <c r="U80" s="246">
        <f>U67/'P&amp;L'!U168</f>
        <v>8.3873967889178752E-2</v>
      </c>
      <c r="V80" s="246">
        <f>V67/'P&amp;L'!V21</f>
        <v>5.076106931105024E-2</v>
      </c>
      <c r="W80" s="246">
        <f>W67/'P&amp;L'!W21</f>
        <v>4.718236415291114E-2</v>
      </c>
      <c r="X80" s="246">
        <f>X67/'P&amp;L'!X21</f>
        <v>6.0107182789065815E-2</v>
      </c>
      <c r="Y80" s="246">
        <f>Y67/'P&amp;L'!Y21</f>
        <v>5.1703268199896249E-2</v>
      </c>
      <c r="Z80" s="246">
        <f>Z67/'P&amp;L'!Z21</f>
        <v>1.6375595373100477E-2</v>
      </c>
      <c r="AA80" s="246">
        <f>AA67/'P&amp;L'!AA21</f>
        <v>1.7078934698514219E-2</v>
      </c>
      <c r="AB80" s="246">
        <f>AB67/'P&amp;L'!AB21</f>
        <v>-1.1924026914232179E-2</v>
      </c>
      <c r="AC80" s="246">
        <f>AC67/'P&amp;L'!AC21</f>
        <v>-2.1177467174925877E-3</v>
      </c>
      <c r="AD80" s="246">
        <f>AD67/'P&amp;L'!AD21</f>
        <v>-1.9200710170406469E-3</v>
      </c>
      <c r="AE80" s="246">
        <f>AE67/'P&amp;L'!AE21</f>
        <v>-2.3310299211502035E-3</v>
      </c>
      <c r="AF80" s="246">
        <f>AF67/'P&amp;L'!AF21</f>
        <v>-2.7419888252598321E-3</v>
      </c>
      <c r="AG80" s="246">
        <f>AG67/'P&amp;L'!AG21</f>
        <v>-3.1529477293694421E-3</v>
      </c>
      <c r="AH80" s="246">
        <f>AH67/'P&amp;L'!AH21</f>
        <v>-3.7008929348488996E-3</v>
      </c>
      <c r="AI80" s="246">
        <f>AI67/'P&amp;L'!AI21</f>
        <v>-4.2488381403283631E-3</v>
      </c>
      <c r="AJ80" s="246">
        <f>AJ67/'P&amp;L'!AJ21</f>
        <v>-4.7967833458078231E-3</v>
      </c>
      <c r="AK80" s="246">
        <f>AK67/'P&amp;L'!AK21</f>
        <v>-5.344728551287291E-3</v>
      </c>
      <c r="AL80" s="246">
        <f>AL67/'P&amp;L'!AL21</f>
        <v>-5.8926737567667493E-3</v>
      </c>
    </row>
    <row r="81" spans="1:38" outlineLevel="1">
      <c r="A81" s="2"/>
      <c r="B81" s="2" t="s">
        <v>549</v>
      </c>
      <c r="C81" s="18" t="s">
        <v>733</v>
      </c>
      <c r="D81" s="978">
        <f>D10/'P&amp;L'!D168</f>
        <v>0.19275619323983018</v>
      </c>
      <c r="E81" s="978">
        <f>E10/'P&amp;L'!E168</f>
        <v>0.22137129934210525</v>
      </c>
      <c r="F81" s="978">
        <f>F10/'P&amp;L'!F168</f>
        <v>0.2011684903698569</v>
      </c>
      <c r="G81" s="978">
        <f>G10/'P&amp;L'!G168</f>
        <v>0.17757605495583906</v>
      </c>
      <c r="H81" s="978">
        <f>H10/'P&amp;L'!H168</f>
        <v>0.17709713836941049</v>
      </c>
      <c r="I81" s="978">
        <f>I10/'P&amp;L'!I168</f>
        <v>0.16014620278868283</v>
      </c>
      <c r="J81" s="978">
        <f>J10/'P&amp;L'!J168</f>
        <v>0.16383409651285663</v>
      </c>
      <c r="K81" s="978">
        <f>K10/'P&amp;L'!K168</f>
        <v>0.16275926160604909</v>
      </c>
      <c r="L81" s="978">
        <f>L10/'P&amp;L'!L168</f>
        <v>0.16032584973887667</v>
      </c>
      <c r="M81" s="978">
        <f>M10/'P&amp;L'!M168</f>
        <v>0.15918964993033211</v>
      </c>
      <c r="N81" s="978">
        <f>N10/'P&amp;L'!N168</f>
        <v>0.16044751005557426</v>
      </c>
      <c r="O81" s="978">
        <f>O10/'P&amp;L'!O168</f>
        <v>0.16559280949269872</v>
      </c>
      <c r="P81" s="56">
        <f>P10/'P&amp;L'!P168</f>
        <v>0.17224284523034095</v>
      </c>
      <c r="Q81" s="246">
        <f>Q10/'P&amp;L'!Q168</f>
        <v>0.17877810674848377</v>
      </c>
      <c r="R81" s="246">
        <f>R10/'P&amp;L'!R168</f>
        <v>0.16685522979766523</v>
      </c>
      <c r="S81" s="246">
        <f>S10/'P&amp;L'!S168</f>
        <v>0.18620709872550625</v>
      </c>
      <c r="T81" s="246">
        <f>T10/'P&amp;L'!T168</f>
        <v>0.1834547956152468</v>
      </c>
      <c r="U81" s="246">
        <f>U10/'P&amp;L'!U168</f>
        <v>0.21115232800093436</v>
      </c>
      <c r="V81" s="246">
        <f>V10/'P&amp;L'!V21</f>
        <v>0.19070073853195105</v>
      </c>
      <c r="W81" s="246">
        <f>W10/'P&amp;L'!W21</f>
        <v>0.19390800877476894</v>
      </c>
      <c r="X81" s="246">
        <f>X10/'P&amp;L'!X21</f>
        <v>0.19743995064965109</v>
      </c>
      <c r="Y81" s="246">
        <f>Y10/'P&amp;L'!Y21</f>
        <v>0.19786443022652603</v>
      </c>
      <c r="Z81" s="246">
        <f>Z10/'P&amp;L'!Z21</f>
        <v>0.18480381038784305</v>
      </c>
      <c r="AA81" s="246">
        <f>AA10/'P&amp;L'!AA21</f>
        <v>0.18137226370009055</v>
      </c>
      <c r="AB81" s="246">
        <f>AB10/'P&amp;L'!AB21</f>
        <v>0.16301848224171706</v>
      </c>
      <c r="AC81" s="246">
        <f>AC10/'P&amp;L'!AC21</f>
        <v>0.15573909360440491</v>
      </c>
      <c r="AD81" s="246">
        <f>AD10/'P&amp;L'!AD21</f>
        <v>0.16167661717521598</v>
      </c>
      <c r="AE81" s="246">
        <f>AE10/'P&amp;L'!AE21</f>
        <v>0.15893689114781873</v>
      </c>
      <c r="AF81" s="246">
        <f>AF10/'P&amp;L'!AF21</f>
        <v>0.15619716512042148</v>
      </c>
      <c r="AG81" s="246">
        <f>AG10/'P&amp;L'!AG21</f>
        <v>0.15345743909302423</v>
      </c>
      <c r="AH81" s="246">
        <f>AH10/'P&amp;L'!AH21</f>
        <v>0.15071771306562692</v>
      </c>
      <c r="AI81" s="246">
        <f>AI10/'P&amp;L'!AI21</f>
        <v>0.14797798703822967</v>
      </c>
      <c r="AJ81" s="246">
        <f>AJ10/'P&amp;L'!AJ21</f>
        <v>0.14523826101083243</v>
      </c>
      <c r="AK81" s="246">
        <f>AK10/'P&amp;L'!AK21</f>
        <v>0.14249853498343518</v>
      </c>
      <c r="AL81" s="246">
        <f>AL10/'P&amp;L'!AL21</f>
        <v>0.1397588089560379</v>
      </c>
    </row>
    <row r="82" spans="1:38" outlineLevel="1">
      <c r="A82" s="2"/>
      <c r="B82" s="2" t="s">
        <v>550</v>
      </c>
      <c r="C82" s="18" t="s">
        <v>733</v>
      </c>
      <c r="D82" s="978">
        <f>D11/'P&amp;L'!D168</f>
        <v>1.5852544467730666E-2</v>
      </c>
      <c r="E82" s="978">
        <f>E11/'P&amp;L'!E168</f>
        <v>1.6447368421052631E-2</v>
      </c>
      <c r="F82" s="978">
        <f>F11/'P&amp;L'!F168</f>
        <v>1.0100509976729217E-2</v>
      </c>
      <c r="G82" s="978">
        <f>G11/'P&amp;L'!G168</f>
        <v>1.2757605495583905E-2</v>
      </c>
      <c r="H82" s="978">
        <f>H11/'P&amp;L'!H168</f>
        <v>1.1240367152603936E-2</v>
      </c>
      <c r="I82" s="978">
        <f>I11/'P&amp;L'!I168</f>
        <v>1.0468841658769911E-2</v>
      </c>
      <c r="J82" s="978">
        <f>J11/'P&amp;L'!J168</f>
        <v>9.8626276858048614E-3</v>
      </c>
      <c r="K82" s="978">
        <f>K11/'P&amp;L'!K168</f>
        <v>1.3433024965150172E-2</v>
      </c>
      <c r="L82" s="978">
        <f>L11/'P&amp;L'!L168</f>
        <v>1.253559908130387E-2</v>
      </c>
      <c r="M82" s="978">
        <f>M11/'P&amp;L'!M168</f>
        <v>9.4197391268505491E-3</v>
      </c>
      <c r="N82" s="978">
        <f>N11/'P&amp;L'!N168</f>
        <v>1.188947889133243E-2</v>
      </c>
      <c r="O82" s="978">
        <f>O11/'P&amp;L'!O168</f>
        <v>1.1327716965538732E-2</v>
      </c>
      <c r="P82" s="56">
        <f>P11/'P&amp;L'!P168</f>
        <v>1.0304450013780175E-2</v>
      </c>
      <c r="Q82" s="246">
        <f>Q11/'P&amp;L'!Q168</f>
        <v>1.6908791750844088E-2</v>
      </c>
      <c r="R82" s="246">
        <f>R11/'P&amp;L'!R168</f>
        <v>1.4477850715904796E-2</v>
      </c>
      <c r="S82" s="246">
        <f>S11/'P&amp;L'!S168</f>
        <v>1.9366169344254093E-2</v>
      </c>
      <c r="T82" s="246">
        <f>T11/'P&amp;L'!T168</f>
        <v>2.1571526526850848E-2</v>
      </c>
      <c r="U82" s="246">
        <f>U11/'P&amp;L'!U168</f>
        <v>3.4484094532705629E-2</v>
      </c>
      <c r="V82" s="246">
        <f>V11/'P&amp;L'!V21</f>
        <v>1.7059047883221802E-2</v>
      </c>
      <c r="W82" s="246">
        <f>W11/'P&amp;L'!W21</f>
        <v>1.6111051174164778E-2</v>
      </c>
      <c r="X82" s="246">
        <f>X11/'P&amp;L'!X21</f>
        <v>1.6115973319967614E-2</v>
      </c>
      <c r="Y82" s="246">
        <f>Y11/'P&amp;L'!Y21</f>
        <v>1.6643610582742521E-2</v>
      </c>
      <c r="Z82" s="246">
        <f>Z11/'P&amp;L'!Z21</f>
        <v>2.159219777727376E-2</v>
      </c>
      <c r="AA82" s="246">
        <f>AA11/'P&amp;L'!AA21</f>
        <v>2.3488912708787817E-2</v>
      </c>
      <c r="AB82" s="246">
        <f>AB11/'P&amp;L'!AB21</f>
        <v>2.2059449791329528E-2</v>
      </c>
      <c r="AC82" s="246">
        <f>AC11/'P&amp;L'!AC21</f>
        <v>2.0542143159678103E-2</v>
      </c>
      <c r="AD82" s="246">
        <f>AD11/'P&amp;L'!AD21</f>
        <v>2.2610862590149286E-2</v>
      </c>
      <c r="AE82" s="246">
        <f>AE11/'P&amp;L'!AE21</f>
        <v>2.3980725603847921E-2</v>
      </c>
      <c r="AF82" s="246">
        <f>AF11/'P&amp;L'!AF21</f>
        <v>2.5350588617546549E-2</v>
      </c>
      <c r="AG82" s="246">
        <f>AG11/'P&amp;L'!AG21</f>
        <v>2.6720451631245177E-2</v>
      </c>
      <c r="AH82" s="246">
        <f>AH11/'P&amp;L'!AH21</f>
        <v>2.8090314644943808E-2</v>
      </c>
      <c r="AI82" s="246">
        <f>AI11/'P&amp;L'!AI21</f>
        <v>2.946017765864244E-2</v>
      </c>
      <c r="AJ82" s="246">
        <f>AJ11/'P&amp;L'!AJ21</f>
        <v>3.0830040672341068E-2</v>
      </c>
      <c r="AK82" s="246">
        <f>AK11/'P&amp;L'!AK21</f>
        <v>3.2199903686039699E-2</v>
      </c>
      <c r="AL82" s="246">
        <f>AL11/'P&amp;L'!AL21</f>
        <v>3.3569766699738324E-2</v>
      </c>
    </row>
    <row r="83" spans="1:38" outlineLevel="1">
      <c r="A83" s="2"/>
      <c r="B83" s="2" t="s">
        <v>551</v>
      </c>
      <c r="C83" s="18" t="s">
        <v>733</v>
      </c>
      <c r="D83" s="978">
        <f>D32/'P&amp;L'!D168</f>
        <v>0.13584824547262078</v>
      </c>
      <c r="E83" s="978">
        <f>E32/'P&amp;L'!E168</f>
        <v>0.14509662828947367</v>
      </c>
      <c r="F83" s="978">
        <f>F32/'P&amp;L'!F168</f>
        <v>0.13675298311630441</v>
      </c>
      <c r="G83" s="978">
        <f>G32/'P&amp;L'!G168</f>
        <v>0.12389597644749754</v>
      </c>
      <c r="H83" s="978">
        <f>H32/'P&amp;L'!H168</f>
        <v>0.11475973101654149</v>
      </c>
      <c r="I83" s="978">
        <f>I32/'P&amp;L'!I168</f>
        <v>0.12666395920761697</v>
      </c>
      <c r="J83" s="978">
        <f>J32/'P&amp;L'!J168</f>
        <v>0.15718562874251496</v>
      </c>
      <c r="K83" s="978">
        <f>K32/'P&amp;L'!K168</f>
        <v>0.17830439741477633</v>
      </c>
      <c r="L83" s="978">
        <f>L32/'P&amp;L'!L168</f>
        <v>0.15943334753891331</v>
      </c>
      <c r="M83" s="978">
        <f>M32/'P&amp;L'!M168</f>
        <v>0.14716864393163159</v>
      </c>
      <c r="N83" s="978">
        <f>N32/'P&amp;L'!N168</f>
        <v>0.15488565213352723</v>
      </c>
      <c r="O83" s="978">
        <f>O32/'P&amp;L'!O168</f>
        <v>0.16383160968180224</v>
      </c>
      <c r="P83" s="56">
        <f>P32/'P&amp;L'!P168</f>
        <v>0.16372185771894579</v>
      </c>
      <c r="Q83" s="246">
        <f>Q32/'P&amp;L'!Q168</f>
        <v>0.16638094156689043</v>
      </c>
      <c r="R83" s="246">
        <f>R32/'P&amp;L'!R168</f>
        <v>0.15333723658778725</v>
      </c>
      <c r="S83" s="246">
        <f>S32/'P&amp;L'!S168</f>
        <v>0.15954410386457801</v>
      </c>
      <c r="T83" s="246">
        <f>T32/'P&amp;L'!T168</f>
        <v>0.15289836037344193</v>
      </c>
      <c r="U83" s="246">
        <f>U32/'P&amp;L'!U168</f>
        <v>0.16176245464446123</v>
      </c>
      <c r="V83" s="246">
        <f>V32/'P&amp;L'!V21</f>
        <v>0.15699871710412261</v>
      </c>
      <c r="W83" s="246">
        <f>W32/'P&amp;L'!W21</f>
        <v>0.16283669579602258</v>
      </c>
      <c r="X83" s="246">
        <f>X32/'P&amp;L'!X21</f>
        <v>0.15344874118055288</v>
      </c>
      <c r="Y83" s="246">
        <f>Y32/'P&amp;L'!Y21</f>
        <v>0.16280477260937229</v>
      </c>
      <c r="Z83" s="246">
        <f>Z32/'P&amp;L'!Z21</f>
        <v>0.19002041279201634</v>
      </c>
      <c r="AA83" s="246">
        <f>AA32/'P&amp;L'!AA21</f>
        <v>0.18778224171036415</v>
      </c>
      <c r="AB83" s="246">
        <f>AB32/'P&amp;L'!AB21</f>
        <v>0.19700195894727876</v>
      </c>
      <c r="AC83" s="246">
        <f>AC32/'P&amp;L'!AC21</f>
        <v>0.1783989834815756</v>
      </c>
      <c r="AD83" s="246">
        <f>AD32/'P&amp;L'!AD21</f>
        <v>0.18620755078240589</v>
      </c>
      <c r="AE83" s="246">
        <f>AE32/'P&amp;L'!AE21</f>
        <v>0.18524864667281687</v>
      </c>
      <c r="AF83" s="246">
        <f>AF32/'P&amp;L'!AF21</f>
        <v>0.18428974256322786</v>
      </c>
      <c r="AG83" s="246">
        <f>AG32/'P&amp;L'!AG21</f>
        <v>0.18333083845363884</v>
      </c>
      <c r="AH83" s="246">
        <f>AH32/'P&amp;L'!AH21</f>
        <v>0.18250892064541965</v>
      </c>
      <c r="AI83" s="246">
        <f>AI32/'P&amp;L'!AI21</f>
        <v>0.18168700283720049</v>
      </c>
      <c r="AJ83" s="246">
        <f>AJ32/'P&amp;L'!AJ21</f>
        <v>0.18086508502898133</v>
      </c>
      <c r="AK83" s="246">
        <f>AK32/'P&amp;L'!AK21</f>
        <v>0.18004316722076216</v>
      </c>
      <c r="AL83" s="246">
        <f>AL32/'P&amp;L'!AL21</f>
        <v>0.179221249412543</v>
      </c>
    </row>
    <row r="84" spans="1:38" outlineLevel="1">
      <c r="A84" s="2"/>
      <c r="B84" s="2" t="s">
        <v>552</v>
      </c>
      <c r="C84" s="18" t="s">
        <v>733</v>
      </c>
      <c r="D84" s="7"/>
      <c r="E84" s="7">
        <f t="shared" ref="E84:AI84" si="116">(E22/D22)-1</f>
        <v>2.1822907331062957E-2</v>
      </c>
      <c r="F84" s="7">
        <f t="shared" si="116"/>
        <v>2.7101697145112569E-2</v>
      </c>
      <c r="G84" s="7">
        <f t="shared" si="116"/>
        <v>-1.7462960590922671E-2</v>
      </c>
      <c r="H84" s="7">
        <f t="shared" si="116"/>
        <v>-6.4748826699113637E-3</v>
      </c>
      <c r="I84" s="7">
        <f t="shared" si="116"/>
        <v>1.2246861741678217E-3</v>
      </c>
      <c r="J84" s="7">
        <f t="shared" si="116"/>
        <v>3.0623389104888377E-2</v>
      </c>
      <c r="K84" s="7">
        <f t="shared" si="116"/>
        <v>4.302305866395395E-2</v>
      </c>
      <c r="L84" s="7">
        <f t="shared" si="116"/>
        <v>-1.2029097411305756E-2</v>
      </c>
      <c r="M84" s="7">
        <f t="shared" si="116"/>
        <v>-1.7111595574019978E-2</v>
      </c>
      <c r="N84" s="7">
        <f t="shared" si="116"/>
        <v>-4.189160912324752E-2</v>
      </c>
      <c r="O84" s="7">
        <f t="shared" si="116"/>
        <v>-4.8222241635362928E-2</v>
      </c>
      <c r="P84" s="7">
        <f t="shared" si="116"/>
        <v>-5.9017898118402967E-2</v>
      </c>
      <c r="Q84" s="246">
        <f t="shared" si="116"/>
        <v>-8.6812329301599878E-3</v>
      </c>
      <c r="R84" s="246">
        <f t="shared" si="116"/>
        <v>-2.3811866574830254E-2</v>
      </c>
      <c r="S84" s="246">
        <f t="shared" si="116"/>
        <v>3.0642072371736662E-2</v>
      </c>
      <c r="T84" s="246">
        <f t="shared" si="116"/>
        <v>6.4058679706602284E-3</v>
      </c>
      <c r="U84" s="246">
        <f t="shared" si="116"/>
        <v>3.7364559545211673E-2</v>
      </c>
      <c r="V84" s="246">
        <f t="shared" si="116"/>
        <v>1.0444964871194395E-2</v>
      </c>
      <c r="W84" s="246">
        <f t="shared" si="116"/>
        <v>1.2191164882028538E-2</v>
      </c>
      <c r="X84" s="246">
        <f t="shared" si="116"/>
        <v>-1.5433229529217773E-2</v>
      </c>
      <c r="Y84" s="246">
        <f t="shared" si="116"/>
        <v>-2.9582771291687959E-2</v>
      </c>
      <c r="Z84" s="246">
        <f>(Z22/Y22)-1</f>
        <v>-1.8118199683650471E-2</v>
      </c>
      <c r="AA84" s="246">
        <f>(AA22/Z22)-1</f>
        <v>2.3627044178667234E-2</v>
      </c>
      <c r="AB84" s="246">
        <f>(AB22/AA22)-1</f>
        <v>-4.8643235252038286E-3</v>
      </c>
      <c r="AC84" s="246">
        <f t="shared" si="116"/>
        <v>-1.0351272343892215E-2</v>
      </c>
      <c r="AD84" s="246">
        <f t="shared" si="116"/>
        <v>-2.281381733055976E-2</v>
      </c>
      <c r="AE84" s="246">
        <f t="shared" si="116"/>
        <v>-2.3742777992359465E-2</v>
      </c>
      <c r="AF84" s="246">
        <f t="shared" si="116"/>
        <v>-2.4789188028636278E-2</v>
      </c>
      <c r="AG84" s="246">
        <f t="shared" si="116"/>
        <v>-2.5971196043638733E-2</v>
      </c>
      <c r="AH84" s="246">
        <f t="shared" si="116"/>
        <v>-2.7306588194566994E-2</v>
      </c>
      <c r="AI84" s="246">
        <f t="shared" si="116"/>
        <v>-2.8818216958898524E-2</v>
      </c>
      <c r="AJ84" s="246">
        <f t="shared" ref="AJ84" si="117">(AJ22/AI22)-1</f>
        <v>-4.7637488500796521E-2</v>
      </c>
      <c r="AK84" s="246">
        <f t="shared" ref="AK84:AL84" si="118">(AK22/AJ22)-1</f>
        <v>-7.0686645266031967E-2</v>
      </c>
      <c r="AL84" s="246">
        <f t="shared" si="118"/>
        <v>-7.9010925598307136E-2</v>
      </c>
    </row>
    <row r="85" spans="1:38" outlineLevel="1">
      <c r="A85" s="2"/>
      <c r="B85" s="2" t="s">
        <v>553</v>
      </c>
      <c r="C85" s="18" t="s">
        <v>733</v>
      </c>
      <c r="D85" s="976">
        <f>'P&amp;L'!D76/'Balance Sheet'!D22</f>
        <v>0.10499193403835813</v>
      </c>
      <c r="E85" s="976">
        <f>'P&amp;L'!E76/'Balance Sheet'!E22</f>
        <v>0.1046353549971495</v>
      </c>
      <c r="F85" s="976">
        <f>'P&amp;L'!F76/'Balance Sheet'!F22</f>
        <v>0.11152384612100252</v>
      </c>
      <c r="G85" s="976">
        <f>'P&amp;L'!G76/'Balance Sheet'!G22</f>
        <v>0.11746045541456632</v>
      </c>
      <c r="H85" s="976">
        <f>'P&amp;L'!H76/'Balance Sheet'!H22</f>
        <v>0.12566154922801032</v>
      </c>
      <c r="I85" s="976">
        <f>'P&amp;L'!I76/'Balance Sheet'!I22</f>
        <v>0.12563889738325107</v>
      </c>
      <c r="J85" s="976">
        <f>'P&amp;L'!J76/'Balance Sheet'!J22</f>
        <v>0.13453713123092573</v>
      </c>
      <c r="K85" s="976">
        <f>'P&amp;L'!K76/'Balance Sheet'!K22</f>
        <v>0.1358962896736701</v>
      </c>
      <c r="L85" s="976">
        <f>'P&amp;L'!L76/'Balance Sheet'!L22</f>
        <v>0.14339188021883098</v>
      </c>
      <c r="M85" s="976">
        <f>'P&amp;L'!M76/'Balance Sheet'!M22</f>
        <v>0.15166352793471438</v>
      </c>
      <c r="N85" s="976">
        <f>'P&amp;L'!N76/'Balance Sheet'!N22</f>
        <v>0.15025770944352232</v>
      </c>
      <c r="O85" s="976">
        <f>'P&amp;L'!O76/'Balance Sheet'!O22</f>
        <v>0.15851307939421752</v>
      </c>
      <c r="P85" s="976">
        <f>'P&amp;L'!P76/'Balance Sheet'!P22</f>
        <v>0.16118806086617246</v>
      </c>
      <c r="Q85" s="977">
        <f>'P&amp;L'!Q76/'Balance Sheet'!Q22</f>
        <v>0.15118567352159795</v>
      </c>
      <c r="R85" s="977">
        <f>'P&amp;L'!R76/'Balance Sheet'!R22</f>
        <v>0.14544904747505291</v>
      </c>
      <c r="S85" s="977">
        <f>'P&amp;L'!S76/'Balance Sheet'!S22</f>
        <v>0.14254278728606357</v>
      </c>
      <c r="T85" s="977">
        <f>'P&amp;L'!T76/'Balance Sheet'!T22</f>
        <v>0.1436762062096108</v>
      </c>
      <c r="U85" s="977">
        <f>'P&amp;L'!U76/'Balance Sheet'!U22</f>
        <v>0.14323185011709602</v>
      </c>
      <c r="V85" s="977">
        <f>'P&amp;L'!V76/'Balance Sheet'!V22</f>
        <v>0.13929448848097159</v>
      </c>
      <c r="W85" s="977">
        <f>'P&amp;L'!W76/'Balance Sheet'!W22</f>
        <v>0.125572449166514</v>
      </c>
      <c r="X85" s="977">
        <f>'P&amp;L'!X76/'Balance Sheet'!X22</f>
        <v>0.17554304851388436</v>
      </c>
      <c r="Y85" s="977">
        <f>'P&amp;L'!Y76/'Balance Sheet'!Y22</f>
        <v>0.15970857498921537</v>
      </c>
      <c r="Z85" s="977">
        <f>'P&amp;L'!Z76/'Balance Sheet'!Z22</f>
        <v>0.1542103978520869</v>
      </c>
      <c r="AA85" s="977">
        <f>'P&amp;L'!AA76/'Balance Sheet'!AA22</f>
        <v>0.14297296008393343</v>
      </c>
      <c r="AB85" s="977">
        <f>'P&amp;L'!AB76/'Balance Sheet'!AB22</f>
        <v>0.14606795418603535</v>
      </c>
      <c r="AC85" s="977">
        <f>'P&amp;L'!AC76/'Balance Sheet'!AC22</f>
        <v>0.14594934869982082</v>
      </c>
      <c r="AD85" s="977">
        <f>'P&amp;L'!AD76/'Balance Sheet'!AD22</f>
        <v>0.15370624813708897</v>
      </c>
      <c r="AE85" s="977">
        <f>'P&amp;L'!AE76/'Balance Sheet'!AE22</f>
        <v>0.16106610717369266</v>
      </c>
      <c r="AF85" s="977">
        <f>'P&amp;L'!AF76/'Balance Sheet'!AF22</f>
        <v>0.16942318214779639</v>
      </c>
      <c r="AG85" s="977">
        <f>'P&amp;L'!AG76/'Balance Sheet'!AG22</f>
        <v>0.17893661217112147</v>
      </c>
      <c r="AH85" s="977">
        <f>'P&amp;L'!AH76/'Balance Sheet'!AH22</f>
        <v>0.1897629697333329</v>
      </c>
      <c r="AI85" s="977">
        <f>'P&amp;L'!AI76/'Balance Sheet'!AI22</f>
        <v>0.20210511294727337</v>
      </c>
      <c r="AJ85" s="977">
        <f>'P&amp;L'!AJ76/'Balance Sheet'!AJ22</f>
        <v>0.22010689777454712</v>
      </c>
      <c r="AK85" s="977">
        <f>'P&amp;L'!AK76/'Balance Sheet'!AK22</f>
        <v>0.24635448367622462</v>
      </c>
      <c r="AL85" s="977">
        <f>'P&amp;L'!AL76/'Balance Sheet'!AL22</f>
        <v>0.27792423863770049</v>
      </c>
    </row>
    <row r="86" spans="1:38" outlineLevel="1">
      <c r="A86" s="2"/>
      <c r="B86" s="2"/>
      <c r="C86" s="18"/>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c r="AL86" s="7"/>
    </row>
    <row r="87" spans="1:38" outlineLevel="1">
      <c r="A87" s="2"/>
      <c r="B87" s="2" t="s">
        <v>800</v>
      </c>
      <c r="C87" s="18" t="s">
        <v>521</v>
      </c>
      <c r="D87" s="7"/>
      <c r="E87" s="7"/>
      <c r="F87" s="7"/>
      <c r="G87" s="7"/>
      <c r="H87" s="979">
        <f>H70/'P&amp;L'!H189</f>
        <v>1.1373955773955775</v>
      </c>
      <c r="I87" s="979">
        <f>I70/'P&amp;L'!I189</f>
        <v>1.1249044342507648</v>
      </c>
      <c r="J87" s="979">
        <f>J70/'P&amp;L'!J189</f>
        <v>1.3684595300261098</v>
      </c>
      <c r="K87" s="979">
        <f>K70/'P&amp;L'!K189</f>
        <v>1.4961971402494678</v>
      </c>
      <c r="L87" s="979">
        <f>L70/'P&amp;L'!L189</f>
        <v>1.4790706605222734</v>
      </c>
      <c r="M87" s="979">
        <f>M70/'P&amp;L'!M189</f>
        <v>1.4314029959810011</v>
      </c>
      <c r="N87" s="979">
        <f>N70/'P&amp;L'!N189</f>
        <v>1.3009126947543099</v>
      </c>
      <c r="O87" s="979">
        <f>O70/'P&amp;L'!O189</f>
        <v>1.3400650182248055</v>
      </c>
      <c r="P87" s="979">
        <f>P70/'P&amp;L'!P189</f>
        <v>1.2864291295579657</v>
      </c>
      <c r="Q87" s="979">
        <f>Q70/'P&amp;L'!Q189</f>
        <v>1.2248598807628113</v>
      </c>
      <c r="R87" s="979">
        <f>R70/'P&amp;L'!R189</f>
        <v>0.94485855410866637</v>
      </c>
      <c r="S87" s="979">
        <f>S70/'P&amp;L'!S189</f>
        <v>1.2879521503845059</v>
      </c>
      <c r="T87" s="979">
        <f>T70/'P&amp;L'!T189</f>
        <v>1.1912353550841726</v>
      </c>
      <c r="U87" s="979">
        <f>U70/'P&amp;L'!U189</f>
        <v>1.4929694135707987</v>
      </c>
      <c r="V87" s="979">
        <f>V70/'P&amp;L'!V189</f>
        <v>1.394682059046177</v>
      </c>
      <c r="W87" s="979">
        <f>W70/'P&amp;L'!W51</f>
        <v>1.7461465496798672</v>
      </c>
      <c r="X87" s="979">
        <f>X70/'P&amp;L'!X51</f>
        <v>1.6105100463678517</v>
      </c>
      <c r="Y87" s="979">
        <f>Y70/'P&amp;L'!Y51</f>
        <v>1.6063944116066631</v>
      </c>
      <c r="Z87" s="979">
        <f>Z70/'P&amp;L'!Z51</f>
        <v>1.3000275633958103</v>
      </c>
      <c r="AA87" s="979">
        <f>AA70/'P&amp;L'!AA51</f>
        <v>1.4757059272449757</v>
      </c>
      <c r="AB87" s="979">
        <f>AB70/'P&amp;L'!AB51</f>
        <v>1.73711477151966</v>
      </c>
      <c r="AC87" s="979">
        <f>AC70/'P&amp;L'!AC51</f>
        <v>1.5992100371747211</v>
      </c>
      <c r="AD87" s="979">
        <f>AD70/'P&amp;L'!AD51</f>
        <v>1.645219205730712</v>
      </c>
      <c r="AE87" s="979">
        <f>AE70/'P&amp;L'!AE51</f>
        <v>1.6318754848898702</v>
      </c>
      <c r="AF87" s="979">
        <f>AF70/'P&amp;L'!AF51</f>
        <v>1.5883294808511397</v>
      </c>
      <c r="AG87" s="979">
        <f>AG70/'P&amp;L'!AG51</f>
        <v>1.5416521322014001</v>
      </c>
      <c r="AH87" s="979">
        <f>AH70/'P&amp;L'!AH51</f>
        <v>1.4910360888502698</v>
      </c>
      <c r="AI87" s="979">
        <f>AI70/'P&amp;L'!AI51</f>
        <v>1.4364268969832472</v>
      </c>
      <c r="AJ87" s="979">
        <f>AJ70/'P&amp;L'!AJ51</f>
        <v>1.3501269448647613</v>
      </c>
      <c r="AK87" s="979">
        <f>AK70/'P&amp;L'!AK51</f>
        <v>1.2325966826790882</v>
      </c>
      <c r="AL87" s="979">
        <f>AL70/'P&amp;L'!AL51</f>
        <v>1.0993510743383841</v>
      </c>
    </row>
    <row r="88" spans="1:38" outlineLevel="1">
      <c r="A88" s="2"/>
      <c r="B88" s="2" t="s">
        <v>522</v>
      </c>
      <c r="C88" s="18" t="s">
        <v>732</v>
      </c>
      <c r="D88" s="7"/>
      <c r="E88" s="7"/>
      <c r="F88" s="7"/>
      <c r="G88" s="7"/>
      <c r="H88" s="979"/>
      <c r="I88" s="979"/>
      <c r="J88" s="979"/>
      <c r="K88" s="979"/>
      <c r="L88" s="979"/>
      <c r="M88" s="979"/>
      <c r="N88" s="549">
        <v>2301</v>
      </c>
      <c r="O88" s="549">
        <v>2537</v>
      </c>
      <c r="P88" s="549">
        <v>2820</v>
      </c>
      <c r="Q88" s="56">
        <f t="shared" ref="Q88:Y88" si="119">P88</f>
        <v>2820</v>
      </c>
      <c r="R88" s="56">
        <f>Q88</f>
        <v>2820</v>
      </c>
      <c r="S88" s="56">
        <f t="shared" si="119"/>
        <v>2820</v>
      </c>
      <c r="T88" s="56">
        <f t="shared" si="119"/>
        <v>2820</v>
      </c>
      <c r="U88" s="56">
        <f t="shared" si="119"/>
        <v>2820</v>
      </c>
      <c r="V88" s="56">
        <f t="shared" si="119"/>
        <v>2820</v>
      </c>
      <c r="W88" s="56">
        <f t="shared" si="119"/>
        <v>2820</v>
      </c>
      <c r="X88" s="56">
        <f t="shared" si="119"/>
        <v>2820</v>
      </c>
      <c r="Y88" s="56">
        <f t="shared" si="119"/>
        <v>2820</v>
      </c>
      <c r="Z88" s="56">
        <f t="shared" ref="Z88:AA89" si="120">Y88</f>
        <v>2820</v>
      </c>
      <c r="AA88" s="56">
        <f t="shared" si="120"/>
        <v>2820</v>
      </c>
      <c r="AB88" s="56">
        <f>AA88</f>
        <v>2820</v>
      </c>
      <c r="AC88" s="56">
        <f t="shared" ref="AC88:AI89" si="121">AB88</f>
        <v>2820</v>
      </c>
      <c r="AD88" s="56">
        <f t="shared" si="121"/>
        <v>2820</v>
      </c>
      <c r="AE88" s="56">
        <f t="shared" si="121"/>
        <v>2820</v>
      </c>
      <c r="AF88" s="56">
        <f t="shared" si="121"/>
        <v>2820</v>
      </c>
      <c r="AG88" s="56">
        <f t="shared" si="121"/>
        <v>2820</v>
      </c>
      <c r="AH88" s="56">
        <f t="shared" si="121"/>
        <v>2820</v>
      </c>
      <c r="AI88" s="56">
        <f t="shared" si="121"/>
        <v>2820</v>
      </c>
      <c r="AJ88" s="56">
        <f t="shared" ref="AJ88:AJ89" si="122">AI88</f>
        <v>2820</v>
      </c>
      <c r="AK88" s="56">
        <f t="shared" ref="AK88:AL89" si="123">AJ88</f>
        <v>2820</v>
      </c>
      <c r="AL88" s="56">
        <f t="shared" si="123"/>
        <v>2820</v>
      </c>
    </row>
    <row r="89" spans="1:38" outlineLevel="1">
      <c r="A89" s="2"/>
      <c r="B89" s="2" t="s">
        <v>523</v>
      </c>
      <c r="C89" s="18" t="s">
        <v>732</v>
      </c>
      <c r="D89" s="7"/>
      <c r="E89" s="7"/>
      <c r="F89" s="7"/>
      <c r="G89" s="7"/>
      <c r="H89" s="979"/>
      <c r="I89" s="979"/>
      <c r="J89" s="979"/>
      <c r="K89" s="979"/>
      <c r="L89" s="979"/>
      <c r="M89" s="979"/>
      <c r="N89" s="549">
        <v>565</v>
      </c>
      <c r="O89" s="549">
        <v>561</v>
      </c>
      <c r="P89" s="549">
        <v>583</v>
      </c>
      <c r="Q89" s="56">
        <f t="shared" ref="Q89:Y89" si="124">P89</f>
        <v>583</v>
      </c>
      <c r="R89" s="56">
        <f>Q89</f>
        <v>583</v>
      </c>
      <c r="S89" s="56">
        <f t="shared" si="124"/>
        <v>583</v>
      </c>
      <c r="T89" s="56">
        <f t="shared" si="124"/>
        <v>583</v>
      </c>
      <c r="U89" s="56">
        <f t="shared" si="124"/>
        <v>583</v>
      </c>
      <c r="V89" s="56">
        <f t="shared" si="124"/>
        <v>583</v>
      </c>
      <c r="W89" s="56">
        <f t="shared" si="124"/>
        <v>583</v>
      </c>
      <c r="X89" s="56">
        <f t="shared" si="124"/>
        <v>583</v>
      </c>
      <c r="Y89" s="56">
        <f t="shared" si="124"/>
        <v>583</v>
      </c>
      <c r="Z89" s="56">
        <f t="shared" si="120"/>
        <v>583</v>
      </c>
      <c r="AA89" s="56">
        <f t="shared" si="120"/>
        <v>583</v>
      </c>
      <c r="AB89" s="56">
        <f>AA89</f>
        <v>583</v>
      </c>
      <c r="AC89" s="56">
        <f t="shared" si="121"/>
        <v>583</v>
      </c>
      <c r="AD89" s="56">
        <f t="shared" si="121"/>
        <v>583</v>
      </c>
      <c r="AE89" s="56">
        <f t="shared" si="121"/>
        <v>583</v>
      </c>
      <c r="AF89" s="56">
        <f t="shared" si="121"/>
        <v>583</v>
      </c>
      <c r="AG89" s="56">
        <f t="shared" si="121"/>
        <v>583</v>
      </c>
      <c r="AH89" s="56">
        <f t="shared" si="121"/>
        <v>583</v>
      </c>
      <c r="AI89" s="56">
        <f t="shared" si="121"/>
        <v>583</v>
      </c>
      <c r="AJ89" s="56">
        <f t="shared" si="122"/>
        <v>583</v>
      </c>
      <c r="AK89" s="56">
        <f t="shared" si="123"/>
        <v>583</v>
      </c>
      <c r="AL89" s="56">
        <f t="shared" si="123"/>
        <v>583</v>
      </c>
    </row>
    <row r="90" spans="1:38" outlineLevel="1">
      <c r="A90" s="2"/>
      <c r="B90" s="2" t="s">
        <v>921</v>
      </c>
      <c r="C90" s="18" t="s">
        <v>732</v>
      </c>
      <c r="D90" s="7"/>
      <c r="E90" s="7"/>
      <c r="F90" s="7"/>
      <c r="G90" s="7"/>
      <c r="H90" s="979"/>
      <c r="I90" s="979"/>
      <c r="J90" s="979"/>
      <c r="K90" s="979"/>
      <c r="L90" s="979"/>
      <c r="M90" s="979"/>
      <c r="N90" s="452">
        <f>'P&amp;L'!N189+'Balance Sheet'!N89</f>
        <v>11412</v>
      </c>
      <c r="O90" s="452">
        <f>'P&amp;L'!O189+'Balance Sheet'!O89</f>
        <v>10712</v>
      </c>
      <c r="P90" s="452">
        <f>'P&amp;L'!P189+'Balance Sheet'!P89</f>
        <v>10903.817287899999</v>
      </c>
      <c r="Q90" s="452">
        <f>'P&amp;L'!Q189+'Balance Sheet'!Q89</f>
        <v>11318.105465133809</v>
      </c>
      <c r="R90" s="452">
        <f>'P&amp;L'!R189+'Balance Sheet'!R89</f>
        <v>11718</v>
      </c>
      <c r="S90" s="452">
        <f>'P&amp;L'!S189+'Balance Sheet'!S89</f>
        <v>11116</v>
      </c>
      <c r="T90" s="452">
        <f>'P&amp;L'!T189+'Balance Sheet'!T89</f>
        <v>11041.8976</v>
      </c>
      <c r="U90" s="452">
        <f>'P&amp;L'!U189+'Balance Sheet'!U89</f>
        <v>10817.637000000001</v>
      </c>
      <c r="V90" s="452">
        <f>'P&amp;L'!V189+'Balance Sheet'!V89</f>
        <v>11151</v>
      </c>
      <c r="W90" s="452">
        <f>'P&amp;L'!W51+'Balance Sheet'!W89</f>
        <v>9017</v>
      </c>
      <c r="X90" s="452">
        <f>'P&amp;L'!X51+'Balance Sheet'!X89</f>
        <v>8994</v>
      </c>
      <c r="Y90" s="452">
        <f>'P&amp;L'!Y51+'Balance Sheet'!Y89</f>
        <v>8027</v>
      </c>
      <c r="Z90" s="452">
        <f>'P&amp;L'!Z51+'Balance Sheet'!Z89</f>
        <v>7839</v>
      </c>
      <c r="AA90" s="452">
        <f>'P&amp;L'!AA51+'Balance Sheet'!AA89</f>
        <v>8445</v>
      </c>
      <c r="AB90" s="452">
        <f>'P&amp;L'!AB51+'Balance Sheet'!AB89</f>
        <v>8111</v>
      </c>
      <c r="AC90" s="452">
        <f>'P&amp;L'!AC51+'Balance Sheet'!AC89</f>
        <v>9191</v>
      </c>
      <c r="AD90" s="452">
        <f>'P&amp;L'!AD51+'Balance Sheet'!AD89</f>
        <v>9545.3524705260606</v>
      </c>
      <c r="AE90" s="452">
        <f>'P&amp;L'!AE51+'Balance Sheet'!AE89</f>
        <v>9832.6083445247623</v>
      </c>
      <c r="AF90" s="452">
        <f>'P&amp;L'!AF51+'Balance Sheet'!AF89</f>
        <v>10141.729600425215</v>
      </c>
      <c r="AG90" s="452">
        <f>'P&amp;L'!AG51+'Balance Sheet'!AG89</f>
        <v>10476.445947740651</v>
      </c>
      <c r="AH90" s="452">
        <f>'P&amp;L'!AH51+'Balance Sheet'!AH89</f>
        <v>10838.7176868312</v>
      </c>
      <c r="AI90" s="452">
        <f>'P&amp;L'!AI51+'Balance Sheet'!AI89</f>
        <v>11230.910275334412</v>
      </c>
      <c r="AJ90" s="452">
        <f>'P&amp;L'!AJ51+'Balance Sheet'!AJ89</f>
        <v>11655.839031796419</v>
      </c>
      <c r="AK90" s="452">
        <f>'P&amp;L'!AK51+'Balance Sheet'!AK89</f>
        <v>12116.828714237639</v>
      </c>
      <c r="AL90" s="452">
        <f>'P&amp;L'!AL51+'Balance Sheet'!AL89</f>
        <v>12604.018876549937</v>
      </c>
    </row>
    <row r="91" spans="1:38" outlineLevel="1">
      <c r="A91" s="2"/>
      <c r="B91" s="2" t="s">
        <v>524</v>
      </c>
      <c r="C91" s="18" t="s">
        <v>732</v>
      </c>
      <c r="D91" s="7"/>
      <c r="E91" s="7"/>
      <c r="F91" s="7"/>
      <c r="G91" s="7"/>
      <c r="H91" s="979"/>
      <c r="I91" s="979"/>
      <c r="J91" s="979"/>
      <c r="K91" s="979"/>
      <c r="L91" s="979"/>
      <c r="M91" s="979"/>
      <c r="N91" s="56">
        <f t="shared" ref="N91:U91" si="125">N70+N88</f>
        <v>16412</v>
      </c>
      <c r="O91" s="56">
        <f t="shared" si="125"/>
        <v>16140</v>
      </c>
      <c r="P91" s="56">
        <f t="shared" si="125"/>
        <v>16097</v>
      </c>
      <c r="Q91" s="56">
        <f t="shared" si="125"/>
        <v>15969</v>
      </c>
      <c r="R91" s="56">
        <f t="shared" si="125"/>
        <v>13341</v>
      </c>
      <c r="S91" s="56">
        <f t="shared" si="125"/>
        <v>16386</v>
      </c>
      <c r="T91" s="56">
        <f t="shared" si="125"/>
        <v>15279.008596325</v>
      </c>
      <c r="U91" s="56">
        <f t="shared" si="125"/>
        <v>18100</v>
      </c>
      <c r="V91" s="56">
        <f t="shared" ref="V91:AB91" si="126">V70+V88</f>
        <v>17559</v>
      </c>
      <c r="W91" s="56">
        <f t="shared" si="126"/>
        <v>17547</v>
      </c>
      <c r="X91" s="56">
        <f t="shared" si="126"/>
        <v>16366</v>
      </c>
      <c r="Y91" s="56">
        <f>Y70+Y88</f>
        <v>14778</v>
      </c>
      <c r="Z91" s="56">
        <f t="shared" si="126"/>
        <v>12253</v>
      </c>
      <c r="AA91" s="56">
        <f t="shared" si="126"/>
        <v>14422</v>
      </c>
      <c r="AB91" s="56">
        <f t="shared" si="126"/>
        <v>15897</v>
      </c>
      <c r="AC91" s="56">
        <f t="shared" ref="AC91:AH91" si="127">AC70+AC88</f>
        <v>16586</v>
      </c>
      <c r="AD91" s="56">
        <f t="shared" si="127"/>
        <v>17565.034413037571</v>
      </c>
      <c r="AE91" s="56">
        <f t="shared" si="127"/>
        <v>17914.209102262736</v>
      </c>
      <c r="AF91" s="56">
        <f t="shared" si="127"/>
        <v>18002.412023839803</v>
      </c>
      <c r="AG91" s="56">
        <f t="shared" si="127"/>
        <v>18072.252040153675</v>
      </c>
      <c r="AH91" s="56">
        <f t="shared" si="127"/>
        <v>18111.645188125331</v>
      </c>
      <c r="AI91" s="56">
        <f>AI70+AI88</f>
        <v>18114.944716154641</v>
      </c>
      <c r="AJ91" s="56">
        <f t="shared" ref="AJ91:AK91" si="128">AJ70+AJ88</f>
        <v>17769.738332978581</v>
      </c>
      <c r="AK91" s="56">
        <f t="shared" si="128"/>
        <v>17036.559011758127</v>
      </c>
      <c r="AL91" s="56">
        <f t="shared" ref="AL91" si="129">AL70+AL88</f>
        <v>16035.320016577167</v>
      </c>
    </row>
    <row r="92" spans="1:38" outlineLevel="1">
      <c r="A92" s="2"/>
      <c r="B92" s="2" t="s">
        <v>520</v>
      </c>
      <c r="C92" s="18" t="s">
        <v>521</v>
      </c>
      <c r="D92" s="7"/>
      <c r="E92" s="7"/>
      <c r="F92" s="7"/>
      <c r="G92" s="7"/>
      <c r="H92" s="979"/>
      <c r="I92" s="979"/>
      <c r="J92" s="979"/>
      <c r="K92" s="979"/>
      <c r="L92" s="979"/>
      <c r="M92" s="979"/>
      <c r="N92" s="979">
        <f t="shared" ref="N92:U92" si="130">N91/N90</f>
        <v>1.4381352961794602</v>
      </c>
      <c r="O92" s="979">
        <f t="shared" si="130"/>
        <v>1.5067214339058999</v>
      </c>
      <c r="P92" s="979">
        <f t="shared" si="130"/>
        <v>1.4762719857625359</v>
      </c>
      <c r="Q92" s="979">
        <f t="shared" si="130"/>
        <v>1.4109251808258534</v>
      </c>
      <c r="R92" s="979">
        <f t="shared" si="130"/>
        <v>1.138504864311316</v>
      </c>
      <c r="S92" s="979">
        <f t="shared" si="130"/>
        <v>1.474091399784095</v>
      </c>
      <c r="T92" s="979">
        <f t="shared" si="130"/>
        <v>1.3837303287729277</v>
      </c>
      <c r="U92" s="979">
        <f t="shared" si="130"/>
        <v>1.6731935079722122</v>
      </c>
      <c r="V92" s="979">
        <f t="shared" ref="V92:AB92" si="131">V91/V90</f>
        <v>1.5746569814366425</v>
      </c>
      <c r="W92" s="979">
        <f t="shared" si="131"/>
        <v>1.9459909060663192</v>
      </c>
      <c r="X92" s="979">
        <f t="shared" si="131"/>
        <v>1.8196575494774294</v>
      </c>
      <c r="Y92" s="979">
        <f>Y91/Y90</f>
        <v>1.8410365018064034</v>
      </c>
      <c r="Z92" s="979">
        <f t="shared" si="131"/>
        <v>1.5630820257685929</v>
      </c>
      <c r="AA92" s="979">
        <f t="shared" si="131"/>
        <v>1.7077560686796922</v>
      </c>
      <c r="AB92" s="979">
        <f t="shared" si="131"/>
        <v>1.9599309579583282</v>
      </c>
      <c r="AC92" s="979">
        <f t="shared" ref="AC92:AH92" si="132">AC91/AC90</f>
        <v>1.8045914481558045</v>
      </c>
      <c r="AD92" s="979">
        <f t="shared" si="132"/>
        <v>1.8401661402524963</v>
      </c>
      <c r="AE92" s="979">
        <f t="shared" si="132"/>
        <v>1.82191830230258</v>
      </c>
      <c r="AF92" s="979">
        <f t="shared" si="132"/>
        <v>1.7750830216460327</v>
      </c>
      <c r="AG92" s="979">
        <f t="shared" si="132"/>
        <v>1.725036537228652</v>
      </c>
      <c r="AH92" s="979">
        <f t="shared" si="132"/>
        <v>1.6710136486099805</v>
      </c>
      <c r="AI92" s="979">
        <f>AI91/AI90</f>
        <v>1.6129542728107362</v>
      </c>
      <c r="AJ92" s="979">
        <f t="shared" ref="AJ92:AK92" si="133">AJ91/AJ90</f>
        <v>1.5245353238410222</v>
      </c>
      <c r="AK92" s="979">
        <f t="shared" si="133"/>
        <v>1.4060245806511777</v>
      </c>
      <c r="AL92" s="979">
        <f t="shared" ref="AL92" si="134">AL91/AL90</f>
        <v>1.2722386544827573</v>
      </c>
    </row>
  </sheetData>
  <dataConsolidate/>
  <phoneticPr fontId="10" type="noConversion"/>
  <printOptions horizontalCentered="1" verticalCentered="1"/>
  <pageMargins left="0" right="0" top="0" bottom="0" header="0" footer="0"/>
  <pageSetup paperSize="5" scale="78" orientation="landscape" r:id="rId1"/>
  <headerFooter alignWithMargins="0"/>
  <ignoredErrors>
    <ignoredError sqref="U54:Z54" formulaRange="1"/>
  </ignoredError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
    <tabColor theme="3"/>
  </sheetPr>
  <dimension ref="A1"/>
  <sheetViews>
    <sheetView view="pageBreakPreview" zoomScale="60" zoomScaleNormal="100" workbookViewId="0"/>
  </sheetViews>
  <sheetFormatPr defaultRowHeight="13.8"/>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pageSetUpPr autoPageBreaks="0" fitToPage="1"/>
  </sheetPr>
  <dimension ref="A1:V242"/>
  <sheetViews>
    <sheetView showGridLines="0" zoomScale="85" zoomScaleNormal="85" workbookViewId="0">
      <selection activeCell="F223" sqref="F223"/>
    </sheetView>
  </sheetViews>
  <sheetFormatPr defaultRowHeight="13.8" outlineLevelRow="1"/>
  <cols>
    <col min="1" max="1" width="2.6640625" customWidth="1"/>
    <col min="2" max="2" width="29" customWidth="1"/>
    <col min="3" max="10" width="9.6640625" customWidth="1"/>
    <col min="11" max="11" width="2.6640625" customWidth="1"/>
    <col min="12" max="12" width="19.44140625" customWidth="1"/>
    <col min="13" max="22" width="9.44140625" customWidth="1"/>
  </cols>
  <sheetData>
    <row r="1" spans="1:22">
      <c r="A1" s="472"/>
      <c r="B1" s="469"/>
      <c r="C1" s="485"/>
      <c r="D1" s="477"/>
      <c r="E1" s="478"/>
      <c r="F1" s="469"/>
      <c r="G1" s="469"/>
      <c r="H1" s="469"/>
      <c r="I1" s="469"/>
      <c r="J1" s="469"/>
      <c r="K1" s="479"/>
      <c r="L1" s="479"/>
      <c r="M1" s="493"/>
      <c r="N1" s="493"/>
      <c r="O1" s="493"/>
      <c r="P1" s="493"/>
      <c r="Q1" s="493"/>
      <c r="R1" s="493"/>
      <c r="S1" s="493"/>
      <c r="T1" s="493"/>
      <c r="U1" s="493"/>
      <c r="V1" s="493"/>
    </row>
    <row r="2" spans="1:22" ht="23.4">
      <c r="A2" s="472"/>
      <c r="B2" s="475" t="s">
        <v>1368</v>
      </c>
      <c r="C2" s="474"/>
      <c r="D2" s="476"/>
      <c r="E2" s="476"/>
      <c r="F2" s="476"/>
      <c r="G2" s="476"/>
      <c r="H2" s="476"/>
      <c r="I2" s="476"/>
      <c r="J2" s="476"/>
      <c r="K2" s="469"/>
      <c r="L2" s="469"/>
      <c r="M2" s="472"/>
      <c r="N2" s="472"/>
      <c r="O2" s="472"/>
      <c r="P2" s="472"/>
      <c r="Q2" s="479"/>
      <c r="R2" s="479"/>
      <c r="S2" s="479"/>
      <c r="T2" s="479"/>
      <c r="U2" s="479"/>
      <c r="V2" s="479"/>
    </row>
    <row r="3" spans="1:22" ht="18">
      <c r="A3" s="472"/>
      <c r="B3" s="480" t="str">
        <f ca="1">MID(CELL("filename",A1),FIND("]",CELL("filename",A1))+1,255)</f>
        <v>PE</v>
      </c>
      <c r="C3" s="499"/>
      <c r="D3" s="476"/>
      <c r="E3" s="476"/>
      <c r="F3" s="476"/>
      <c r="G3" s="476"/>
      <c r="H3" s="476"/>
      <c r="I3" s="476"/>
      <c r="J3" s="476"/>
      <c r="K3" s="482"/>
      <c r="L3" s="482"/>
      <c r="M3" s="482"/>
      <c r="N3" s="482"/>
      <c r="O3" s="482"/>
      <c r="P3" s="482"/>
      <c r="Q3" s="472"/>
      <c r="R3" s="472"/>
      <c r="S3" s="472"/>
      <c r="T3" s="472"/>
      <c r="U3" s="472"/>
      <c r="V3" s="472"/>
    </row>
    <row r="4" spans="1:22" ht="14.4">
      <c r="A4" s="500"/>
      <c r="B4" s="489">
        <f>MENU!H33</f>
        <v>4.8499999999999996</v>
      </c>
      <c r="C4" s="500"/>
      <c r="D4" s="500"/>
      <c r="E4" s="500"/>
      <c r="F4" s="500"/>
      <c r="G4" s="500"/>
      <c r="H4" s="500"/>
      <c r="I4" s="500"/>
      <c r="J4" s="500"/>
      <c r="K4" s="500"/>
      <c r="L4" s="500"/>
      <c r="M4" s="500"/>
      <c r="N4" s="500"/>
      <c r="O4" s="500"/>
      <c r="P4" s="500"/>
      <c r="Q4" s="500"/>
      <c r="R4" s="500"/>
      <c r="S4" s="500"/>
      <c r="T4" s="500"/>
      <c r="U4" s="500"/>
      <c r="V4" s="500"/>
    </row>
    <row r="5" spans="1:22">
      <c r="A5" s="472"/>
      <c r="B5" s="501"/>
      <c r="C5" s="469"/>
      <c r="D5" s="502"/>
      <c r="E5" s="502"/>
      <c r="F5" s="472"/>
      <c r="G5" s="472"/>
      <c r="H5" s="472"/>
      <c r="I5" s="472"/>
      <c r="J5" s="472"/>
      <c r="K5" s="472"/>
      <c r="L5" s="472"/>
      <c r="M5" s="472"/>
      <c r="N5" s="472"/>
      <c r="O5" s="472"/>
      <c r="P5" s="472"/>
      <c r="Q5" s="472"/>
      <c r="R5" s="472"/>
      <c r="S5" s="472"/>
      <c r="T5" s="472"/>
      <c r="U5" s="472"/>
      <c r="V5" s="472"/>
    </row>
    <row r="6" spans="1:22">
      <c r="A6" s="2"/>
      <c r="B6" s="35"/>
      <c r="C6" s="6"/>
      <c r="D6" s="519"/>
      <c r="E6" s="519"/>
      <c r="F6" s="2"/>
      <c r="G6" s="2"/>
      <c r="H6" s="2"/>
      <c r="I6" s="2"/>
      <c r="J6" s="2"/>
      <c r="K6" s="2"/>
      <c r="L6" s="2"/>
      <c r="M6" s="2"/>
      <c r="N6" s="2"/>
      <c r="O6" s="2"/>
      <c r="P6" s="2"/>
      <c r="Q6" s="2"/>
      <c r="R6" s="2"/>
    </row>
    <row r="7" spans="1:22" hidden="1" outlineLevel="1">
      <c r="A7" s="2"/>
      <c r="B7" s="6" t="s">
        <v>714</v>
      </c>
      <c r="C7" s="6"/>
      <c r="D7" s="188">
        <v>12</v>
      </c>
      <c r="E7" s="188"/>
      <c r="F7" s="59"/>
      <c r="G7" s="2"/>
      <c r="H7" s="2"/>
      <c r="I7" s="2"/>
      <c r="J7" s="2"/>
      <c r="K7" s="2"/>
      <c r="L7" s="2"/>
      <c r="M7" s="2"/>
      <c r="N7" s="2"/>
      <c r="O7" s="2"/>
      <c r="P7" s="2"/>
      <c r="Q7" s="2"/>
      <c r="R7" s="2"/>
    </row>
    <row r="8" spans="1:22" hidden="1" outlineLevel="1">
      <c r="A8" s="2"/>
      <c r="B8" s="2"/>
      <c r="C8" s="2"/>
      <c r="D8" s="189"/>
      <c r="E8" s="189"/>
      <c r="F8" s="2"/>
      <c r="G8" s="2"/>
      <c r="H8" s="2"/>
      <c r="I8" s="2"/>
      <c r="J8" s="2"/>
      <c r="K8" s="2"/>
      <c r="L8" s="2"/>
      <c r="M8" s="2"/>
      <c r="N8" s="2"/>
      <c r="O8" s="2"/>
      <c r="P8" s="2"/>
      <c r="Q8" s="2"/>
      <c r="R8" s="2"/>
    </row>
    <row r="9" spans="1:22" hidden="1" outlineLevel="1">
      <c r="A9" s="2"/>
      <c r="B9" s="6" t="s">
        <v>715</v>
      </c>
      <c r="C9" s="6"/>
      <c r="D9" s="190">
        <f>D7*D10</f>
        <v>14.999999999999996</v>
      </c>
      <c r="E9" s="190">
        <f>C7*E10</f>
        <v>0</v>
      </c>
      <c r="F9" s="190">
        <f>D7*F10</f>
        <v>16.2</v>
      </c>
      <c r="G9" s="190">
        <f>D7*G10</f>
        <v>17.399999999999999</v>
      </c>
      <c r="H9" s="190">
        <f>D7*H10</f>
        <v>18.600000000000001</v>
      </c>
      <c r="I9" s="190">
        <f>D7*I10</f>
        <v>19.8</v>
      </c>
      <c r="J9" s="190">
        <f>E7*J10</f>
        <v>0</v>
      </c>
      <c r="K9" s="2"/>
      <c r="L9" s="2"/>
      <c r="M9" s="2"/>
      <c r="N9" s="2"/>
      <c r="O9" s="2"/>
      <c r="P9" s="2"/>
      <c r="Q9" s="2"/>
      <c r="R9" s="2"/>
    </row>
    <row r="10" spans="1:22" hidden="1" outlineLevel="1">
      <c r="A10" s="2"/>
      <c r="B10" s="6" t="s">
        <v>716</v>
      </c>
      <c r="C10" s="6"/>
      <c r="D10" s="21">
        <f>F10-0.1</f>
        <v>1.2499999999999998</v>
      </c>
      <c r="E10" s="21">
        <f>F10-0.1</f>
        <v>1.2499999999999998</v>
      </c>
      <c r="F10" s="21">
        <f>G10-0.1</f>
        <v>1.3499999999999999</v>
      </c>
      <c r="G10" s="21">
        <v>1.45</v>
      </c>
      <c r="H10" s="21">
        <f>G10+0.1</f>
        <v>1.55</v>
      </c>
      <c r="I10" s="21">
        <f>H10+0.1</f>
        <v>1.6500000000000001</v>
      </c>
      <c r="J10" s="21">
        <f>I10+0.1</f>
        <v>1.7500000000000002</v>
      </c>
      <c r="K10" s="2"/>
      <c r="L10" s="2"/>
      <c r="M10" s="2"/>
      <c r="N10" s="2"/>
      <c r="O10" s="2"/>
      <c r="P10" s="2"/>
      <c r="Q10" s="2"/>
      <c r="R10" s="2"/>
    </row>
    <row r="11" spans="1:22" hidden="1" outlineLevel="1">
      <c r="A11" s="2"/>
      <c r="B11" s="2"/>
      <c r="C11" s="2"/>
      <c r="D11" s="191"/>
      <c r="E11" s="191"/>
      <c r="F11" s="191"/>
      <c r="G11" s="191"/>
      <c r="H11" s="191"/>
      <c r="I11" s="18"/>
      <c r="J11" s="18"/>
      <c r="K11" s="2"/>
      <c r="L11" s="2"/>
      <c r="M11" s="2"/>
      <c r="N11" s="2"/>
      <c r="O11" s="2"/>
      <c r="P11" s="2"/>
      <c r="Q11" s="2"/>
      <c r="R11" s="2"/>
    </row>
    <row r="12" spans="1:22" hidden="1" outlineLevel="1">
      <c r="A12" s="2"/>
      <c r="B12" s="2"/>
      <c r="C12" s="2"/>
      <c r="D12" s="192"/>
      <c r="E12" s="193"/>
      <c r="F12" s="193"/>
      <c r="G12" s="193"/>
      <c r="H12" s="193"/>
      <c r="I12" s="123"/>
      <c r="J12" s="123"/>
      <c r="K12" s="2"/>
      <c r="L12" s="2"/>
      <c r="M12" s="2"/>
      <c r="N12" s="2"/>
      <c r="O12" s="2"/>
      <c r="P12" s="2"/>
      <c r="Q12" s="2"/>
      <c r="R12" s="2"/>
    </row>
    <row r="13" spans="1:22" hidden="1" outlineLevel="1">
      <c r="A13" s="2"/>
      <c r="B13" s="6" t="s">
        <v>717</v>
      </c>
      <c r="C13" s="997">
        <f>C14-0.01</f>
        <v>0.2406275711865774</v>
      </c>
      <c r="D13" s="191">
        <f t="shared" ref="D13:J17" si="0">$C13*D$9</f>
        <v>3.6094135677986601</v>
      </c>
      <c r="E13" s="191">
        <f t="shared" si="0"/>
        <v>0</v>
      </c>
      <c r="F13" s="191">
        <f t="shared" si="0"/>
        <v>3.8981666532225536</v>
      </c>
      <c r="G13" s="191">
        <f t="shared" si="0"/>
        <v>4.1869197386464467</v>
      </c>
      <c r="H13" s="191">
        <f t="shared" si="0"/>
        <v>4.4756728240703403</v>
      </c>
      <c r="I13" s="191">
        <f t="shared" si="0"/>
        <v>4.7644259094942329</v>
      </c>
      <c r="J13" s="191">
        <f t="shared" si="0"/>
        <v>0</v>
      </c>
      <c r="K13" s="2"/>
      <c r="L13" s="2"/>
      <c r="M13" s="2"/>
      <c r="N13" s="2"/>
      <c r="O13" s="2"/>
      <c r="P13" s="2"/>
      <c r="Q13" s="2"/>
      <c r="R13" s="2"/>
    </row>
    <row r="14" spans="1:22" hidden="1" outlineLevel="1">
      <c r="A14" s="2"/>
      <c r="B14" s="6" t="s">
        <v>234</v>
      </c>
      <c r="C14" s="997">
        <f>C15-0.01</f>
        <v>0.25062757118657741</v>
      </c>
      <c r="D14" s="191">
        <f t="shared" si="0"/>
        <v>3.7594135677986604</v>
      </c>
      <c r="E14" s="191">
        <f t="shared" si="0"/>
        <v>0</v>
      </c>
      <c r="F14" s="191">
        <f t="shared" si="0"/>
        <v>4.060166653222554</v>
      </c>
      <c r="G14" s="191">
        <f t="shared" si="0"/>
        <v>4.3609197386464462</v>
      </c>
      <c r="H14" s="191">
        <f t="shared" si="0"/>
        <v>4.6616728240703402</v>
      </c>
      <c r="I14" s="191">
        <f t="shared" si="0"/>
        <v>4.9624259094942333</v>
      </c>
      <c r="J14" s="191">
        <f t="shared" si="0"/>
        <v>0</v>
      </c>
      <c r="K14" s="2"/>
      <c r="L14" s="2"/>
      <c r="M14" s="2"/>
      <c r="N14" s="2"/>
      <c r="O14" s="2"/>
      <c r="P14" s="2"/>
      <c r="Q14" s="2"/>
      <c r="R14" s="2"/>
    </row>
    <row r="15" spans="1:22" hidden="1" outlineLevel="1">
      <c r="A15" s="2"/>
      <c r="B15" s="6"/>
      <c r="C15" s="998">
        <f>'P&amp;L'!O103/100</f>
        <v>0.26062757118657742</v>
      </c>
      <c r="D15" s="191">
        <f t="shared" si="0"/>
        <v>3.9094135677986603</v>
      </c>
      <c r="E15" s="191">
        <f t="shared" si="0"/>
        <v>0</v>
      </c>
      <c r="F15" s="191">
        <f t="shared" si="0"/>
        <v>4.2221666532225539</v>
      </c>
      <c r="G15" s="194">
        <f t="shared" si="0"/>
        <v>4.5349197386464466</v>
      </c>
      <c r="H15" s="191">
        <f t="shared" si="0"/>
        <v>4.8476728240703402</v>
      </c>
      <c r="I15" s="191">
        <f t="shared" si="0"/>
        <v>5.1604259094942329</v>
      </c>
      <c r="J15" s="191">
        <f t="shared" si="0"/>
        <v>0</v>
      </c>
      <c r="K15" s="2"/>
      <c r="L15" s="2"/>
      <c r="M15" s="2"/>
      <c r="N15" s="2"/>
      <c r="O15" s="2"/>
      <c r="P15" s="2"/>
      <c r="Q15" s="2"/>
      <c r="R15" s="2"/>
    </row>
    <row r="16" spans="1:22" hidden="1" outlineLevel="1">
      <c r="A16" s="2"/>
      <c r="B16" s="6"/>
      <c r="C16" s="997">
        <f>C15+0.01</f>
        <v>0.27062757118657743</v>
      </c>
      <c r="D16" s="191">
        <f t="shared" si="0"/>
        <v>4.0594135677986607</v>
      </c>
      <c r="E16" s="191">
        <f t="shared" si="0"/>
        <v>0</v>
      </c>
      <c r="F16" s="191">
        <f t="shared" si="0"/>
        <v>4.3841666532225538</v>
      </c>
      <c r="G16" s="191">
        <f t="shared" si="0"/>
        <v>4.708919738646447</v>
      </c>
      <c r="H16" s="191">
        <f t="shared" si="0"/>
        <v>5.033672824070341</v>
      </c>
      <c r="I16" s="191">
        <f t="shared" si="0"/>
        <v>5.3584259094942333</v>
      </c>
      <c r="J16" s="191">
        <f t="shared" si="0"/>
        <v>0</v>
      </c>
      <c r="K16" s="2"/>
      <c r="L16" s="2"/>
      <c r="M16" s="2"/>
      <c r="N16" s="2"/>
      <c r="O16" s="2"/>
      <c r="P16" s="2"/>
      <c r="Q16" s="2"/>
      <c r="R16" s="2"/>
    </row>
    <row r="17" spans="1:18" hidden="1" outlineLevel="1">
      <c r="A17" s="2"/>
      <c r="B17" s="2"/>
      <c r="C17" s="997">
        <f>C16+0.01</f>
        <v>0.28062757118657744</v>
      </c>
      <c r="D17" s="191">
        <f t="shared" si="0"/>
        <v>4.209413567798661</v>
      </c>
      <c r="E17" s="191">
        <f t="shared" si="0"/>
        <v>0</v>
      </c>
      <c r="F17" s="191">
        <f t="shared" si="0"/>
        <v>4.5461666532225546</v>
      </c>
      <c r="G17" s="191">
        <f t="shared" si="0"/>
        <v>4.8829197386464473</v>
      </c>
      <c r="H17" s="191">
        <f t="shared" si="0"/>
        <v>5.2196728240703409</v>
      </c>
      <c r="I17" s="191">
        <f t="shared" si="0"/>
        <v>5.5564259094942337</v>
      </c>
      <c r="J17" s="191">
        <f t="shared" si="0"/>
        <v>0</v>
      </c>
      <c r="K17" s="2"/>
      <c r="L17" s="2"/>
      <c r="M17" s="2"/>
      <c r="N17" s="2"/>
      <c r="O17" s="2"/>
      <c r="P17" s="2"/>
      <c r="Q17" s="2"/>
      <c r="R17" s="2"/>
    </row>
    <row r="18" spans="1:18" hidden="1" outlineLevel="1" collapsed="1">
      <c r="A18" s="2"/>
      <c r="B18" s="2"/>
      <c r="C18" s="2"/>
      <c r="D18" s="2"/>
      <c r="E18" s="2"/>
      <c r="F18" s="2"/>
      <c r="G18" s="2"/>
      <c r="H18" s="2"/>
      <c r="I18" s="2"/>
      <c r="J18" s="2"/>
      <c r="K18" s="2"/>
      <c r="L18" s="2"/>
      <c r="M18" s="2"/>
      <c r="N18" s="2"/>
      <c r="O18" s="2"/>
      <c r="P18" s="2"/>
      <c r="Q18" s="2"/>
      <c r="R18" s="2"/>
    </row>
    <row r="19" spans="1:18" hidden="1" outlineLevel="1">
      <c r="A19" s="2"/>
      <c r="B19" s="6" t="s">
        <v>512</v>
      </c>
      <c r="C19" s="6"/>
      <c r="D19" s="188">
        <v>12.5</v>
      </c>
      <c r="E19" s="59"/>
      <c r="F19" s="59"/>
      <c r="G19" s="2"/>
      <c r="H19" s="2"/>
      <c r="I19" s="2"/>
      <c r="J19" s="2"/>
      <c r="K19" s="2"/>
      <c r="L19" s="2"/>
      <c r="M19" s="2"/>
      <c r="N19" s="2"/>
      <c r="O19" s="2"/>
      <c r="P19" s="2"/>
      <c r="Q19" s="2"/>
      <c r="R19" s="2"/>
    </row>
    <row r="20" spans="1:18" hidden="1" outlineLevel="1">
      <c r="A20" s="2"/>
      <c r="B20" s="2"/>
      <c r="C20" s="2"/>
      <c r="D20" s="189"/>
      <c r="E20" s="2"/>
      <c r="F20" s="2"/>
      <c r="G20" s="2"/>
      <c r="H20" s="2"/>
      <c r="I20" s="2"/>
      <c r="J20" s="2"/>
      <c r="K20" s="2"/>
      <c r="L20" s="2"/>
      <c r="M20" s="2"/>
      <c r="N20" s="2"/>
      <c r="O20" s="2"/>
      <c r="P20" s="2"/>
      <c r="Q20" s="2"/>
      <c r="R20" s="2"/>
    </row>
    <row r="21" spans="1:18" hidden="1" outlineLevel="1">
      <c r="A21" s="2"/>
      <c r="B21" s="6" t="s">
        <v>489</v>
      </c>
      <c r="C21" s="6"/>
      <c r="D21" s="190">
        <f>D19*D22</f>
        <v>8.75</v>
      </c>
      <c r="E21" s="190">
        <f>$D19*E22</f>
        <v>10</v>
      </c>
      <c r="F21" s="190">
        <f>D19*F22</f>
        <v>11.25</v>
      </c>
      <c r="G21" s="190">
        <f>D19*G22</f>
        <v>12.5</v>
      </c>
      <c r="H21" s="190">
        <f>D19*H22</f>
        <v>13.750000000000002</v>
      </c>
      <c r="I21" s="190">
        <f>D19*I22</f>
        <v>15.000000000000002</v>
      </c>
      <c r="J21" s="190">
        <f>$D19*J22</f>
        <v>16.250000000000004</v>
      </c>
      <c r="K21" s="2"/>
      <c r="L21" s="2"/>
      <c r="M21" s="2"/>
      <c r="N21" s="2"/>
      <c r="O21" s="2"/>
      <c r="P21" s="2"/>
      <c r="Q21" s="2"/>
      <c r="R21" s="2"/>
    </row>
    <row r="22" spans="1:18" hidden="1" outlineLevel="1">
      <c r="A22" s="2"/>
      <c r="B22" s="6" t="s">
        <v>716</v>
      </c>
      <c r="C22" s="6"/>
      <c r="D22" s="21">
        <f>E22-0.1</f>
        <v>0.70000000000000007</v>
      </c>
      <c r="E22" s="21">
        <f>F22-0.1</f>
        <v>0.8</v>
      </c>
      <c r="F22" s="21">
        <f>G22-0.1</f>
        <v>0.9</v>
      </c>
      <c r="G22" s="21">
        <v>1</v>
      </c>
      <c r="H22" s="21">
        <f>G22+0.1</f>
        <v>1.1000000000000001</v>
      </c>
      <c r="I22" s="21">
        <f>H22+0.1</f>
        <v>1.2000000000000002</v>
      </c>
      <c r="J22" s="21">
        <f>I22+0.1</f>
        <v>1.3000000000000003</v>
      </c>
      <c r="K22" s="2"/>
      <c r="L22" s="2"/>
      <c r="M22" s="2"/>
      <c r="N22" s="2"/>
      <c r="O22" s="2"/>
      <c r="P22" s="2"/>
      <c r="Q22" s="2"/>
      <c r="R22" s="2"/>
    </row>
    <row r="23" spans="1:18" hidden="1" outlineLevel="1">
      <c r="A23" s="2"/>
      <c r="B23" s="2"/>
      <c r="C23" s="2"/>
      <c r="D23" s="191"/>
      <c r="E23" s="191"/>
      <c r="F23" s="191"/>
      <c r="G23" s="191"/>
      <c r="H23" s="191"/>
      <c r="I23" s="18"/>
      <c r="J23" s="18"/>
      <c r="K23" s="2"/>
      <c r="L23" s="2"/>
      <c r="M23" s="2"/>
      <c r="N23" s="2"/>
      <c r="O23" s="2"/>
      <c r="P23" s="2"/>
      <c r="Q23" s="2"/>
      <c r="R23" s="2"/>
    </row>
    <row r="24" spans="1:18" hidden="1" outlineLevel="1">
      <c r="A24" s="2"/>
      <c r="B24" s="2"/>
      <c r="C24" s="2"/>
      <c r="D24" s="192"/>
      <c r="E24" s="193"/>
      <c r="F24" s="193"/>
      <c r="G24" s="193"/>
      <c r="H24" s="193"/>
      <c r="I24" s="123"/>
      <c r="J24" s="123"/>
      <c r="K24" s="2"/>
      <c r="L24" s="2"/>
      <c r="M24" s="2"/>
      <c r="N24" s="2"/>
      <c r="O24" s="2"/>
      <c r="P24" s="2"/>
      <c r="Q24" s="2"/>
      <c r="R24" s="2"/>
    </row>
    <row r="25" spans="1:18" hidden="1" outlineLevel="1">
      <c r="A25" s="2"/>
      <c r="B25" s="6" t="s">
        <v>56</v>
      </c>
      <c r="C25" s="999">
        <f>C26-0.01</f>
        <v>0.26879713750604539</v>
      </c>
      <c r="D25" s="195">
        <f t="shared" ref="D25:J29" si="1">$C25*D$21</f>
        <v>2.3519749531778973</v>
      </c>
      <c r="E25" s="196">
        <f t="shared" si="1"/>
        <v>2.6879713750604539</v>
      </c>
      <c r="F25" s="196">
        <f t="shared" si="1"/>
        <v>3.0239677969430105</v>
      </c>
      <c r="G25" s="196">
        <f t="shared" si="1"/>
        <v>3.3599642188255672</v>
      </c>
      <c r="H25" s="196">
        <f t="shared" si="1"/>
        <v>3.6959606407081247</v>
      </c>
      <c r="I25" s="196">
        <f t="shared" si="1"/>
        <v>4.0319570625906813</v>
      </c>
      <c r="J25" s="196">
        <f t="shared" si="1"/>
        <v>4.3679534844732384</v>
      </c>
      <c r="K25" s="2"/>
      <c r="L25" s="2"/>
      <c r="M25" s="2"/>
      <c r="N25" s="2"/>
      <c r="O25" s="2"/>
      <c r="P25" s="2"/>
      <c r="Q25" s="2"/>
      <c r="R25" s="2"/>
    </row>
    <row r="26" spans="1:18" hidden="1" outlineLevel="1">
      <c r="A26" s="2"/>
      <c r="B26" s="6" t="s">
        <v>722</v>
      </c>
      <c r="C26" s="999">
        <f>C27-0.01</f>
        <v>0.2787971375060454</v>
      </c>
      <c r="D26" s="195">
        <f t="shared" si="1"/>
        <v>2.4394749531778972</v>
      </c>
      <c r="E26" s="196">
        <f t="shared" si="1"/>
        <v>2.787971375060454</v>
      </c>
      <c r="F26" s="196">
        <f t="shared" si="1"/>
        <v>3.1364677969430108</v>
      </c>
      <c r="G26" s="196">
        <f t="shared" si="1"/>
        <v>3.4849642188255676</v>
      </c>
      <c r="H26" s="196">
        <f t="shared" si="1"/>
        <v>3.8334606407081249</v>
      </c>
      <c r="I26" s="196">
        <f t="shared" si="1"/>
        <v>4.1819570625906817</v>
      </c>
      <c r="J26" s="196">
        <f t="shared" si="1"/>
        <v>4.5304534844732389</v>
      </c>
      <c r="K26" s="2"/>
      <c r="L26" s="2"/>
      <c r="M26" s="2"/>
      <c r="N26" s="2"/>
      <c r="O26" s="2"/>
      <c r="P26" s="2"/>
      <c r="Q26" s="2"/>
      <c r="R26" s="2"/>
    </row>
    <row r="27" spans="1:18" hidden="1" outlineLevel="1">
      <c r="A27" s="2"/>
      <c r="B27" s="6" t="s">
        <v>234</v>
      </c>
      <c r="C27" s="1000">
        <f>'P&amp;L'!P104/100</f>
        <v>0.28879713750604541</v>
      </c>
      <c r="D27" s="195">
        <f t="shared" si="1"/>
        <v>2.5269749531778976</v>
      </c>
      <c r="E27" s="196">
        <f t="shared" si="1"/>
        <v>2.8879713750604541</v>
      </c>
      <c r="F27" s="196">
        <f t="shared" si="1"/>
        <v>3.2489677969430106</v>
      </c>
      <c r="G27" s="194">
        <f t="shared" si="1"/>
        <v>3.6099642188255676</v>
      </c>
      <c r="H27" s="196">
        <f t="shared" si="1"/>
        <v>3.970960640708125</v>
      </c>
      <c r="I27" s="196">
        <f t="shared" si="1"/>
        <v>4.331957062590682</v>
      </c>
      <c r="J27" s="196">
        <f t="shared" si="1"/>
        <v>4.6929534844732386</v>
      </c>
      <c r="K27" s="2"/>
      <c r="L27" s="2"/>
      <c r="M27" s="2"/>
      <c r="N27" s="2"/>
      <c r="O27" s="2"/>
      <c r="P27" s="2"/>
      <c r="Q27" s="2"/>
      <c r="R27" s="2"/>
    </row>
    <row r="28" spans="1:18" hidden="1" outlineLevel="1">
      <c r="A28" s="2"/>
      <c r="B28" s="6"/>
      <c r="C28" s="999">
        <f>C27+0.01</f>
        <v>0.29879713750604542</v>
      </c>
      <c r="D28" s="195">
        <f t="shared" si="1"/>
        <v>2.6144749531778975</v>
      </c>
      <c r="E28" s="196">
        <f t="shared" si="1"/>
        <v>2.9879713750604542</v>
      </c>
      <c r="F28" s="196">
        <f t="shared" si="1"/>
        <v>3.3614677969430109</v>
      </c>
      <c r="G28" s="196">
        <f t="shared" si="1"/>
        <v>3.7349642188255676</v>
      </c>
      <c r="H28" s="196">
        <f t="shared" si="1"/>
        <v>4.1084606407081248</v>
      </c>
      <c r="I28" s="196">
        <f t="shared" si="1"/>
        <v>4.4819570625906815</v>
      </c>
      <c r="J28" s="196">
        <f t="shared" si="1"/>
        <v>4.8554534844732391</v>
      </c>
      <c r="K28" s="2"/>
      <c r="L28" s="2"/>
      <c r="M28" s="2"/>
      <c r="N28" s="2"/>
      <c r="O28" s="2"/>
      <c r="P28" s="2"/>
      <c r="Q28" s="2"/>
      <c r="R28" s="2"/>
    </row>
    <row r="29" spans="1:18" hidden="1" outlineLevel="1">
      <c r="A29" s="2"/>
      <c r="B29" s="2"/>
      <c r="C29" s="999">
        <f>C28+0.01</f>
        <v>0.30879713750604543</v>
      </c>
      <c r="D29" s="195">
        <f t="shared" si="1"/>
        <v>2.7019749531778974</v>
      </c>
      <c r="E29" s="196">
        <f t="shared" si="1"/>
        <v>3.0879713750604543</v>
      </c>
      <c r="F29" s="196">
        <f t="shared" si="1"/>
        <v>3.4739677969430112</v>
      </c>
      <c r="G29" s="196">
        <f t="shared" si="1"/>
        <v>3.8599642188255681</v>
      </c>
      <c r="H29" s="196">
        <f t="shared" si="1"/>
        <v>4.245960640708125</v>
      </c>
      <c r="I29" s="196">
        <f t="shared" si="1"/>
        <v>4.6319570625906819</v>
      </c>
      <c r="J29" s="196">
        <f t="shared" si="1"/>
        <v>5.0179534844732396</v>
      </c>
      <c r="K29" s="2"/>
      <c r="L29" s="2"/>
      <c r="M29" s="2"/>
      <c r="N29" s="2"/>
      <c r="O29" s="2"/>
      <c r="P29" s="2"/>
      <c r="Q29" s="2"/>
      <c r="R29" s="2"/>
    </row>
    <row r="30" spans="1:18" hidden="1" outlineLevel="1">
      <c r="A30" s="2"/>
      <c r="B30" s="2"/>
      <c r="C30" s="2"/>
      <c r="D30" s="2"/>
      <c r="E30" s="2"/>
      <c r="F30" s="2"/>
      <c r="G30" s="2"/>
      <c r="H30" s="2"/>
      <c r="I30" s="2"/>
      <c r="J30" s="2"/>
      <c r="K30" s="2"/>
      <c r="L30" s="2"/>
      <c r="M30" s="2"/>
      <c r="N30" s="2"/>
      <c r="O30" s="2"/>
      <c r="P30" s="2"/>
      <c r="Q30" s="2"/>
      <c r="R30" s="2"/>
    </row>
    <row r="31" spans="1:18" hidden="1" outlineLevel="1">
      <c r="A31" s="2"/>
      <c r="B31" s="6" t="s">
        <v>490</v>
      </c>
      <c r="C31" s="6"/>
      <c r="D31" s="188">
        <v>12.5</v>
      </c>
      <c r="E31" s="2"/>
      <c r="F31" s="2"/>
      <c r="G31" s="2"/>
      <c r="H31" s="2"/>
      <c r="I31" s="2"/>
      <c r="J31" s="2"/>
      <c r="K31" s="2"/>
      <c r="L31" s="2"/>
      <c r="M31" s="2"/>
      <c r="N31" s="2"/>
      <c r="O31" s="2"/>
      <c r="P31" s="2"/>
      <c r="Q31" s="2"/>
      <c r="R31" s="2"/>
    </row>
    <row r="32" spans="1:18" hidden="1" outlineLevel="1">
      <c r="A32" s="2"/>
      <c r="B32" s="2"/>
      <c r="C32" s="2"/>
      <c r="D32" s="2"/>
      <c r="E32" s="2"/>
      <c r="F32" s="2"/>
      <c r="G32" s="2"/>
      <c r="H32" s="2"/>
      <c r="I32" s="2"/>
      <c r="J32" s="2"/>
      <c r="K32" s="2"/>
      <c r="L32" s="2"/>
      <c r="M32" s="2"/>
      <c r="N32" s="2"/>
      <c r="O32" s="2"/>
      <c r="P32" s="2"/>
      <c r="Q32" s="2"/>
      <c r="R32" s="2"/>
    </row>
    <row r="33" spans="1:18" hidden="1" outlineLevel="1">
      <c r="A33" s="2"/>
      <c r="B33" s="6" t="s">
        <v>489</v>
      </c>
      <c r="C33" s="6"/>
      <c r="D33" s="197">
        <f>D31*D34</f>
        <v>9.3750000000000018</v>
      </c>
      <c r="E33" s="197">
        <f>D31*E34</f>
        <v>10.625000000000002</v>
      </c>
      <c r="F33" s="197">
        <f>D31*F34</f>
        <v>11.875</v>
      </c>
      <c r="G33" s="197">
        <f>D31*G34</f>
        <v>13.125</v>
      </c>
      <c r="H33" s="197">
        <f>D31*H34</f>
        <v>14.375000000000002</v>
      </c>
      <c r="I33" s="197">
        <f>D31*I34</f>
        <v>15.625000000000004</v>
      </c>
      <c r="J33" s="197">
        <f>D31*J34</f>
        <v>16.875000000000004</v>
      </c>
      <c r="K33" s="2"/>
      <c r="L33" s="2"/>
      <c r="M33" s="2"/>
      <c r="N33" s="2"/>
      <c r="O33" s="2"/>
      <c r="P33" s="2"/>
      <c r="Q33" s="2"/>
      <c r="R33" s="2"/>
    </row>
    <row r="34" spans="1:18" hidden="1" outlineLevel="1">
      <c r="A34" s="2"/>
      <c r="B34" s="6" t="s">
        <v>716</v>
      </c>
      <c r="C34" s="6"/>
      <c r="D34" s="21">
        <f>E34-0.1</f>
        <v>0.75000000000000011</v>
      </c>
      <c r="E34" s="21">
        <f>F34-0.1</f>
        <v>0.85000000000000009</v>
      </c>
      <c r="F34" s="21">
        <f>G34-0.1</f>
        <v>0.95000000000000007</v>
      </c>
      <c r="G34" s="21">
        <v>1.05</v>
      </c>
      <c r="H34" s="21">
        <f>G34+0.1</f>
        <v>1.1500000000000001</v>
      </c>
      <c r="I34" s="21">
        <f>H34+0.1</f>
        <v>1.2500000000000002</v>
      </c>
      <c r="J34" s="21">
        <f>I34+0.1</f>
        <v>1.3500000000000003</v>
      </c>
      <c r="K34" s="2"/>
      <c r="L34" s="2"/>
      <c r="M34" s="2"/>
      <c r="N34" s="2"/>
      <c r="O34" s="2"/>
      <c r="P34" s="2"/>
      <c r="Q34" s="2"/>
      <c r="R34" s="2"/>
    </row>
    <row r="35" spans="1:18" hidden="1" outlineLevel="1">
      <c r="A35" s="2"/>
      <c r="B35" s="2"/>
      <c r="C35" s="2"/>
      <c r="D35" s="191"/>
      <c r="E35" s="191"/>
      <c r="F35" s="191"/>
      <c r="G35" s="191"/>
      <c r="H35" s="191"/>
      <c r="I35" s="18"/>
      <c r="J35" s="18"/>
      <c r="K35" s="2"/>
      <c r="L35" s="2"/>
      <c r="M35" s="2"/>
      <c r="N35" s="2"/>
      <c r="O35" s="2"/>
      <c r="P35" s="2"/>
      <c r="Q35" s="2"/>
      <c r="R35" s="2"/>
    </row>
    <row r="36" spans="1:18" hidden="1" outlineLevel="1">
      <c r="A36" s="2"/>
      <c r="B36" s="2"/>
      <c r="C36" s="2"/>
      <c r="D36" s="192"/>
      <c r="E36" s="193"/>
      <c r="F36" s="193"/>
      <c r="G36" s="193"/>
      <c r="H36" s="193"/>
      <c r="I36" s="123"/>
      <c r="J36" s="123"/>
      <c r="K36" s="2"/>
      <c r="L36" s="2"/>
      <c r="M36" s="2"/>
      <c r="N36" s="2"/>
      <c r="O36" s="2"/>
      <c r="P36" s="2"/>
      <c r="Q36" s="2"/>
      <c r="R36" s="2"/>
    </row>
    <row r="37" spans="1:18" hidden="1" outlineLevel="1">
      <c r="A37" s="2"/>
      <c r="B37" s="6" t="s">
        <v>56</v>
      </c>
      <c r="C37" s="999">
        <f>C38-0.01</f>
        <v>0.29493936556845135</v>
      </c>
      <c r="D37" s="195">
        <f t="shared" ref="D37:J41" si="2">$C37*D$33</f>
        <v>2.7650565522042321</v>
      </c>
      <c r="E37" s="196">
        <f t="shared" si="2"/>
        <v>3.1337307591647963</v>
      </c>
      <c r="F37" s="196">
        <f t="shared" si="2"/>
        <v>3.5024049661253596</v>
      </c>
      <c r="G37" s="196">
        <f t="shared" si="2"/>
        <v>3.8710791730859242</v>
      </c>
      <c r="H37" s="196">
        <f t="shared" si="2"/>
        <v>4.2397533800464888</v>
      </c>
      <c r="I37" s="196">
        <f t="shared" si="2"/>
        <v>4.6084275870070535</v>
      </c>
      <c r="J37" s="196">
        <f t="shared" si="2"/>
        <v>4.9771017939676172</v>
      </c>
      <c r="K37" s="2"/>
      <c r="L37" s="2"/>
      <c r="M37" s="2"/>
      <c r="N37" s="2"/>
      <c r="O37" s="2"/>
      <c r="P37" s="2"/>
      <c r="Q37" s="2"/>
      <c r="R37" s="2"/>
    </row>
    <row r="38" spans="1:18" hidden="1" outlineLevel="1">
      <c r="A38" s="2"/>
      <c r="B38" s="6" t="s">
        <v>723</v>
      </c>
      <c r="C38" s="999">
        <f>C39-0.01</f>
        <v>0.30493936556845136</v>
      </c>
      <c r="D38" s="195">
        <f t="shared" si="2"/>
        <v>2.8588065522042321</v>
      </c>
      <c r="E38" s="196">
        <f t="shared" si="2"/>
        <v>3.2399807591647964</v>
      </c>
      <c r="F38" s="196">
        <f t="shared" si="2"/>
        <v>3.6211549661253599</v>
      </c>
      <c r="G38" s="196">
        <f t="shared" si="2"/>
        <v>4.0023291730859238</v>
      </c>
      <c r="H38" s="196">
        <f t="shared" si="2"/>
        <v>4.3835033800464887</v>
      </c>
      <c r="I38" s="196">
        <f t="shared" si="2"/>
        <v>4.7646775870070535</v>
      </c>
      <c r="J38" s="196">
        <f t="shared" si="2"/>
        <v>5.1458517939676174</v>
      </c>
      <c r="K38" s="2"/>
      <c r="L38" s="2"/>
      <c r="M38" s="2"/>
      <c r="N38" s="2"/>
      <c r="O38" s="2"/>
      <c r="P38" s="2"/>
      <c r="Q38" s="2"/>
      <c r="R38" s="2"/>
    </row>
    <row r="39" spans="1:18" hidden="1" outlineLevel="1">
      <c r="A39" s="2"/>
      <c r="B39" s="6" t="s">
        <v>234</v>
      </c>
      <c r="C39" s="1000">
        <f>'P&amp;L'!Q104/100</f>
        <v>0.31493936556845137</v>
      </c>
      <c r="D39" s="195">
        <f t="shared" si="2"/>
        <v>2.9525565522042321</v>
      </c>
      <c r="E39" s="196">
        <f t="shared" si="2"/>
        <v>3.3462307591647962</v>
      </c>
      <c r="F39" s="196">
        <f t="shared" si="2"/>
        <v>3.7399049661253598</v>
      </c>
      <c r="G39" s="194">
        <f t="shared" si="2"/>
        <v>4.1335791730859244</v>
      </c>
      <c r="H39" s="196">
        <f t="shared" si="2"/>
        <v>4.5272533800464894</v>
      </c>
      <c r="I39" s="196">
        <f t="shared" si="2"/>
        <v>4.9209275870070535</v>
      </c>
      <c r="J39" s="196">
        <f t="shared" si="2"/>
        <v>5.3146017939676176</v>
      </c>
      <c r="K39" s="2"/>
      <c r="L39" s="2"/>
      <c r="M39" s="2"/>
      <c r="N39" s="2"/>
      <c r="O39" s="2"/>
      <c r="P39" s="2"/>
      <c r="Q39" s="2"/>
      <c r="R39" s="2"/>
    </row>
    <row r="40" spans="1:18" hidden="1" outlineLevel="1">
      <c r="A40" s="2"/>
      <c r="B40" s="6"/>
      <c r="C40" s="999">
        <f>C39+0.01</f>
        <v>0.32493936556845138</v>
      </c>
      <c r="D40" s="195">
        <f t="shared" si="2"/>
        <v>3.0463065522042321</v>
      </c>
      <c r="E40" s="196">
        <f t="shared" si="2"/>
        <v>3.4524807591647964</v>
      </c>
      <c r="F40" s="196">
        <f t="shared" si="2"/>
        <v>3.8586549661253602</v>
      </c>
      <c r="G40" s="196">
        <f t="shared" si="2"/>
        <v>4.264829173085924</v>
      </c>
      <c r="H40" s="196">
        <f t="shared" si="2"/>
        <v>4.6710033800464892</v>
      </c>
      <c r="I40" s="196">
        <f t="shared" si="2"/>
        <v>5.0771775870070543</v>
      </c>
      <c r="J40" s="196">
        <f t="shared" si="2"/>
        <v>5.4833517939676177</v>
      </c>
      <c r="K40" s="2"/>
      <c r="L40" s="2"/>
      <c r="M40" s="2"/>
      <c r="N40" s="2"/>
      <c r="O40" s="2"/>
      <c r="P40" s="2"/>
      <c r="Q40" s="2"/>
      <c r="R40" s="2"/>
    </row>
    <row r="41" spans="1:18" hidden="1" outlineLevel="1">
      <c r="A41" s="2"/>
      <c r="B41" s="2"/>
      <c r="C41" s="999">
        <f>C40+0.01</f>
        <v>0.33493936556845139</v>
      </c>
      <c r="D41" s="195">
        <f t="shared" si="2"/>
        <v>3.1400565522042325</v>
      </c>
      <c r="E41" s="196">
        <f t="shared" si="2"/>
        <v>3.5587307591647965</v>
      </c>
      <c r="F41" s="196">
        <f t="shared" si="2"/>
        <v>3.9774049661253601</v>
      </c>
      <c r="G41" s="196">
        <f t="shared" si="2"/>
        <v>4.3960791730859246</v>
      </c>
      <c r="H41" s="196">
        <f t="shared" si="2"/>
        <v>4.814753380046489</v>
      </c>
      <c r="I41" s="196">
        <f t="shared" si="2"/>
        <v>5.2334275870070543</v>
      </c>
      <c r="J41" s="196">
        <f t="shared" si="2"/>
        <v>5.6521017939676179</v>
      </c>
      <c r="K41" s="2"/>
      <c r="L41" s="2"/>
      <c r="M41" s="2"/>
      <c r="N41" s="2"/>
      <c r="O41" s="2"/>
      <c r="P41" s="2"/>
      <c r="Q41" s="2"/>
      <c r="R41" s="2"/>
    </row>
    <row r="42" spans="1:18" hidden="1" outlineLevel="1">
      <c r="A42" s="2"/>
      <c r="B42" s="2"/>
      <c r="C42" s="2"/>
      <c r="D42" s="2"/>
      <c r="E42" s="2"/>
      <c r="F42" s="2"/>
      <c r="G42" s="2"/>
      <c r="H42" s="2"/>
      <c r="I42" s="2"/>
      <c r="J42" s="2"/>
      <c r="K42" s="2"/>
      <c r="L42" s="2"/>
      <c r="M42" s="2"/>
      <c r="N42" s="2"/>
      <c r="O42" s="2"/>
      <c r="P42" s="2"/>
      <c r="Q42" s="2"/>
      <c r="R42" s="2"/>
    </row>
    <row r="43" spans="1:18" hidden="1" outlineLevel="1">
      <c r="A43" s="2"/>
      <c r="B43" s="2"/>
      <c r="C43" s="2"/>
      <c r="D43" s="2"/>
      <c r="E43" s="2"/>
      <c r="F43" s="2"/>
      <c r="G43" s="2"/>
      <c r="H43" s="2"/>
      <c r="I43" s="2"/>
      <c r="J43" s="2"/>
      <c r="K43" s="2"/>
      <c r="L43" s="2"/>
      <c r="M43" s="2"/>
      <c r="N43" s="2"/>
      <c r="O43" s="2"/>
      <c r="P43" s="2"/>
      <c r="Q43" s="2"/>
      <c r="R43" s="2"/>
    </row>
    <row r="44" spans="1:18" hidden="1" outlineLevel="1">
      <c r="A44" s="2"/>
      <c r="B44" s="6" t="s">
        <v>555</v>
      </c>
      <c r="C44" s="6"/>
      <c r="D44" s="188">
        <v>14</v>
      </c>
      <c r="E44" s="2"/>
      <c r="F44" s="2"/>
      <c r="G44" s="2"/>
      <c r="H44" s="2"/>
      <c r="I44" s="2"/>
      <c r="J44" s="2"/>
      <c r="K44" s="2"/>
      <c r="L44" s="2"/>
      <c r="M44" s="2"/>
      <c r="N44" s="2"/>
      <c r="O44" s="2"/>
      <c r="P44" s="2"/>
      <c r="Q44" s="2"/>
      <c r="R44" s="2"/>
    </row>
    <row r="45" spans="1:18" hidden="1" outlineLevel="1">
      <c r="A45" s="2"/>
      <c r="B45" s="2"/>
      <c r="C45" s="2"/>
      <c r="D45" s="2"/>
      <c r="E45" s="2"/>
      <c r="F45" s="2"/>
      <c r="G45" s="2"/>
      <c r="H45" s="2"/>
      <c r="I45" s="2"/>
      <c r="J45" s="2"/>
      <c r="K45" s="2"/>
      <c r="L45" s="2"/>
      <c r="M45" s="2"/>
      <c r="N45" s="2"/>
      <c r="O45" s="2"/>
      <c r="P45" s="2"/>
      <c r="Q45" s="2"/>
      <c r="R45" s="2"/>
    </row>
    <row r="46" spans="1:18" hidden="1" outlineLevel="1">
      <c r="A46" s="2"/>
      <c r="B46" s="6" t="s">
        <v>489</v>
      </c>
      <c r="C46" s="6"/>
      <c r="D46" s="197">
        <f>D44*D47</f>
        <v>10.500000000000002</v>
      </c>
      <c r="E46" s="197">
        <f>D44*E47</f>
        <v>11.900000000000002</v>
      </c>
      <c r="F46" s="197">
        <f>D44*F47</f>
        <v>13.3</v>
      </c>
      <c r="G46" s="197">
        <f>D44*G47</f>
        <v>14.700000000000001</v>
      </c>
      <c r="H46" s="197">
        <f>D44*H47</f>
        <v>16.100000000000001</v>
      </c>
      <c r="I46" s="197">
        <f>D44*I47</f>
        <v>17.500000000000004</v>
      </c>
      <c r="J46" s="197">
        <f>D44*J47</f>
        <v>18.900000000000006</v>
      </c>
      <c r="K46" s="2"/>
      <c r="L46" s="2"/>
      <c r="M46" s="2"/>
      <c r="N46" s="2"/>
      <c r="O46" s="2"/>
      <c r="P46" s="2"/>
      <c r="Q46" s="2"/>
      <c r="R46" s="2"/>
    </row>
    <row r="47" spans="1:18" hidden="1" outlineLevel="1">
      <c r="A47" s="2"/>
      <c r="B47" s="6" t="s">
        <v>716</v>
      </c>
      <c r="C47" s="6"/>
      <c r="D47" s="21">
        <f>E47-0.1</f>
        <v>0.75000000000000011</v>
      </c>
      <c r="E47" s="21">
        <f>F47-0.1</f>
        <v>0.85000000000000009</v>
      </c>
      <c r="F47" s="21">
        <f>G47-0.1</f>
        <v>0.95000000000000007</v>
      </c>
      <c r="G47" s="21">
        <v>1.05</v>
      </c>
      <c r="H47" s="21">
        <f>G47+0.1</f>
        <v>1.1500000000000001</v>
      </c>
      <c r="I47" s="21">
        <f>H47+0.1</f>
        <v>1.2500000000000002</v>
      </c>
      <c r="J47" s="21">
        <f>I47+0.1</f>
        <v>1.3500000000000003</v>
      </c>
      <c r="K47" s="2"/>
      <c r="L47" s="2"/>
      <c r="M47" s="2"/>
      <c r="N47" s="2"/>
      <c r="O47" s="2"/>
      <c r="P47" s="2"/>
      <c r="Q47" s="2"/>
      <c r="R47" s="2"/>
    </row>
    <row r="48" spans="1:18" hidden="1" outlineLevel="1">
      <c r="A48" s="2"/>
      <c r="B48" s="2"/>
      <c r="C48" s="2"/>
      <c r="D48" s="191"/>
      <c r="E48" s="191"/>
      <c r="F48" s="191"/>
      <c r="G48" s="191"/>
      <c r="H48" s="191"/>
      <c r="I48" s="18"/>
      <c r="J48" s="18"/>
      <c r="K48" s="2"/>
      <c r="L48" s="2"/>
      <c r="M48" s="2"/>
      <c r="N48" s="2"/>
      <c r="O48" s="2"/>
      <c r="P48" s="2"/>
      <c r="Q48" s="2"/>
      <c r="R48" s="2"/>
    </row>
    <row r="49" spans="1:18" hidden="1" outlineLevel="1">
      <c r="A49" s="2"/>
      <c r="B49" s="2"/>
      <c r="C49" s="2"/>
      <c r="D49" s="192"/>
      <c r="E49" s="193"/>
      <c r="F49" s="193"/>
      <c r="G49" s="193"/>
      <c r="H49" s="193"/>
      <c r="I49" s="123"/>
      <c r="J49" s="123"/>
      <c r="K49" s="2"/>
      <c r="L49" s="2"/>
      <c r="M49" s="2"/>
      <c r="N49" s="2"/>
      <c r="O49" s="2"/>
      <c r="P49" s="2"/>
      <c r="Q49" s="2"/>
      <c r="R49" s="2"/>
    </row>
    <row r="50" spans="1:18" hidden="1" outlineLevel="1">
      <c r="A50" s="2"/>
      <c r="B50" s="6" t="s">
        <v>56</v>
      </c>
      <c r="C50" s="999">
        <f>C51-0.01</f>
        <v>0.3425552430695058</v>
      </c>
      <c r="D50" s="195">
        <f t="shared" ref="D50:F54" si="3">$C50*D$46</f>
        <v>3.5968300522298113</v>
      </c>
      <c r="E50" s="196">
        <f t="shared" si="3"/>
        <v>4.0764073925271198</v>
      </c>
      <c r="F50" s="196">
        <f t="shared" si="3"/>
        <v>4.5559847328244274</v>
      </c>
      <c r="G50" s="196">
        <f>$C50*G$46</f>
        <v>5.0355620731217359</v>
      </c>
      <c r="H50" s="196">
        <f t="shared" ref="H50:J54" si="4">$C50*H$46</f>
        <v>5.5151394134190435</v>
      </c>
      <c r="I50" s="196">
        <f t="shared" si="4"/>
        <v>5.9947167537163528</v>
      </c>
      <c r="J50" s="196">
        <f t="shared" si="4"/>
        <v>6.4742940940136613</v>
      </c>
      <c r="K50" s="2"/>
      <c r="L50" s="2"/>
      <c r="M50" s="2"/>
      <c r="N50" s="2"/>
      <c r="O50" s="2"/>
      <c r="P50" s="2"/>
      <c r="Q50" s="2"/>
      <c r="R50" s="2"/>
    </row>
    <row r="51" spans="1:18" hidden="1" outlineLevel="1">
      <c r="A51" s="2"/>
      <c r="B51" s="6" t="s">
        <v>724</v>
      </c>
      <c r="C51" s="999">
        <f>C52-0.01</f>
        <v>0.35255524306950581</v>
      </c>
      <c r="D51" s="195">
        <f t="shared" si="3"/>
        <v>3.7018300522298118</v>
      </c>
      <c r="E51" s="196">
        <f t="shared" si="3"/>
        <v>4.1954073925271196</v>
      </c>
      <c r="F51" s="196">
        <f t="shared" si="3"/>
        <v>4.6889847328244274</v>
      </c>
      <c r="G51" s="196">
        <f>$C51*G$46</f>
        <v>5.1825620731217361</v>
      </c>
      <c r="H51" s="196">
        <f t="shared" si="4"/>
        <v>5.6761394134190439</v>
      </c>
      <c r="I51" s="196">
        <f t="shared" si="4"/>
        <v>6.1697167537163526</v>
      </c>
      <c r="J51" s="196">
        <f t="shared" si="4"/>
        <v>6.6632940940136614</v>
      </c>
      <c r="K51" s="2"/>
      <c r="L51" s="2"/>
      <c r="M51" s="2"/>
      <c r="N51" s="2"/>
      <c r="O51" s="2"/>
      <c r="P51" s="2"/>
      <c r="Q51" s="2"/>
      <c r="R51" s="2"/>
    </row>
    <row r="52" spans="1:18" hidden="1" outlineLevel="1">
      <c r="A52" s="2"/>
      <c r="B52" s="6" t="s">
        <v>234</v>
      </c>
      <c r="C52" s="1000">
        <f>'P&amp;L'!R104/100</f>
        <v>0.36255524306950582</v>
      </c>
      <c r="D52" s="195">
        <f t="shared" si="3"/>
        <v>3.8068300522298117</v>
      </c>
      <c r="E52" s="196">
        <f t="shared" si="3"/>
        <v>4.3144073925271202</v>
      </c>
      <c r="F52" s="196">
        <f t="shared" si="3"/>
        <v>4.8219847328244274</v>
      </c>
      <c r="G52" s="194">
        <f>$C52*G$46</f>
        <v>5.3295620731217355</v>
      </c>
      <c r="H52" s="196">
        <f t="shared" si="4"/>
        <v>5.8371394134190444</v>
      </c>
      <c r="I52" s="196">
        <f t="shared" si="4"/>
        <v>6.3447167537163534</v>
      </c>
      <c r="J52" s="196">
        <f t="shared" si="4"/>
        <v>6.8522940940136623</v>
      </c>
      <c r="K52" s="2"/>
      <c r="L52" s="2"/>
      <c r="M52" s="2"/>
      <c r="N52" s="2"/>
      <c r="O52" s="2"/>
      <c r="P52" s="2"/>
      <c r="Q52" s="2"/>
      <c r="R52" s="2"/>
    </row>
    <row r="53" spans="1:18" hidden="1" outlineLevel="1">
      <c r="A53" s="2"/>
      <c r="B53" s="6"/>
      <c r="C53" s="999">
        <f>C52+0.01</f>
        <v>0.37255524306950583</v>
      </c>
      <c r="D53" s="195">
        <f t="shared" si="3"/>
        <v>3.9118300522298117</v>
      </c>
      <c r="E53" s="196">
        <f t="shared" si="3"/>
        <v>4.43340739252712</v>
      </c>
      <c r="F53" s="196">
        <f t="shared" si="3"/>
        <v>4.9549847328244274</v>
      </c>
      <c r="G53" s="196">
        <f>$C53*G$46</f>
        <v>5.4765620731217357</v>
      </c>
      <c r="H53" s="196">
        <f t="shared" si="4"/>
        <v>5.998139413419044</v>
      </c>
      <c r="I53" s="196">
        <f t="shared" si="4"/>
        <v>6.5197167537163532</v>
      </c>
      <c r="J53" s="196">
        <f t="shared" si="4"/>
        <v>7.0412940940136624</v>
      </c>
      <c r="K53" s="2"/>
      <c r="L53" s="2"/>
      <c r="M53" s="2"/>
      <c r="N53" s="2"/>
      <c r="O53" s="2"/>
      <c r="P53" s="2"/>
      <c r="Q53" s="2"/>
      <c r="R53" s="2"/>
    </row>
    <row r="54" spans="1:18" hidden="1" outlineLevel="1">
      <c r="A54" s="2"/>
      <c r="B54" s="2"/>
      <c r="C54" s="999">
        <f>C53+0.01</f>
        <v>0.38255524306950583</v>
      </c>
      <c r="D54" s="195">
        <f t="shared" si="3"/>
        <v>4.0168300522298122</v>
      </c>
      <c r="E54" s="196">
        <f t="shared" si="3"/>
        <v>4.5524073925271207</v>
      </c>
      <c r="F54" s="196">
        <f t="shared" si="3"/>
        <v>5.0879847328244283</v>
      </c>
      <c r="G54" s="196">
        <f>$C54*G$46</f>
        <v>5.6235620731217359</v>
      </c>
      <c r="H54" s="196">
        <f t="shared" si="4"/>
        <v>6.1591394134190445</v>
      </c>
      <c r="I54" s="196">
        <f t="shared" si="4"/>
        <v>6.6947167537163539</v>
      </c>
      <c r="J54" s="196">
        <f t="shared" si="4"/>
        <v>7.2302940940136624</v>
      </c>
      <c r="K54" s="2"/>
      <c r="L54" s="2"/>
      <c r="M54" s="2"/>
      <c r="N54" s="2"/>
      <c r="O54" s="2"/>
      <c r="P54" s="2"/>
      <c r="Q54" s="2"/>
      <c r="R54" s="2"/>
    </row>
    <row r="55" spans="1:18" hidden="1" outlineLevel="1">
      <c r="A55" s="2"/>
      <c r="B55" s="2"/>
      <c r="C55" s="2"/>
      <c r="D55" s="2"/>
      <c r="E55" s="2"/>
      <c r="F55" s="2"/>
      <c r="G55" s="2"/>
      <c r="H55" s="2"/>
      <c r="I55" s="2"/>
      <c r="J55" s="2"/>
      <c r="K55" s="2"/>
      <c r="L55" s="2"/>
      <c r="M55" s="2"/>
      <c r="N55" s="2"/>
      <c r="O55" s="2"/>
      <c r="P55" s="2"/>
      <c r="Q55" s="2"/>
      <c r="R55" s="2"/>
    </row>
    <row r="56" spans="1:18" hidden="1" outlineLevel="1">
      <c r="A56" s="2"/>
      <c r="B56" s="2"/>
      <c r="C56" s="2"/>
      <c r="D56" s="2"/>
      <c r="E56" s="2"/>
      <c r="F56" s="2"/>
      <c r="G56" s="2"/>
      <c r="H56" s="2"/>
      <c r="I56" s="2"/>
      <c r="J56" s="2"/>
      <c r="K56" s="2"/>
      <c r="L56" s="2"/>
      <c r="M56" s="2"/>
      <c r="N56" s="2"/>
      <c r="O56" s="2"/>
      <c r="P56" s="2"/>
      <c r="Q56" s="2"/>
      <c r="R56" s="2"/>
    </row>
    <row r="57" spans="1:18" hidden="1" outlineLevel="1">
      <c r="A57" s="2"/>
      <c r="B57" s="6" t="s">
        <v>90</v>
      </c>
      <c r="C57" s="6"/>
      <c r="D57" s="2"/>
      <c r="E57" s="188">
        <v>14</v>
      </c>
      <c r="F57" s="2"/>
      <c r="G57" s="2"/>
      <c r="H57" s="2"/>
      <c r="I57" s="2"/>
      <c r="J57" s="2"/>
      <c r="K57" s="2"/>
      <c r="L57" s="2"/>
      <c r="M57" s="2"/>
      <c r="N57" s="2"/>
      <c r="O57" s="2"/>
      <c r="P57" s="2"/>
      <c r="Q57" s="2"/>
      <c r="R57" s="2"/>
    </row>
    <row r="58" spans="1:18" hidden="1" outlineLevel="1">
      <c r="A58" s="2"/>
      <c r="B58" s="2"/>
      <c r="C58" s="2"/>
      <c r="D58" s="2"/>
      <c r="E58" s="2"/>
      <c r="F58" s="2"/>
      <c r="G58" s="2"/>
      <c r="H58" s="2"/>
      <c r="I58" s="2"/>
      <c r="J58" s="2"/>
      <c r="K58" s="2"/>
      <c r="L58" s="2"/>
      <c r="M58" s="2"/>
      <c r="N58" s="2"/>
      <c r="O58" s="2"/>
      <c r="P58" s="2"/>
      <c r="Q58" s="2"/>
      <c r="R58" s="2"/>
    </row>
    <row r="59" spans="1:18" hidden="1" outlineLevel="1">
      <c r="A59" s="2"/>
      <c r="B59" s="6" t="s">
        <v>489</v>
      </c>
      <c r="C59" s="6"/>
      <c r="D59" s="190">
        <f>E57*D60</f>
        <v>10.500000000000002</v>
      </c>
      <c r="E59" s="190">
        <f>E57*E60</f>
        <v>11.900000000000002</v>
      </c>
      <c r="F59" s="190">
        <f>E57*F60</f>
        <v>13.3</v>
      </c>
      <c r="G59" s="190">
        <f>E57*G60</f>
        <v>14.700000000000001</v>
      </c>
      <c r="H59" s="190">
        <f>E57*H60</f>
        <v>16.100000000000001</v>
      </c>
      <c r="I59" s="190">
        <f>E57*I60</f>
        <v>17.500000000000004</v>
      </c>
      <c r="J59" s="190">
        <f>E57*J60</f>
        <v>18.900000000000006</v>
      </c>
      <c r="K59" s="190"/>
      <c r="L59" s="190"/>
      <c r="M59" s="190"/>
      <c r="N59" s="190"/>
      <c r="O59" s="190"/>
      <c r="P59" s="190"/>
      <c r="Q59" s="190"/>
      <c r="R59" s="190"/>
    </row>
    <row r="60" spans="1:18" hidden="1" outlineLevel="1">
      <c r="A60" s="2"/>
      <c r="B60" s="6" t="s">
        <v>716</v>
      </c>
      <c r="C60" s="6"/>
      <c r="D60" s="21">
        <f>E60-0.1</f>
        <v>0.75000000000000011</v>
      </c>
      <c r="E60" s="21">
        <f>F60-0.1</f>
        <v>0.85000000000000009</v>
      </c>
      <c r="F60" s="21">
        <f>G60-0.1</f>
        <v>0.95000000000000007</v>
      </c>
      <c r="G60" s="21">
        <v>1.05</v>
      </c>
      <c r="H60" s="21">
        <f>G60+0.1</f>
        <v>1.1500000000000001</v>
      </c>
      <c r="I60" s="21">
        <f>H60+0.1</f>
        <v>1.2500000000000002</v>
      </c>
      <c r="J60" s="21">
        <f>I60+0.1</f>
        <v>1.3500000000000003</v>
      </c>
      <c r="K60" s="21"/>
      <c r="L60" s="21"/>
      <c r="M60" s="21"/>
      <c r="N60" s="21"/>
      <c r="O60" s="21"/>
      <c r="P60" s="21"/>
      <c r="Q60" s="21"/>
      <c r="R60" s="21"/>
    </row>
    <row r="61" spans="1:18" hidden="1" outlineLevel="1">
      <c r="A61" s="2"/>
      <c r="B61" s="2"/>
      <c r="C61" s="2"/>
      <c r="D61" s="191"/>
      <c r="E61" s="191"/>
      <c r="F61" s="191"/>
      <c r="G61" s="191"/>
      <c r="H61" s="191"/>
      <c r="I61" s="18"/>
      <c r="J61" s="18"/>
      <c r="K61" s="191"/>
      <c r="L61" s="191"/>
      <c r="M61" s="18"/>
      <c r="N61" s="18"/>
      <c r="O61" s="18"/>
      <c r="P61" s="18"/>
      <c r="Q61" s="18"/>
      <c r="R61" s="18"/>
    </row>
    <row r="62" spans="1:18" hidden="1" outlineLevel="1">
      <c r="A62" s="2"/>
      <c r="B62" s="2"/>
      <c r="C62" s="2"/>
      <c r="D62" s="192"/>
      <c r="E62" s="193"/>
      <c r="F62" s="193"/>
      <c r="G62" s="193"/>
      <c r="H62" s="193"/>
      <c r="I62" s="123"/>
      <c r="J62" s="123"/>
      <c r="K62" s="191"/>
      <c r="L62" s="191"/>
      <c r="M62" s="18"/>
      <c r="N62" s="18"/>
      <c r="O62" s="18"/>
      <c r="P62" s="18"/>
      <c r="Q62" s="18"/>
      <c r="R62" s="18"/>
    </row>
    <row r="63" spans="1:18" hidden="1" outlineLevel="1">
      <c r="A63" s="2"/>
      <c r="B63" s="2"/>
      <c r="C63" s="1001">
        <f>C64-0.01</f>
        <v>0.29646579804560258</v>
      </c>
      <c r="D63" s="196">
        <f t="shared" ref="D63:G69" si="5">$C63*D$59</f>
        <v>3.1128908794788277</v>
      </c>
      <c r="E63" s="196">
        <f t="shared" si="5"/>
        <v>3.5279429967426714</v>
      </c>
      <c r="F63" s="196">
        <f t="shared" si="5"/>
        <v>3.9429951140065147</v>
      </c>
      <c r="G63" s="196">
        <f t="shared" si="5"/>
        <v>4.3580472312703584</v>
      </c>
      <c r="H63" s="196">
        <f t="shared" ref="H63:J69" si="6">$C63*H$59</f>
        <v>4.7730993485342017</v>
      </c>
      <c r="I63" s="196">
        <f t="shared" si="6"/>
        <v>5.1881514657980459</v>
      </c>
      <c r="J63" s="196">
        <f t="shared" si="6"/>
        <v>5.60320358306189</v>
      </c>
      <c r="K63" s="191"/>
      <c r="L63" s="191"/>
      <c r="M63" s="18"/>
      <c r="N63" s="18"/>
      <c r="O63" s="18"/>
      <c r="P63" s="18"/>
      <c r="Q63" s="18"/>
      <c r="R63" s="18"/>
    </row>
    <row r="64" spans="1:18" hidden="1" outlineLevel="1">
      <c r="A64" s="2"/>
      <c r="B64" s="6" t="s">
        <v>56</v>
      </c>
      <c r="C64" s="1001">
        <f>C65-0.01</f>
        <v>0.30646579804560259</v>
      </c>
      <c r="D64" s="196">
        <f t="shared" si="5"/>
        <v>3.2178908794788277</v>
      </c>
      <c r="E64" s="196">
        <f t="shared" si="5"/>
        <v>3.6469429967426716</v>
      </c>
      <c r="F64" s="196">
        <f t="shared" si="5"/>
        <v>4.0759951140065143</v>
      </c>
      <c r="G64" s="196">
        <f t="shared" si="5"/>
        <v>4.5050472312703587</v>
      </c>
      <c r="H64" s="196">
        <f t="shared" si="6"/>
        <v>4.9340993485342022</v>
      </c>
      <c r="I64" s="196">
        <f t="shared" si="6"/>
        <v>5.3631514657980466</v>
      </c>
      <c r="J64" s="196">
        <f t="shared" si="6"/>
        <v>5.792203583061891</v>
      </c>
      <c r="K64" s="196"/>
      <c r="L64" s="196"/>
      <c r="M64" s="196"/>
      <c r="N64" s="196"/>
      <c r="O64" s="196"/>
      <c r="P64" s="196"/>
      <c r="Q64" s="196"/>
      <c r="R64" s="196"/>
    </row>
    <row r="65" spans="1:18" hidden="1" outlineLevel="1">
      <c r="A65" s="2"/>
      <c r="B65" s="6" t="s">
        <v>725</v>
      </c>
      <c r="C65" s="1001">
        <f>C66-0.01</f>
        <v>0.3164657980456026</v>
      </c>
      <c r="D65" s="196">
        <f t="shared" si="5"/>
        <v>3.3228908794788277</v>
      </c>
      <c r="E65" s="196">
        <f t="shared" si="5"/>
        <v>3.7659429967426714</v>
      </c>
      <c r="F65" s="196">
        <f t="shared" si="5"/>
        <v>4.2089951140065152</v>
      </c>
      <c r="G65" s="196">
        <f t="shared" si="5"/>
        <v>4.6520472312703589</v>
      </c>
      <c r="H65" s="196">
        <f t="shared" si="6"/>
        <v>5.0950993485342027</v>
      </c>
      <c r="I65" s="196">
        <f t="shared" si="6"/>
        <v>5.5381514657980464</v>
      </c>
      <c r="J65" s="196">
        <f t="shared" si="6"/>
        <v>5.981203583061891</v>
      </c>
      <c r="K65" s="196"/>
      <c r="L65" s="196"/>
      <c r="M65" s="196"/>
      <c r="N65" s="196"/>
      <c r="O65" s="196"/>
      <c r="P65" s="196"/>
      <c r="Q65" s="196"/>
      <c r="R65" s="196"/>
    </row>
    <row r="66" spans="1:18" hidden="1" outlineLevel="1">
      <c r="A66" s="2"/>
      <c r="B66" s="6" t="s">
        <v>234</v>
      </c>
      <c r="C66" s="1002">
        <f>'P&amp;L'!S104/100</f>
        <v>0.32646579804560261</v>
      </c>
      <c r="D66" s="198">
        <f t="shared" si="5"/>
        <v>3.4278908794788281</v>
      </c>
      <c r="E66" s="198">
        <f t="shared" si="5"/>
        <v>3.8849429967426716</v>
      </c>
      <c r="F66" s="198">
        <f t="shared" si="5"/>
        <v>4.3419951140065152</v>
      </c>
      <c r="G66" s="199">
        <f>$C66*G$59</f>
        <v>4.7990472312703583</v>
      </c>
      <c r="H66" s="198">
        <f t="shared" si="6"/>
        <v>5.2560993485342022</v>
      </c>
      <c r="I66" s="198">
        <f t="shared" si="6"/>
        <v>5.7131514657980471</v>
      </c>
      <c r="J66" s="198">
        <f t="shared" si="6"/>
        <v>6.1702035830618911</v>
      </c>
      <c r="K66" s="196"/>
      <c r="L66" s="196"/>
      <c r="M66" s="196"/>
      <c r="N66" s="196"/>
      <c r="O66" s="196"/>
      <c r="P66" s="196"/>
      <c r="Q66" s="196"/>
      <c r="R66" s="196"/>
    </row>
    <row r="67" spans="1:18" hidden="1" outlineLevel="1">
      <c r="A67" s="2"/>
      <c r="B67" s="6"/>
      <c r="C67" s="1001">
        <f>C66+0.01</f>
        <v>0.33646579804560262</v>
      </c>
      <c r="D67" s="196">
        <f t="shared" si="5"/>
        <v>3.5328908794788281</v>
      </c>
      <c r="E67" s="196">
        <f t="shared" si="5"/>
        <v>4.0039429967426718</v>
      </c>
      <c r="F67" s="196">
        <f t="shared" si="5"/>
        <v>4.4749951140065152</v>
      </c>
      <c r="G67" s="196">
        <f>$C67*G$59</f>
        <v>4.9460472312703585</v>
      </c>
      <c r="H67" s="196">
        <f t="shared" si="6"/>
        <v>5.4170993485342027</v>
      </c>
      <c r="I67" s="196">
        <f t="shared" si="6"/>
        <v>5.8881514657980469</v>
      </c>
      <c r="J67" s="196">
        <f t="shared" si="6"/>
        <v>6.3592035830618912</v>
      </c>
      <c r="K67" s="196"/>
      <c r="L67" s="196"/>
      <c r="M67" s="196"/>
      <c r="N67" s="196"/>
      <c r="O67" s="196"/>
      <c r="P67" s="196"/>
      <c r="Q67" s="196"/>
      <c r="R67" s="196"/>
    </row>
    <row r="68" spans="1:18" hidden="1" outlineLevel="1">
      <c r="A68" s="2"/>
      <c r="B68" s="2"/>
      <c r="C68" s="1001">
        <f>C67+0.01</f>
        <v>0.34646579804560262</v>
      </c>
      <c r="D68" s="196">
        <f t="shared" si="5"/>
        <v>3.6378908794788281</v>
      </c>
      <c r="E68" s="196">
        <f t="shared" si="5"/>
        <v>4.1229429967426716</v>
      </c>
      <c r="F68" s="196">
        <f t="shared" si="5"/>
        <v>4.6079951140065152</v>
      </c>
      <c r="G68" s="196">
        <f>$C68*G$59</f>
        <v>5.0930472312703587</v>
      </c>
      <c r="H68" s="196">
        <f t="shared" si="6"/>
        <v>5.5780993485342023</v>
      </c>
      <c r="I68" s="196">
        <f t="shared" si="6"/>
        <v>6.0631514657980468</v>
      </c>
      <c r="J68" s="196">
        <f t="shared" si="6"/>
        <v>6.5482035830618912</v>
      </c>
      <c r="K68" s="196"/>
      <c r="L68" s="196"/>
      <c r="M68" s="196"/>
      <c r="N68" s="196"/>
      <c r="O68" s="196"/>
      <c r="P68" s="196"/>
      <c r="Q68" s="196"/>
      <c r="R68" s="196"/>
    </row>
    <row r="69" spans="1:18" hidden="1" outlineLevel="1">
      <c r="A69" s="2"/>
      <c r="B69" s="2"/>
      <c r="C69" s="1001">
        <f>C68+0.01</f>
        <v>0.35646579804560263</v>
      </c>
      <c r="D69" s="196">
        <f t="shared" si="5"/>
        <v>3.7428908794788285</v>
      </c>
      <c r="E69" s="196">
        <f t="shared" si="5"/>
        <v>4.2419429967426723</v>
      </c>
      <c r="F69" s="196">
        <f t="shared" si="5"/>
        <v>4.7409951140065152</v>
      </c>
      <c r="G69" s="196">
        <f>$C69*G$59</f>
        <v>5.240047231270359</v>
      </c>
      <c r="H69" s="196">
        <f t="shared" si="6"/>
        <v>5.7390993485342028</v>
      </c>
      <c r="I69" s="196">
        <f t="shared" si="6"/>
        <v>6.2381514657980475</v>
      </c>
      <c r="J69" s="196">
        <f t="shared" si="6"/>
        <v>6.7372035830618922</v>
      </c>
      <c r="K69" s="196"/>
      <c r="L69" s="196"/>
      <c r="M69" s="196"/>
      <c r="N69" s="196"/>
      <c r="O69" s="196"/>
      <c r="P69" s="196"/>
      <c r="Q69" s="196"/>
      <c r="R69" s="196"/>
    </row>
    <row r="70" spans="1:18" hidden="1" outlineLevel="1">
      <c r="A70" s="2"/>
      <c r="B70" s="2"/>
      <c r="C70" s="2"/>
      <c r="D70" s="2"/>
      <c r="E70" s="2"/>
      <c r="F70" s="2"/>
      <c r="G70" s="2"/>
      <c r="H70" s="2"/>
      <c r="I70" s="2"/>
      <c r="J70" s="2"/>
      <c r="K70" s="2"/>
      <c r="L70" s="2"/>
      <c r="M70" s="2"/>
      <c r="N70" s="2"/>
      <c r="O70" s="2"/>
      <c r="P70" s="2"/>
      <c r="Q70" s="2"/>
      <c r="R70" s="2"/>
    </row>
    <row r="71" spans="1:18" hidden="1" outlineLevel="1">
      <c r="A71" s="2"/>
      <c r="B71" s="2"/>
      <c r="C71" s="2"/>
      <c r="D71" s="2"/>
      <c r="E71" s="2"/>
      <c r="F71" s="2"/>
      <c r="G71" s="2"/>
      <c r="H71" s="2"/>
      <c r="I71" s="2"/>
      <c r="J71" s="2"/>
      <c r="K71" s="2"/>
      <c r="L71" s="2"/>
      <c r="M71" s="2"/>
      <c r="N71" s="2"/>
      <c r="O71" s="2"/>
      <c r="P71" s="2"/>
      <c r="Q71" s="2"/>
      <c r="R71" s="2"/>
    </row>
    <row r="72" spans="1:18" hidden="1" outlineLevel="1">
      <c r="A72" s="2"/>
      <c r="B72" s="2"/>
      <c r="C72" s="2"/>
      <c r="D72" s="2"/>
      <c r="E72" s="2"/>
      <c r="F72" s="2"/>
      <c r="G72" s="2"/>
      <c r="H72" s="2"/>
      <c r="I72" s="2"/>
      <c r="J72" s="2"/>
      <c r="K72" s="2"/>
      <c r="L72" s="2"/>
      <c r="M72" s="2"/>
      <c r="N72" s="2"/>
      <c r="O72" s="2"/>
      <c r="P72" s="2"/>
      <c r="Q72" s="2"/>
      <c r="R72" s="2"/>
    </row>
    <row r="73" spans="1:18" hidden="1" outlineLevel="1">
      <c r="A73" s="2"/>
      <c r="B73" s="6" t="s">
        <v>127</v>
      </c>
      <c r="C73" s="6"/>
      <c r="D73" s="188">
        <v>15</v>
      </c>
      <c r="E73" s="2"/>
      <c r="F73" s="2"/>
      <c r="G73" s="2"/>
      <c r="H73" s="2"/>
      <c r="I73" s="2"/>
      <c r="J73" s="2"/>
      <c r="K73" s="2"/>
      <c r="L73" s="2"/>
      <c r="M73" s="2"/>
      <c r="N73" s="2"/>
      <c r="O73" s="2"/>
      <c r="P73" s="2"/>
      <c r="Q73" s="2"/>
      <c r="R73" s="2"/>
    </row>
    <row r="74" spans="1:18" hidden="1" outlineLevel="1">
      <c r="A74" s="2"/>
      <c r="B74" s="2"/>
      <c r="C74" s="2"/>
      <c r="D74" s="2"/>
      <c r="E74" s="2"/>
      <c r="F74" s="6" t="s">
        <v>489</v>
      </c>
      <c r="G74" s="2"/>
      <c r="H74" s="2"/>
      <c r="I74" s="2"/>
      <c r="J74" s="2"/>
      <c r="K74" s="2"/>
      <c r="L74" s="2"/>
      <c r="M74" s="2"/>
      <c r="N74" s="2"/>
      <c r="O74" s="2"/>
      <c r="P74" s="2"/>
      <c r="Q74" s="2"/>
      <c r="R74" s="2"/>
    </row>
    <row r="75" spans="1:18" hidden="1" outlineLevel="1">
      <c r="A75" s="2"/>
      <c r="B75" s="2"/>
      <c r="C75" s="6"/>
      <c r="D75" s="190">
        <f>D73*D77</f>
        <v>11.250000000000002</v>
      </c>
      <c r="E75" s="190">
        <f>D73*E77</f>
        <v>12.750000000000002</v>
      </c>
      <c r="F75" s="190">
        <f>D73*F77</f>
        <v>14.250000000000002</v>
      </c>
      <c r="G75" s="190">
        <f>D73*G77</f>
        <v>15.75</v>
      </c>
      <c r="H75" s="190">
        <f>D73*H77</f>
        <v>17.250000000000004</v>
      </c>
      <c r="I75" s="190">
        <f>D73*I77</f>
        <v>18.750000000000004</v>
      </c>
      <c r="J75" s="190">
        <f>D73*J77</f>
        <v>20.250000000000004</v>
      </c>
      <c r="K75" s="2"/>
      <c r="L75" s="2"/>
      <c r="M75" s="2"/>
      <c r="N75" s="2"/>
      <c r="O75" s="2"/>
      <c r="P75" s="2"/>
      <c r="Q75" s="2"/>
      <c r="R75" s="2"/>
    </row>
    <row r="76" spans="1:18" hidden="1" outlineLevel="1">
      <c r="A76" s="2"/>
      <c r="B76" s="6"/>
      <c r="C76" s="6"/>
      <c r="D76" s="190"/>
      <c r="E76" s="190"/>
      <c r="F76" s="6" t="s">
        <v>716</v>
      </c>
      <c r="G76" s="190"/>
      <c r="H76" s="190"/>
      <c r="I76" s="190"/>
      <c r="J76" s="190"/>
      <c r="K76" s="2"/>
      <c r="L76" s="2"/>
      <c r="M76" s="2"/>
      <c r="N76" s="2"/>
      <c r="O76" s="2"/>
      <c r="P76" s="2"/>
      <c r="Q76" s="2"/>
      <c r="R76" s="2"/>
    </row>
    <row r="77" spans="1:18" hidden="1" outlineLevel="1">
      <c r="A77" s="2"/>
      <c r="B77" s="2"/>
      <c r="C77" s="6"/>
      <c r="D77" s="40">
        <f>E77-0.1</f>
        <v>0.75000000000000011</v>
      </c>
      <c r="E77" s="40">
        <f>F77-0.1</f>
        <v>0.85000000000000009</v>
      </c>
      <c r="F77" s="40">
        <f>G77-0.1</f>
        <v>0.95000000000000007</v>
      </c>
      <c r="G77" s="40">
        <v>1.05</v>
      </c>
      <c r="H77" s="40">
        <f>G77+0.1</f>
        <v>1.1500000000000001</v>
      </c>
      <c r="I77" s="40">
        <f>H77+0.1</f>
        <v>1.2500000000000002</v>
      </c>
      <c r="J77" s="40">
        <f>I77+0.1</f>
        <v>1.3500000000000003</v>
      </c>
      <c r="K77" s="2"/>
      <c r="L77" s="2"/>
      <c r="M77" s="2"/>
      <c r="N77" s="2"/>
      <c r="O77" s="2"/>
      <c r="P77" s="2"/>
      <c r="Q77" s="2"/>
      <c r="R77" s="2"/>
    </row>
    <row r="78" spans="1:18" hidden="1" outlineLevel="1">
      <c r="A78" s="2"/>
      <c r="B78" s="2"/>
      <c r="C78" s="1001">
        <f>C79-0.01</f>
        <v>0.28318742632612964</v>
      </c>
      <c r="D78" s="196">
        <f t="shared" ref="D78:D84" si="7">$C78*D$75</f>
        <v>3.185858546168959</v>
      </c>
      <c r="E78" s="196">
        <f t="shared" ref="E78:J84" si="8">$C78*E$75</f>
        <v>3.6106396856581533</v>
      </c>
      <c r="F78" s="196">
        <f t="shared" si="8"/>
        <v>4.035420825147348</v>
      </c>
      <c r="G78" s="196">
        <f t="shared" si="8"/>
        <v>4.4602019646365418</v>
      </c>
      <c r="H78" s="196">
        <f t="shared" si="8"/>
        <v>4.8849831041257374</v>
      </c>
      <c r="I78" s="196">
        <f t="shared" si="8"/>
        <v>5.3097642436149322</v>
      </c>
      <c r="J78" s="196">
        <f t="shared" si="8"/>
        <v>5.734545383104126</v>
      </c>
      <c r="K78" s="2"/>
      <c r="L78" s="2"/>
      <c r="M78" s="2"/>
      <c r="N78" s="2"/>
      <c r="O78" s="2"/>
      <c r="P78" s="2"/>
      <c r="Q78" s="2"/>
      <c r="R78" s="2"/>
    </row>
    <row r="79" spans="1:18" hidden="1" outlineLevel="1">
      <c r="A79" s="2"/>
      <c r="B79" s="6" t="s">
        <v>56</v>
      </c>
      <c r="C79" s="1001">
        <f>C80-0.01</f>
        <v>0.29318742632612965</v>
      </c>
      <c r="D79" s="196">
        <f t="shared" si="7"/>
        <v>3.2983585461689593</v>
      </c>
      <c r="E79" s="196">
        <f t="shared" si="8"/>
        <v>3.7381396856581537</v>
      </c>
      <c r="F79" s="196">
        <f t="shared" si="8"/>
        <v>4.1779208251473481</v>
      </c>
      <c r="G79" s="196">
        <f t="shared" si="8"/>
        <v>4.6177019646365416</v>
      </c>
      <c r="H79" s="196">
        <f t="shared" si="8"/>
        <v>5.0574831041257378</v>
      </c>
      <c r="I79" s="196">
        <f t="shared" si="8"/>
        <v>5.4972642436149322</v>
      </c>
      <c r="J79" s="196">
        <f t="shared" si="8"/>
        <v>5.9370453831041266</v>
      </c>
      <c r="K79" s="2"/>
      <c r="L79" s="2"/>
      <c r="M79" s="2"/>
      <c r="N79" s="2"/>
      <c r="O79" s="2"/>
      <c r="P79" s="2"/>
      <c r="Q79" s="2"/>
      <c r="R79" s="2"/>
    </row>
    <row r="80" spans="1:18" hidden="1" outlineLevel="1">
      <c r="A80" s="2"/>
      <c r="B80" s="6" t="s">
        <v>726</v>
      </c>
      <c r="C80" s="1001">
        <f>C81-0.01</f>
        <v>0.30318742632612966</v>
      </c>
      <c r="D80" s="196">
        <f t="shared" si="7"/>
        <v>3.4108585461689591</v>
      </c>
      <c r="E80" s="196">
        <f t="shared" si="8"/>
        <v>3.8656396856581536</v>
      </c>
      <c r="F80" s="196">
        <f t="shared" si="8"/>
        <v>4.3204208251473482</v>
      </c>
      <c r="G80" s="196">
        <f t="shared" si="8"/>
        <v>4.7752019646365422</v>
      </c>
      <c r="H80" s="196">
        <f t="shared" si="8"/>
        <v>5.2299831041257381</v>
      </c>
      <c r="I80" s="196">
        <f t="shared" si="8"/>
        <v>5.6847642436149322</v>
      </c>
      <c r="J80" s="196">
        <f t="shared" si="8"/>
        <v>6.1395453831041271</v>
      </c>
      <c r="K80" s="2"/>
      <c r="L80" s="2"/>
      <c r="M80" s="2"/>
      <c r="N80" s="2"/>
      <c r="O80" s="2"/>
      <c r="P80" s="2"/>
      <c r="Q80" s="2"/>
      <c r="R80" s="2"/>
    </row>
    <row r="81" spans="1:18" hidden="1" outlineLevel="1">
      <c r="A81" s="2"/>
      <c r="B81" s="6" t="s">
        <v>234</v>
      </c>
      <c r="C81" s="1002">
        <f>'P&amp;L'!T104/100</f>
        <v>0.31318742632612967</v>
      </c>
      <c r="D81" s="198">
        <f t="shared" si="7"/>
        <v>3.5233585461689594</v>
      </c>
      <c r="E81" s="198">
        <f t="shared" si="8"/>
        <v>3.993139685658154</v>
      </c>
      <c r="F81" s="198">
        <f t="shared" si="8"/>
        <v>4.4629208251473482</v>
      </c>
      <c r="G81" s="199">
        <f t="shared" si="8"/>
        <v>4.932701964636542</v>
      </c>
      <c r="H81" s="198">
        <f t="shared" si="8"/>
        <v>5.4024831041257375</v>
      </c>
      <c r="I81" s="198">
        <f t="shared" si="8"/>
        <v>5.8722642436149322</v>
      </c>
      <c r="J81" s="198">
        <f t="shared" si="8"/>
        <v>6.3420453831041268</v>
      </c>
      <c r="K81" s="2"/>
      <c r="L81" s="2"/>
      <c r="M81" s="2"/>
      <c r="N81" s="2"/>
      <c r="O81" s="2"/>
      <c r="P81" s="2"/>
      <c r="Q81" s="2"/>
      <c r="R81" s="2"/>
    </row>
    <row r="82" spans="1:18" hidden="1" outlineLevel="1">
      <c r="A82" s="2"/>
      <c r="B82" s="6"/>
      <c r="C82" s="1001">
        <f>C81+0.01</f>
        <v>0.32318742632612968</v>
      </c>
      <c r="D82" s="196">
        <f t="shared" si="7"/>
        <v>3.6358585461689596</v>
      </c>
      <c r="E82" s="196">
        <f t="shared" si="8"/>
        <v>4.120639685658154</v>
      </c>
      <c r="F82" s="196">
        <f t="shared" si="8"/>
        <v>4.6054208251473483</v>
      </c>
      <c r="G82" s="196">
        <f t="shared" si="8"/>
        <v>5.0902019646365426</v>
      </c>
      <c r="H82" s="196">
        <f t="shared" si="8"/>
        <v>5.5749831041257378</v>
      </c>
      <c r="I82" s="196">
        <f t="shared" si="8"/>
        <v>6.059764243614933</v>
      </c>
      <c r="J82" s="196">
        <f t="shared" si="8"/>
        <v>6.5445453831041274</v>
      </c>
      <c r="K82" s="1003"/>
      <c r="L82" s="1003"/>
      <c r="M82" s="2"/>
      <c r="N82" s="2"/>
      <c r="O82" s="2"/>
      <c r="P82" s="2"/>
      <c r="Q82" s="2"/>
      <c r="R82" s="2"/>
    </row>
    <row r="83" spans="1:18" hidden="1" outlineLevel="1">
      <c r="A83" s="2"/>
      <c r="B83" s="2"/>
      <c r="C83" s="1001">
        <f>C82+0.01</f>
        <v>0.33318742632612969</v>
      </c>
      <c r="D83" s="196">
        <f t="shared" si="7"/>
        <v>3.7483585461689595</v>
      </c>
      <c r="E83" s="196">
        <f t="shared" si="8"/>
        <v>4.2481396856581544</v>
      </c>
      <c r="F83" s="196">
        <f t="shared" si="8"/>
        <v>4.7479208251473484</v>
      </c>
      <c r="G83" s="196">
        <f t="shared" si="8"/>
        <v>5.2477019646365424</v>
      </c>
      <c r="H83" s="196">
        <f t="shared" si="8"/>
        <v>5.7474831041257382</v>
      </c>
      <c r="I83" s="196">
        <f t="shared" si="8"/>
        <v>6.247264243614933</v>
      </c>
      <c r="J83" s="196">
        <f t="shared" si="8"/>
        <v>6.747045383104127</v>
      </c>
      <c r="K83" s="1004"/>
      <c r="L83" s="1004"/>
      <c r="M83" s="2"/>
      <c r="N83" s="2"/>
      <c r="O83" s="2"/>
      <c r="P83" s="2"/>
      <c r="Q83" s="2"/>
      <c r="R83" s="2"/>
    </row>
    <row r="84" spans="1:18" hidden="1" outlineLevel="1">
      <c r="A84" s="2"/>
      <c r="B84" s="2"/>
      <c r="C84" s="1001">
        <f>C83+0.01</f>
        <v>0.3431874263261297</v>
      </c>
      <c r="D84" s="196">
        <f t="shared" si="7"/>
        <v>3.8608585461689597</v>
      </c>
      <c r="E84" s="196">
        <f t="shared" si="8"/>
        <v>4.3756396856581539</v>
      </c>
      <c r="F84" s="196">
        <f t="shared" si="8"/>
        <v>4.8904208251473484</v>
      </c>
      <c r="G84" s="196">
        <f t="shared" si="8"/>
        <v>5.405201964636543</v>
      </c>
      <c r="H84" s="196">
        <f t="shared" si="8"/>
        <v>5.9199831041257385</v>
      </c>
      <c r="I84" s="196">
        <f t="shared" si="8"/>
        <v>6.434764243614933</v>
      </c>
      <c r="J84" s="196">
        <f t="shared" si="8"/>
        <v>6.9495453831041276</v>
      </c>
      <c r="K84" s="1004"/>
      <c r="L84" s="1004"/>
      <c r="M84" s="2"/>
      <c r="N84" s="2"/>
      <c r="O84" s="2"/>
      <c r="P84" s="2"/>
      <c r="Q84" s="2"/>
      <c r="R84" s="2"/>
    </row>
    <row r="85" spans="1:18" hidden="1" outlineLevel="1">
      <c r="A85" s="2"/>
      <c r="B85" s="2"/>
      <c r="C85" s="2"/>
      <c r="D85" s="2"/>
      <c r="E85" s="2"/>
      <c r="F85" s="2"/>
      <c r="G85" s="2"/>
      <c r="H85" s="2"/>
      <c r="I85" s="2"/>
      <c r="J85" s="2"/>
      <c r="K85" s="1003"/>
      <c r="L85" s="1003"/>
      <c r="M85" s="2"/>
      <c r="N85" s="2"/>
      <c r="O85" s="2"/>
      <c r="P85" s="2"/>
      <c r="Q85" s="2"/>
      <c r="R85" s="2"/>
    </row>
    <row r="86" spans="1:18" hidden="1" outlineLevel="1">
      <c r="A86" s="2"/>
      <c r="B86" s="2"/>
      <c r="C86" s="2"/>
      <c r="D86" s="2"/>
      <c r="E86" s="2"/>
      <c r="F86" s="2"/>
      <c r="G86" s="2"/>
      <c r="H86" s="2"/>
      <c r="I86" s="2"/>
      <c r="J86" s="2"/>
      <c r="K86" s="2"/>
      <c r="L86" s="2"/>
      <c r="M86" s="2"/>
      <c r="N86" s="2"/>
      <c r="O86" s="2"/>
      <c r="P86" s="2"/>
      <c r="Q86" s="2"/>
      <c r="R86" s="2"/>
    </row>
    <row r="87" spans="1:18" hidden="1" outlineLevel="1">
      <c r="A87" s="2"/>
      <c r="B87" s="6" t="s">
        <v>955</v>
      </c>
      <c r="C87" s="6"/>
      <c r="D87" s="188">
        <v>14</v>
      </c>
      <c r="E87" s="2"/>
      <c r="F87" s="2"/>
      <c r="G87" s="2"/>
      <c r="H87" s="2"/>
      <c r="I87" s="2"/>
      <c r="J87" s="2"/>
      <c r="K87" s="2"/>
      <c r="L87" s="2"/>
      <c r="M87" s="2"/>
      <c r="N87" s="2"/>
      <c r="O87" s="2"/>
      <c r="P87" s="2"/>
      <c r="Q87" s="2"/>
      <c r="R87" s="2"/>
    </row>
    <row r="88" spans="1:18" hidden="1" outlineLevel="1">
      <c r="A88" s="2"/>
      <c r="B88" s="2"/>
      <c r="C88" s="2"/>
      <c r="D88" s="2"/>
      <c r="E88" s="2"/>
      <c r="F88" s="6" t="s">
        <v>489</v>
      </c>
      <c r="G88" s="2"/>
      <c r="H88" s="2"/>
      <c r="I88" s="2"/>
      <c r="J88" s="2"/>
      <c r="K88" s="2"/>
      <c r="L88" s="2"/>
      <c r="M88" s="2"/>
      <c r="N88" s="2"/>
      <c r="O88" s="2"/>
      <c r="P88" s="2"/>
      <c r="Q88" s="2"/>
      <c r="R88" s="2"/>
    </row>
    <row r="89" spans="1:18" hidden="1" outlineLevel="1">
      <c r="A89" s="2"/>
      <c r="B89" s="2"/>
      <c r="C89" s="6"/>
      <c r="D89" s="190">
        <f>D87*D91</f>
        <v>10.500000000000002</v>
      </c>
      <c r="E89" s="190">
        <f>D87*E91</f>
        <v>11.900000000000002</v>
      </c>
      <c r="F89" s="190">
        <f>D87*F91</f>
        <v>13.3</v>
      </c>
      <c r="G89" s="190">
        <f>D87*G91</f>
        <v>14.700000000000001</v>
      </c>
      <c r="H89" s="190">
        <f>D87*H91</f>
        <v>16.100000000000001</v>
      </c>
      <c r="I89" s="190">
        <f>D87*I91</f>
        <v>17.500000000000004</v>
      </c>
      <c r="J89" s="190">
        <f>D87*J91</f>
        <v>18.900000000000006</v>
      </c>
      <c r="K89" s="2"/>
      <c r="L89" s="2"/>
      <c r="M89" s="2"/>
      <c r="N89" s="2"/>
      <c r="O89" s="2"/>
      <c r="P89" s="2"/>
      <c r="Q89" s="2"/>
      <c r="R89" s="2"/>
    </row>
    <row r="90" spans="1:18" hidden="1" outlineLevel="1">
      <c r="A90" s="2"/>
      <c r="B90" s="6"/>
      <c r="C90" s="6"/>
      <c r="D90" s="190"/>
      <c r="E90" s="190"/>
      <c r="F90" s="6" t="s">
        <v>716</v>
      </c>
      <c r="G90" s="190"/>
      <c r="H90" s="190"/>
      <c r="I90" s="190"/>
      <c r="J90" s="190"/>
      <c r="K90" s="2"/>
      <c r="L90" s="2"/>
      <c r="M90" s="2"/>
      <c r="N90" s="2"/>
      <c r="O90" s="2"/>
      <c r="P90" s="2"/>
      <c r="Q90" s="2"/>
      <c r="R90" s="2"/>
    </row>
    <row r="91" spans="1:18" hidden="1" outlineLevel="1">
      <c r="A91" s="2"/>
      <c r="B91" s="2"/>
      <c r="C91" s="6"/>
      <c r="D91" s="40">
        <f>E91-0.1</f>
        <v>0.75000000000000011</v>
      </c>
      <c r="E91" s="40">
        <f>F91-0.1</f>
        <v>0.85000000000000009</v>
      </c>
      <c r="F91" s="40">
        <f>G91-0.1</f>
        <v>0.95000000000000007</v>
      </c>
      <c r="G91" s="40">
        <v>1.05</v>
      </c>
      <c r="H91" s="40">
        <f>G91+0.1</f>
        <v>1.1500000000000001</v>
      </c>
      <c r="I91" s="40">
        <f>H91+0.1</f>
        <v>1.2500000000000002</v>
      </c>
      <c r="J91" s="40">
        <f>I91+0.1</f>
        <v>1.3500000000000003</v>
      </c>
      <c r="K91" s="2"/>
      <c r="L91" s="2"/>
      <c r="M91" s="2"/>
      <c r="N91" s="2"/>
      <c r="O91" s="2"/>
      <c r="P91" s="2"/>
      <c r="Q91" s="2"/>
      <c r="R91" s="2"/>
    </row>
    <row r="92" spans="1:18" hidden="1" outlineLevel="1">
      <c r="A92" s="2"/>
      <c r="B92" s="2"/>
      <c r="C92" s="1001">
        <f>C93-0.01</f>
        <v>0.25630411553552052</v>
      </c>
      <c r="D92" s="196">
        <f t="shared" ref="D92:F98" si="9">$C92*D$89</f>
        <v>2.6911932131229657</v>
      </c>
      <c r="E92" s="196">
        <f t="shared" si="9"/>
        <v>3.0500189748726947</v>
      </c>
      <c r="F92" s="196">
        <f t="shared" si="9"/>
        <v>3.4088447366224228</v>
      </c>
      <c r="G92" s="196">
        <f t="shared" ref="G92:J98" si="10">$C92*G$89</f>
        <v>3.7676704983721518</v>
      </c>
      <c r="H92" s="196">
        <f t="shared" si="10"/>
        <v>4.1264962601218809</v>
      </c>
      <c r="I92" s="196">
        <f t="shared" si="10"/>
        <v>4.4853220218716103</v>
      </c>
      <c r="J92" s="196">
        <f t="shared" si="10"/>
        <v>4.8441477836213389</v>
      </c>
      <c r="K92" s="2"/>
      <c r="L92" s="2"/>
      <c r="M92" s="2"/>
      <c r="N92" s="2"/>
      <c r="O92" s="2"/>
      <c r="P92" s="2"/>
      <c r="Q92" s="2"/>
      <c r="R92" s="2"/>
    </row>
    <row r="93" spans="1:18" hidden="1" outlineLevel="1">
      <c r="A93" s="2"/>
      <c r="B93" s="6" t="s">
        <v>56</v>
      </c>
      <c r="C93" s="1001">
        <f>C94-0.01</f>
        <v>0.26630411553552052</v>
      </c>
      <c r="D93" s="196">
        <f t="shared" si="9"/>
        <v>2.7961932131229661</v>
      </c>
      <c r="E93" s="196">
        <f t="shared" si="9"/>
        <v>3.1690189748726949</v>
      </c>
      <c r="F93" s="196">
        <f t="shared" si="9"/>
        <v>3.5418447366224233</v>
      </c>
      <c r="G93" s="196">
        <f t="shared" si="10"/>
        <v>3.9146704983721521</v>
      </c>
      <c r="H93" s="196">
        <f t="shared" si="10"/>
        <v>4.2874962601218805</v>
      </c>
      <c r="I93" s="196">
        <f t="shared" si="10"/>
        <v>4.6603220218716102</v>
      </c>
      <c r="J93" s="196">
        <f t="shared" si="10"/>
        <v>5.0331477836213399</v>
      </c>
      <c r="K93" s="2"/>
      <c r="L93" s="2"/>
      <c r="M93" s="2"/>
      <c r="N93" s="2"/>
      <c r="O93" s="2"/>
      <c r="P93" s="2"/>
      <c r="Q93" s="2"/>
      <c r="R93" s="2"/>
    </row>
    <row r="94" spans="1:18" hidden="1" outlineLevel="1">
      <c r="A94" s="2"/>
      <c r="B94" s="6" t="s">
        <v>727</v>
      </c>
      <c r="C94" s="1001">
        <f>C95-0.01</f>
        <v>0.27630411553552053</v>
      </c>
      <c r="D94" s="196">
        <f t="shared" si="9"/>
        <v>2.9011932131229661</v>
      </c>
      <c r="E94" s="196">
        <f t="shared" si="9"/>
        <v>3.2880189748726951</v>
      </c>
      <c r="F94" s="196">
        <f t="shared" si="9"/>
        <v>3.6748447366224233</v>
      </c>
      <c r="G94" s="196">
        <f>$C94*G$89</f>
        <v>4.0616704983721519</v>
      </c>
      <c r="H94" s="196">
        <f t="shared" si="10"/>
        <v>4.4484962601218809</v>
      </c>
      <c r="I94" s="196">
        <f t="shared" si="10"/>
        <v>4.83532202187161</v>
      </c>
      <c r="J94" s="196">
        <f t="shared" si="10"/>
        <v>5.2221477836213399</v>
      </c>
      <c r="K94" s="2"/>
      <c r="L94" s="2"/>
      <c r="M94" s="2"/>
      <c r="N94" s="2"/>
      <c r="O94" s="2"/>
      <c r="P94" s="2"/>
      <c r="Q94" s="2"/>
      <c r="R94" s="2"/>
    </row>
    <row r="95" spans="1:18" hidden="1" outlineLevel="1">
      <c r="A95" s="2"/>
      <c r="B95" s="6" t="s">
        <v>234</v>
      </c>
      <c r="C95" s="1002">
        <f>'P&amp;L'!U104/100</f>
        <v>0.28630411553552054</v>
      </c>
      <c r="D95" s="198">
        <f t="shared" si="9"/>
        <v>3.0061932131229661</v>
      </c>
      <c r="E95" s="198">
        <f t="shared" si="9"/>
        <v>3.4070189748726949</v>
      </c>
      <c r="F95" s="198">
        <f t="shared" si="9"/>
        <v>3.8078447366224233</v>
      </c>
      <c r="G95" s="199">
        <f t="shared" si="10"/>
        <v>4.2086704983721521</v>
      </c>
      <c r="H95" s="198">
        <f t="shared" si="10"/>
        <v>4.6094962601218814</v>
      </c>
      <c r="I95" s="198">
        <f t="shared" si="10"/>
        <v>5.0103220218716107</v>
      </c>
      <c r="J95" s="198">
        <f t="shared" si="10"/>
        <v>5.41114778362134</v>
      </c>
      <c r="K95" s="2"/>
      <c r="L95" s="2"/>
      <c r="M95" s="2"/>
      <c r="N95" s="2"/>
      <c r="O95" s="2"/>
      <c r="P95" s="2"/>
      <c r="Q95" s="2"/>
      <c r="R95" s="2"/>
    </row>
    <row r="96" spans="1:18" hidden="1" outlineLevel="1">
      <c r="A96" s="2"/>
      <c r="B96" s="6"/>
      <c r="C96" s="1001">
        <f>C95+0.01</f>
        <v>0.29630411553552055</v>
      </c>
      <c r="D96" s="196">
        <f t="shared" si="9"/>
        <v>3.1111932131229665</v>
      </c>
      <c r="E96" s="196">
        <f t="shared" si="9"/>
        <v>3.5260189748726951</v>
      </c>
      <c r="F96" s="196">
        <f t="shared" si="9"/>
        <v>3.9408447366224237</v>
      </c>
      <c r="G96" s="196">
        <f t="shared" si="10"/>
        <v>4.3556704983721524</v>
      </c>
      <c r="H96" s="196">
        <f t="shared" si="10"/>
        <v>4.770496260121881</v>
      </c>
      <c r="I96" s="196">
        <f t="shared" si="10"/>
        <v>5.1853220218716105</v>
      </c>
      <c r="J96" s="196">
        <f t="shared" si="10"/>
        <v>5.60014778362134</v>
      </c>
      <c r="K96" s="2"/>
      <c r="L96" s="2"/>
      <c r="M96" s="2"/>
      <c r="N96" s="2"/>
      <c r="O96" s="2"/>
      <c r="P96" s="2"/>
      <c r="Q96" s="2"/>
      <c r="R96" s="2"/>
    </row>
    <row r="97" spans="1:18" hidden="1" outlineLevel="1">
      <c r="A97" s="2"/>
      <c r="B97" s="2"/>
      <c r="C97" s="1001">
        <f>C96+0.01</f>
        <v>0.30630411553552056</v>
      </c>
      <c r="D97" s="196">
        <f t="shared" si="9"/>
        <v>3.2161932131229665</v>
      </c>
      <c r="E97" s="196">
        <f t="shared" si="9"/>
        <v>3.6450189748726953</v>
      </c>
      <c r="F97" s="196">
        <f t="shared" si="9"/>
        <v>4.0738447366224237</v>
      </c>
      <c r="G97" s="196">
        <f t="shared" si="10"/>
        <v>4.5026704983721526</v>
      </c>
      <c r="H97" s="196">
        <f t="shared" si="10"/>
        <v>4.9314962601218815</v>
      </c>
      <c r="I97" s="196">
        <f t="shared" si="10"/>
        <v>5.3603220218716112</v>
      </c>
      <c r="J97" s="196">
        <f t="shared" si="10"/>
        <v>5.7891477836213401</v>
      </c>
      <c r="K97" s="2"/>
      <c r="L97" s="2"/>
      <c r="M97" s="2"/>
      <c r="N97" s="2"/>
      <c r="O97" s="2"/>
      <c r="P97" s="2"/>
      <c r="Q97" s="2"/>
      <c r="R97" s="2"/>
    </row>
    <row r="98" spans="1:18" hidden="1" outlineLevel="1">
      <c r="A98" s="2"/>
      <c r="B98" s="2"/>
      <c r="C98" s="1001">
        <f>C97+0.01</f>
        <v>0.31630411553552057</v>
      </c>
      <c r="D98" s="196">
        <f t="shared" si="9"/>
        <v>3.3211932131229664</v>
      </c>
      <c r="E98" s="196">
        <f t="shared" si="9"/>
        <v>3.7640189748726955</v>
      </c>
      <c r="F98" s="196">
        <f t="shared" si="9"/>
        <v>4.2068447366224238</v>
      </c>
      <c r="G98" s="196">
        <f t="shared" si="10"/>
        <v>4.6496704983721528</v>
      </c>
      <c r="H98" s="196">
        <f t="shared" si="10"/>
        <v>5.0924962601218819</v>
      </c>
      <c r="I98" s="196">
        <f t="shared" si="10"/>
        <v>5.535322021871611</v>
      </c>
      <c r="J98" s="196">
        <f t="shared" si="10"/>
        <v>5.9781477836213401</v>
      </c>
      <c r="K98" s="2"/>
      <c r="L98" s="2"/>
      <c r="M98" s="2"/>
      <c r="N98" s="2"/>
      <c r="O98" s="2"/>
      <c r="P98" s="2"/>
      <c r="Q98" s="2"/>
      <c r="R98" s="2"/>
    </row>
    <row r="99" spans="1:18" hidden="1" outlineLevel="1">
      <c r="A99" s="2"/>
      <c r="B99" s="2"/>
      <c r="C99" s="2"/>
      <c r="D99" s="2"/>
      <c r="E99" s="2"/>
      <c r="F99" s="2"/>
      <c r="G99" s="2"/>
      <c r="H99" s="2"/>
      <c r="I99" s="2"/>
      <c r="J99" s="2"/>
      <c r="K99" s="2"/>
      <c r="L99" s="2"/>
      <c r="M99" s="2"/>
      <c r="N99" s="2"/>
      <c r="O99" s="2"/>
      <c r="P99" s="2"/>
      <c r="Q99" s="2"/>
      <c r="R99" s="2"/>
    </row>
    <row r="100" spans="1:18" hidden="1" outlineLevel="1">
      <c r="A100" s="2"/>
      <c r="B100" s="2"/>
      <c r="C100" s="2"/>
      <c r="D100" s="2"/>
      <c r="E100" s="2"/>
      <c r="F100" s="2"/>
      <c r="G100" s="2"/>
      <c r="H100" s="2"/>
      <c r="I100" s="2"/>
      <c r="J100" s="2"/>
      <c r="K100" s="2"/>
      <c r="L100" s="2"/>
      <c r="M100" s="2"/>
      <c r="N100" s="2"/>
      <c r="O100" s="2"/>
      <c r="P100" s="2"/>
      <c r="Q100" s="2"/>
      <c r="R100" s="2"/>
    </row>
    <row r="101" spans="1:18" hidden="1" outlineLevel="1">
      <c r="A101" s="2"/>
      <c r="B101" s="6" t="s">
        <v>955</v>
      </c>
      <c r="C101" s="6"/>
      <c r="D101" s="188">
        <v>14</v>
      </c>
      <c r="E101" s="2"/>
      <c r="F101" s="2"/>
      <c r="G101" s="2"/>
      <c r="H101" s="2"/>
      <c r="I101" s="2"/>
      <c r="J101" s="2"/>
      <c r="K101" s="2"/>
      <c r="L101" s="2"/>
      <c r="M101" s="2"/>
      <c r="N101" s="2"/>
      <c r="O101" s="2"/>
      <c r="P101" s="2"/>
      <c r="Q101" s="2"/>
      <c r="R101" s="2"/>
    </row>
    <row r="102" spans="1:18" hidden="1" outlineLevel="1">
      <c r="A102" s="2"/>
      <c r="B102" s="2"/>
      <c r="C102" s="2"/>
      <c r="D102" s="2"/>
      <c r="E102" s="2"/>
      <c r="F102" s="6" t="s">
        <v>489</v>
      </c>
      <c r="G102" s="2"/>
      <c r="H102" s="2"/>
      <c r="I102" s="2"/>
      <c r="J102" s="2"/>
      <c r="K102" s="2"/>
      <c r="L102" s="2"/>
      <c r="M102" s="2"/>
      <c r="N102" s="2"/>
      <c r="O102" s="2"/>
      <c r="P102" s="2"/>
      <c r="Q102" s="2"/>
      <c r="R102" s="2"/>
    </row>
    <row r="103" spans="1:18" hidden="1" outlineLevel="1">
      <c r="A103" s="2"/>
      <c r="B103" s="2"/>
      <c r="C103" s="6"/>
      <c r="D103" s="197">
        <f>D101*D105</f>
        <v>8.4000000000000021</v>
      </c>
      <c r="E103" s="197">
        <f>D101*E105</f>
        <v>9.8000000000000007</v>
      </c>
      <c r="F103" s="197">
        <f>D101*F105</f>
        <v>11.200000000000001</v>
      </c>
      <c r="G103" s="190">
        <f>D101*G105</f>
        <v>12.6</v>
      </c>
      <c r="H103" s="197">
        <f>D101*H105</f>
        <v>14</v>
      </c>
      <c r="I103" s="197">
        <f>D101*I105</f>
        <v>15.400000000000002</v>
      </c>
      <c r="J103" s="197">
        <f>D101*J105</f>
        <v>16.800000000000004</v>
      </c>
      <c r="K103" s="2"/>
      <c r="L103" s="2"/>
      <c r="M103" s="2"/>
      <c r="N103" s="2"/>
      <c r="O103" s="2"/>
      <c r="P103" s="2"/>
      <c r="Q103" s="2"/>
      <c r="R103" s="2"/>
    </row>
    <row r="104" spans="1:18" hidden="1" outlineLevel="1">
      <c r="A104" s="2"/>
      <c r="B104" s="6"/>
      <c r="C104" s="6"/>
      <c r="D104" s="190"/>
      <c r="E104" s="190"/>
      <c r="F104" s="6" t="s">
        <v>716</v>
      </c>
      <c r="G104" s="190"/>
      <c r="H104" s="190"/>
      <c r="I104" s="190"/>
      <c r="J104" s="190"/>
      <c r="K104" s="2"/>
      <c r="L104" s="2"/>
      <c r="M104" s="2"/>
      <c r="N104" s="2"/>
      <c r="O104" s="2"/>
      <c r="P104" s="2"/>
      <c r="Q104" s="2"/>
      <c r="R104" s="2"/>
    </row>
    <row r="105" spans="1:18" hidden="1" outlineLevel="1">
      <c r="A105" s="2"/>
      <c r="B105" s="2"/>
      <c r="C105" s="6"/>
      <c r="D105" s="40">
        <f>E105-0.1</f>
        <v>0.60000000000000009</v>
      </c>
      <c r="E105" s="40">
        <f>F105-0.1</f>
        <v>0.70000000000000007</v>
      </c>
      <c r="F105" s="40">
        <f>G105-0.1</f>
        <v>0.8</v>
      </c>
      <c r="G105" s="40">
        <v>0.9</v>
      </c>
      <c r="H105" s="40">
        <f>G105+0.1</f>
        <v>1</v>
      </c>
      <c r="I105" s="40">
        <f>H105+0.1</f>
        <v>1.1000000000000001</v>
      </c>
      <c r="J105" s="40">
        <f>I105+0.1</f>
        <v>1.2000000000000002</v>
      </c>
      <c r="K105" s="2"/>
      <c r="L105" s="2"/>
      <c r="M105" s="2"/>
      <c r="N105" s="2"/>
      <c r="O105" s="2"/>
      <c r="P105" s="2"/>
      <c r="Q105" s="2"/>
      <c r="R105" s="2"/>
    </row>
    <row r="106" spans="1:18" hidden="1" outlineLevel="1">
      <c r="A106" s="2"/>
      <c r="B106" s="2"/>
      <c r="C106" s="1001">
        <f>C107-0.01</f>
        <v>0.17554612238083311</v>
      </c>
      <c r="D106" s="196">
        <f t="shared" ref="D106:J108" si="11">$C106*D$103</f>
        <v>1.4745874279989986</v>
      </c>
      <c r="E106" s="196">
        <f t="shared" si="11"/>
        <v>1.7203519993321645</v>
      </c>
      <c r="F106" s="196">
        <f t="shared" si="11"/>
        <v>1.966116570665331</v>
      </c>
      <c r="G106" s="196">
        <f t="shared" si="11"/>
        <v>2.2118811419984974</v>
      </c>
      <c r="H106" s="196">
        <f t="shared" si="11"/>
        <v>2.4576457133316634</v>
      </c>
      <c r="I106" s="196">
        <f t="shared" si="11"/>
        <v>2.7034102846648302</v>
      </c>
      <c r="J106" s="196">
        <f t="shared" si="11"/>
        <v>2.9491748559979971</v>
      </c>
      <c r="K106" s="2"/>
      <c r="L106" s="2"/>
      <c r="M106" s="2"/>
      <c r="N106" s="2"/>
      <c r="O106" s="2"/>
      <c r="P106" s="2"/>
      <c r="Q106" s="2"/>
      <c r="R106" s="2"/>
    </row>
    <row r="107" spans="1:18" hidden="1" outlineLevel="1">
      <c r="A107" s="2"/>
      <c r="B107" s="6" t="s">
        <v>56</v>
      </c>
      <c r="C107" s="1001">
        <f>C108-0.01</f>
        <v>0.18554612238083312</v>
      </c>
      <c r="D107" s="196">
        <f t="shared" si="11"/>
        <v>1.5585874279989986</v>
      </c>
      <c r="E107" s="196">
        <f t="shared" si="11"/>
        <v>1.8183519993321646</v>
      </c>
      <c r="F107" s="196">
        <f t="shared" si="11"/>
        <v>2.0781165706653311</v>
      </c>
      <c r="G107" s="196">
        <f t="shared" si="11"/>
        <v>2.3378811419984973</v>
      </c>
      <c r="H107" s="196">
        <f t="shared" si="11"/>
        <v>2.5976457133316639</v>
      </c>
      <c r="I107" s="196">
        <f t="shared" si="11"/>
        <v>2.8574102846648306</v>
      </c>
      <c r="J107" s="196">
        <f t="shared" si="11"/>
        <v>3.1171748559979973</v>
      </c>
      <c r="K107" s="2"/>
      <c r="L107" s="2"/>
      <c r="M107" s="2"/>
      <c r="N107" s="2"/>
      <c r="O107" s="2"/>
      <c r="P107" s="2"/>
      <c r="Q107" s="2"/>
      <c r="R107" s="2"/>
    </row>
    <row r="108" spans="1:18" hidden="1" outlineLevel="1">
      <c r="A108" s="2"/>
      <c r="B108" s="6" t="s">
        <v>727</v>
      </c>
      <c r="C108" s="1001">
        <f>C109-0.01</f>
        <v>0.19554612238083313</v>
      </c>
      <c r="D108" s="196">
        <f t="shared" si="11"/>
        <v>1.6425874279989987</v>
      </c>
      <c r="E108" s="196">
        <f t="shared" si="11"/>
        <v>1.9163519993321649</v>
      </c>
      <c r="F108" s="196">
        <f t="shared" si="11"/>
        <v>2.1901165706653312</v>
      </c>
      <c r="G108" s="196">
        <f t="shared" si="11"/>
        <v>2.4638811419984972</v>
      </c>
      <c r="H108" s="196">
        <f t="shared" si="11"/>
        <v>2.7376457133316636</v>
      </c>
      <c r="I108" s="196">
        <f t="shared" si="11"/>
        <v>3.0114102846648305</v>
      </c>
      <c r="J108" s="196">
        <f t="shared" si="11"/>
        <v>3.2851748559979974</v>
      </c>
      <c r="K108" s="2"/>
      <c r="L108" s="2"/>
      <c r="M108" s="2"/>
      <c r="N108" s="2"/>
      <c r="O108" s="2"/>
      <c r="P108" s="2"/>
      <c r="Q108" s="2"/>
      <c r="R108" s="2"/>
    </row>
    <row r="109" spans="1:18" hidden="1" outlineLevel="1">
      <c r="A109" s="2"/>
      <c r="B109" s="6" t="s">
        <v>962</v>
      </c>
      <c r="C109" s="1005">
        <f>'P&amp;L'!U106/100</f>
        <v>0.20554612238083314</v>
      </c>
      <c r="D109" s="198">
        <f t="shared" ref="D109:G112" si="12">$C109*D$103</f>
        <v>1.7265874279989988</v>
      </c>
      <c r="E109" s="198">
        <f t="shared" si="12"/>
        <v>2.014351999332165</v>
      </c>
      <c r="F109" s="198">
        <f>$C109*F$103</f>
        <v>2.3021165706653313</v>
      </c>
      <c r="G109" s="199">
        <f>$C109*G$103</f>
        <v>2.5898811419984975</v>
      </c>
      <c r="H109" s="198">
        <f t="shared" ref="H109:J112" si="13">$C109*H$103</f>
        <v>2.8776457133316642</v>
      </c>
      <c r="I109" s="198">
        <f t="shared" si="13"/>
        <v>3.1654102846648309</v>
      </c>
      <c r="J109" s="198">
        <f t="shared" si="13"/>
        <v>3.4531748559979976</v>
      </c>
      <c r="K109" s="2"/>
      <c r="L109" s="2"/>
      <c r="M109" s="2"/>
      <c r="N109" s="2"/>
      <c r="O109" s="2"/>
      <c r="P109" s="2"/>
      <c r="Q109" s="2"/>
      <c r="R109" s="2"/>
    </row>
    <row r="110" spans="1:18" hidden="1" outlineLevel="1">
      <c r="A110" s="2"/>
      <c r="B110" s="2"/>
      <c r="C110" s="1001">
        <f>C109+0.01</f>
        <v>0.21554612238083315</v>
      </c>
      <c r="D110" s="196">
        <f t="shared" si="12"/>
        <v>1.8105874279989989</v>
      </c>
      <c r="E110" s="196">
        <f t="shared" si="12"/>
        <v>2.1123519993321649</v>
      </c>
      <c r="F110" s="196">
        <f t="shared" si="12"/>
        <v>2.4141165706653314</v>
      </c>
      <c r="G110" s="196">
        <f t="shared" si="12"/>
        <v>2.7158811419984974</v>
      </c>
      <c r="H110" s="196">
        <f t="shared" si="13"/>
        <v>3.0176457133316639</v>
      </c>
      <c r="I110" s="196">
        <f t="shared" si="13"/>
        <v>3.3194102846648308</v>
      </c>
      <c r="J110" s="196">
        <f>$C110*J$103</f>
        <v>3.6211748559979977</v>
      </c>
      <c r="K110" s="2"/>
      <c r="L110" s="2"/>
      <c r="M110" s="2"/>
      <c r="N110" s="2"/>
      <c r="O110" s="2"/>
      <c r="P110" s="2"/>
      <c r="Q110" s="2"/>
      <c r="R110" s="2"/>
    </row>
    <row r="111" spans="1:18" hidden="1" outlineLevel="1">
      <c r="A111" s="2"/>
      <c r="B111" s="2"/>
      <c r="C111" s="1001">
        <f>C110+0.01</f>
        <v>0.22554612238083316</v>
      </c>
      <c r="D111" s="196">
        <f t="shared" si="12"/>
        <v>1.8945874279989989</v>
      </c>
      <c r="E111" s="196">
        <f t="shared" si="12"/>
        <v>2.2103519993321652</v>
      </c>
      <c r="F111" s="196">
        <f t="shared" si="12"/>
        <v>2.5261165706653315</v>
      </c>
      <c r="G111" s="196">
        <f t="shared" si="12"/>
        <v>2.8418811419984977</v>
      </c>
      <c r="H111" s="196">
        <f t="shared" si="13"/>
        <v>3.1576457133316644</v>
      </c>
      <c r="I111" s="196">
        <f t="shared" si="13"/>
        <v>3.4734102846648311</v>
      </c>
      <c r="J111" s="196">
        <f t="shared" si="13"/>
        <v>3.7891748559979979</v>
      </c>
      <c r="K111" s="2"/>
      <c r="L111" s="2"/>
      <c r="M111" s="2"/>
      <c r="N111" s="2"/>
      <c r="O111" s="2"/>
      <c r="P111" s="2"/>
      <c r="Q111" s="2"/>
      <c r="R111" s="2"/>
    </row>
    <row r="112" spans="1:18" hidden="1" outlineLevel="1">
      <c r="A112" s="2"/>
      <c r="B112" s="2"/>
      <c r="C112" s="1001">
        <f>C111+0.01</f>
        <v>0.23554612238083317</v>
      </c>
      <c r="D112" s="196">
        <f t="shared" si="12"/>
        <v>1.978587427998999</v>
      </c>
      <c r="E112" s="196">
        <f t="shared" si="12"/>
        <v>2.3083519993321651</v>
      </c>
      <c r="F112" s="196">
        <f t="shared" si="12"/>
        <v>2.6381165706653316</v>
      </c>
      <c r="G112" s="196">
        <f t="shared" si="12"/>
        <v>2.9678811419984976</v>
      </c>
      <c r="H112" s="196">
        <f t="shared" si="13"/>
        <v>3.2976457133316641</v>
      </c>
      <c r="I112" s="196">
        <f t="shared" si="13"/>
        <v>3.6274102846648311</v>
      </c>
      <c r="J112" s="196">
        <f t="shared" si="13"/>
        <v>3.957174855997998</v>
      </c>
      <c r="K112" s="2"/>
      <c r="L112" s="2"/>
      <c r="M112" s="2"/>
      <c r="N112" s="2"/>
      <c r="O112" s="2"/>
      <c r="P112" s="2"/>
      <c r="Q112" s="2"/>
      <c r="R112" s="2"/>
    </row>
    <row r="113" spans="1:18" hidden="1" outlineLevel="1">
      <c r="A113" s="2"/>
      <c r="B113" s="2"/>
      <c r="C113" s="2"/>
      <c r="D113" s="2"/>
      <c r="E113" s="2"/>
      <c r="F113" s="2"/>
      <c r="G113" s="2"/>
      <c r="H113" s="2"/>
      <c r="I113" s="2"/>
      <c r="J113" s="2"/>
      <c r="K113" s="2"/>
      <c r="L113" s="2"/>
      <c r="M113" s="2"/>
      <c r="N113" s="2"/>
      <c r="O113" s="2"/>
      <c r="P113" s="2"/>
      <c r="Q113" s="2"/>
      <c r="R113" s="2"/>
    </row>
    <row r="114" spans="1:18" hidden="1" outlineLevel="1">
      <c r="A114" s="2"/>
      <c r="B114" s="2"/>
      <c r="C114" s="2" t="s">
        <v>960</v>
      </c>
      <c r="D114" s="1006"/>
      <c r="E114" s="2"/>
      <c r="F114" s="2"/>
      <c r="G114" s="2"/>
      <c r="H114" s="2"/>
      <c r="I114" s="2"/>
      <c r="J114" s="2"/>
      <c r="K114" s="2"/>
      <c r="L114" s="2"/>
      <c r="M114" s="2"/>
      <c r="N114" s="2"/>
      <c r="O114" s="2"/>
      <c r="P114" s="2"/>
      <c r="Q114" s="2"/>
      <c r="R114" s="2"/>
    </row>
    <row r="115" spans="1:18" hidden="1" outlineLevel="1">
      <c r="A115" s="2"/>
      <c r="B115" s="2"/>
      <c r="C115" s="2"/>
      <c r="D115" s="2"/>
      <c r="E115" s="2"/>
      <c r="F115" s="2"/>
      <c r="G115" s="2"/>
      <c r="H115" s="2"/>
      <c r="I115" s="2"/>
      <c r="J115" s="2"/>
      <c r="K115" s="2"/>
      <c r="L115" s="2"/>
      <c r="M115" s="2"/>
      <c r="N115" s="2"/>
      <c r="O115" s="2"/>
      <c r="P115" s="2"/>
      <c r="Q115" s="2"/>
      <c r="R115" s="2"/>
    </row>
    <row r="116" spans="1:18" hidden="1" outlineLevel="1">
      <c r="A116" s="2"/>
      <c r="B116" s="2"/>
      <c r="C116" s="6" t="s">
        <v>964</v>
      </c>
      <c r="D116" s="2"/>
      <c r="E116" s="2"/>
      <c r="F116" s="2"/>
      <c r="G116" s="1007"/>
      <c r="H116" s="2"/>
      <c r="I116" s="2"/>
      <c r="J116" s="2"/>
      <c r="K116" s="2"/>
      <c r="L116" s="2"/>
      <c r="M116" s="2"/>
      <c r="N116" s="2"/>
      <c r="O116" s="2"/>
      <c r="P116" s="2"/>
      <c r="Q116" s="2"/>
      <c r="R116" s="2"/>
    </row>
    <row r="117" spans="1:18" hidden="1" outlineLevel="1">
      <c r="A117" s="2"/>
      <c r="B117" s="2"/>
      <c r="C117" s="2" t="s">
        <v>965</v>
      </c>
      <c r="D117" s="2"/>
      <c r="E117" s="2"/>
      <c r="F117" s="2"/>
      <c r="G117" s="190"/>
      <c r="H117" s="2"/>
      <c r="I117" s="2"/>
      <c r="J117" s="2"/>
      <c r="K117" s="2"/>
      <c r="L117" s="2"/>
      <c r="M117" s="2"/>
      <c r="N117" s="2"/>
      <c r="O117" s="2"/>
      <c r="P117" s="2"/>
      <c r="Q117" s="2"/>
      <c r="R117" s="2"/>
    </row>
    <row r="118" spans="1:18" hidden="1" outlineLevel="1">
      <c r="A118" s="2"/>
      <c r="B118" s="2"/>
      <c r="C118" s="2"/>
      <c r="D118" s="2"/>
      <c r="E118" s="2"/>
      <c r="F118" s="2"/>
      <c r="G118" s="2"/>
      <c r="H118" s="2"/>
      <c r="I118" s="2"/>
      <c r="J118" s="2"/>
      <c r="K118" s="2"/>
      <c r="L118" s="2"/>
      <c r="M118" s="2"/>
      <c r="N118" s="2"/>
      <c r="O118" s="2"/>
      <c r="P118" s="2"/>
      <c r="Q118" s="2"/>
      <c r="R118" s="2"/>
    </row>
    <row r="119" spans="1:18" hidden="1" outlineLevel="1">
      <c r="A119" s="2"/>
      <c r="B119" s="2"/>
      <c r="C119" s="2"/>
      <c r="D119" s="2"/>
      <c r="E119" s="2"/>
      <c r="F119" s="2"/>
      <c r="G119" s="2"/>
      <c r="H119" s="2"/>
      <c r="I119" s="2"/>
      <c r="J119" s="2"/>
      <c r="K119" s="2"/>
      <c r="L119" s="2"/>
      <c r="M119" s="2"/>
      <c r="N119" s="2"/>
      <c r="O119" s="2"/>
      <c r="P119" s="2"/>
      <c r="Q119" s="2"/>
      <c r="R119" s="2"/>
    </row>
    <row r="120" spans="1:18" hidden="1" outlineLevel="1">
      <c r="A120" s="2"/>
      <c r="B120" s="6" t="s">
        <v>985</v>
      </c>
      <c r="C120" s="6"/>
      <c r="D120" s="188">
        <v>14</v>
      </c>
      <c r="E120" s="2"/>
      <c r="F120" s="2"/>
      <c r="G120" s="2"/>
      <c r="H120" s="2"/>
      <c r="I120" s="2"/>
      <c r="J120" s="2"/>
      <c r="K120" s="2"/>
      <c r="L120" s="2"/>
      <c r="M120" s="2"/>
      <c r="N120" s="2"/>
      <c r="O120" s="2"/>
      <c r="P120" s="2"/>
      <c r="Q120" s="2"/>
      <c r="R120" s="2"/>
    </row>
    <row r="121" spans="1:18" hidden="1" outlineLevel="1">
      <c r="A121" s="2"/>
      <c r="B121" s="2"/>
      <c r="C121" s="2"/>
      <c r="D121" s="2"/>
      <c r="E121" s="2"/>
      <c r="F121" s="6" t="s">
        <v>489</v>
      </c>
      <c r="G121" s="2"/>
      <c r="H121" s="2"/>
      <c r="I121" s="2"/>
      <c r="J121" s="2"/>
      <c r="K121" s="2"/>
      <c r="L121" s="2"/>
      <c r="M121" s="2"/>
      <c r="N121" s="2"/>
      <c r="O121" s="2"/>
      <c r="P121" s="2"/>
      <c r="Q121" s="2"/>
      <c r="R121" s="2"/>
    </row>
    <row r="122" spans="1:18" hidden="1" outlineLevel="1">
      <c r="A122" s="2"/>
      <c r="B122" s="2"/>
      <c r="C122" s="6"/>
      <c r="D122" s="197">
        <f>E122-1</f>
        <v>7</v>
      </c>
      <c r="E122" s="197">
        <f>F122-1</f>
        <v>8</v>
      </c>
      <c r="F122" s="197">
        <f>G122-1</f>
        <v>9</v>
      </c>
      <c r="G122" s="197">
        <v>10</v>
      </c>
      <c r="H122" s="197">
        <f>G122+1</f>
        <v>11</v>
      </c>
      <c r="I122" s="197">
        <f>H122+1</f>
        <v>12</v>
      </c>
      <c r="J122" s="197">
        <f>I122+1</f>
        <v>13</v>
      </c>
      <c r="K122" s="2"/>
      <c r="L122" s="2"/>
      <c r="M122" s="2"/>
      <c r="N122" s="2"/>
      <c r="O122" s="2"/>
      <c r="P122" s="2"/>
      <c r="Q122" s="2"/>
      <c r="R122" s="2"/>
    </row>
    <row r="123" spans="1:18" hidden="1" outlineLevel="1">
      <c r="A123" s="2"/>
      <c r="B123" s="6"/>
      <c r="C123" s="6"/>
      <c r="D123" s="190"/>
      <c r="E123" s="190"/>
      <c r="F123" s="6" t="s">
        <v>716</v>
      </c>
      <c r="G123" s="190"/>
      <c r="H123" s="190"/>
      <c r="I123" s="190"/>
      <c r="J123" s="190"/>
      <c r="K123" s="2"/>
      <c r="L123" s="2"/>
      <c r="M123" s="2"/>
      <c r="N123" s="2"/>
      <c r="O123" s="2"/>
      <c r="P123" s="2"/>
      <c r="Q123" s="2"/>
      <c r="R123" s="2"/>
    </row>
    <row r="124" spans="1:18" hidden="1" outlineLevel="1">
      <c r="A124" s="2"/>
      <c r="B124" s="2"/>
      <c r="C124" s="6"/>
      <c r="D124" s="40">
        <f>D122/$D$120</f>
        <v>0.5</v>
      </c>
      <c r="E124" s="40">
        <f t="shared" ref="E124:J124" si="14">E122/$D$120</f>
        <v>0.5714285714285714</v>
      </c>
      <c r="F124" s="40">
        <f t="shared" si="14"/>
        <v>0.6428571428571429</v>
      </c>
      <c r="G124" s="40">
        <f t="shared" si="14"/>
        <v>0.7142857142857143</v>
      </c>
      <c r="H124" s="40">
        <f t="shared" si="14"/>
        <v>0.7857142857142857</v>
      </c>
      <c r="I124" s="40">
        <f t="shared" si="14"/>
        <v>0.8571428571428571</v>
      </c>
      <c r="J124" s="40">
        <f t="shared" si="14"/>
        <v>0.9285714285714286</v>
      </c>
      <c r="K124" s="2"/>
      <c r="L124" s="2"/>
      <c r="M124" s="2"/>
      <c r="N124" s="2"/>
      <c r="O124" s="2"/>
      <c r="P124" s="2"/>
      <c r="Q124" s="2"/>
      <c r="R124" s="2"/>
    </row>
    <row r="125" spans="1:18" hidden="1" outlineLevel="1">
      <c r="A125" s="2"/>
      <c r="B125" s="2"/>
      <c r="C125" s="1001">
        <f>C126-0.01</f>
        <v>0.19238303601480983</v>
      </c>
      <c r="D125" s="196">
        <f t="shared" ref="D125:J131" si="15">$C125*D$122</f>
        <v>1.3466812521036688</v>
      </c>
      <c r="E125" s="196">
        <f t="shared" si="15"/>
        <v>1.5390642881184786</v>
      </c>
      <c r="F125" s="196">
        <f t="shared" si="15"/>
        <v>1.7314473241332884</v>
      </c>
      <c r="G125" s="196">
        <f t="shared" si="15"/>
        <v>1.9238303601480982</v>
      </c>
      <c r="H125" s="196">
        <f t="shared" si="15"/>
        <v>2.1162133961629079</v>
      </c>
      <c r="I125" s="196">
        <f t="shared" si="15"/>
        <v>2.3085964321777181</v>
      </c>
      <c r="J125" s="196">
        <f t="shared" si="15"/>
        <v>2.5009794681925279</v>
      </c>
      <c r="K125" s="2"/>
      <c r="L125" s="2"/>
      <c r="M125" s="2"/>
      <c r="N125" s="2"/>
      <c r="O125" s="2"/>
      <c r="P125" s="2"/>
      <c r="Q125" s="2"/>
      <c r="R125" s="2"/>
    </row>
    <row r="126" spans="1:18" hidden="1" outlineLevel="1">
      <c r="A126" s="2"/>
      <c r="B126" s="6" t="s">
        <v>56</v>
      </c>
      <c r="C126" s="1001">
        <f>C127-0.01</f>
        <v>0.20238303601480984</v>
      </c>
      <c r="D126" s="196">
        <f t="shared" si="15"/>
        <v>1.4166812521036689</v>
      </c>
      <c r="E126" s="196">
        <f t="shared" si="15"/>
        <v>1.6190642881184787</v>
      </c>
      <c r="F126" s="196">
        <f t="shared" si="15"/>
        <v>1.8214473241332885</v>
      </c>
      <c r="G126" s="196">
        <f t="shared" si="15"/>
        <v>2.0238303601480983</v>
      </c>
      <c r="H126" s="196">
        <f t="shared" si="15"/>
        <v>2.2262133961629083</v>
      </c>
      <c r="I126" s="196">
        <f t="shared" si="15"/>
        <v>2.4285964321777183</v>
      </c>
      <c r="J126" s="196">
        <f t="shared" si="15"/>
        <v>2.6309794681925278</v>
      </c>
      <c r="K126" s="2"/>
      <c r="L126" s="2"/>
      <c r="M126" s="2"/>
      <c r="N126" s="2"/>
      <c r="O126" s="2"/>
      <c r="P126" s="2"/>
      <c r="Q126" s="2"/>
      <c r="R126" s="2"/>
    </row>
    <row r="127" spans="1:18" hidden="1" outlineLevel="1">
      <c r="A127" s="2"/>
      <c r="B127" s="6" t="s">
        <v>728</v>
      </c>
      <c r="C127" s="1001">
        <f>C128-0.01</f>
        <v>0.21238303601480985</v>
      </c>
      <c r="D127" s="196">
        <f t="shared" si="15"/>
        <v>1.486681252103669</v>
      </c>
      <c r="E127" s="196">
        <f t="shared" si="15"/>
        <v>1.6990642881184788</v>
      </c>
      <c r="F127" s="196">
        <f t="shared" si="15"/>
        <v>1.9114473241332886</v>
      </c>
      <c r="G127" s="196">
        <f t="shared" si="15"/>
        <v>2.1238303601480983</v>
      </c>
      <c r="H127" s="196">
        <f t="shared" si="15"/>
        <v>2.3362133961629081</v>
      </c>
      <c r="I127" s="196">
        <f t="shared" si="15"/>
        <v>2.5485964321777184</v>
      </c>
      <c r="J127" s="196">
        <f t="shared" si="15"/>
        <v>2.7609794681925282</v>
      </c>
      <c r="K127" s="2"/>
      <c r="L127" s="2"/>
      <c r="M127" s="2"/>
      <c r="N127" s="2"/>
      <c r="O127" s="2"/>
      <c r="P127" s="2"/>
      <c r="Q127" s="2"/>
      <c r="R127" s="2"/>
    </row>
    <row r="128" spans="1:18" hidden="1" outlineLevel="1">
      <c r="A128" s="2"/>
      <c r="B128" s="6" t="s">
        <v>962</v>
      </c>
      <c r="C128" s="1005">
        <f>'P&amp;L'!V106/100</f>
        <v>0.22238303601480985</v>
      </c>
      <c r="D128" s="198">
        <f t="shared" si="15"/>
        <v>1.556681252103669</v>
      </c>
      <c r="E128" s="198">
        <f t="shared" si="15"/>
        <v>1.7790642881184788</v>
      </c>
      <c r="F128" s="198">
        <f t="shared" si="15"/>
        <v>2.0014473241332889</v>
      </c>
      <c r="G128" s="199">
        <f>$C128*G$122</f>
        <v>2.2238303601480984</v>
      </c>
      <c r="H128" s="198">
        <f t="shared" si="15"/>
        <v>2.4462133961629084</v>
      </c>
      <c r="I128" s="198">
        <f t="shared" si="15"/>
        <v>2.6685964321777185</v>
      </c>
      <c r="J128" s="198">
        <f t="shared" si="15"/>
        <v>2.890979468192528</v>
      </c>
      <c r="K128" s="2"/>
      <c r="L128" s="2"/>
      <c r="M128" s="2"/>
      <c r="N128" s="2"/>
      <c r="O128" s="2"/>
      <c r="P128" s="2"/>
      <c r="Q128" s="2"/>
      <c r="R128" s="2"/>
    </row>
    <row r="129" spans="1:18" hidden="1" outlineLevel="1">
      <c r="A129" s="2"/>
      <c r="B129" s="2"/>
      <c r="C129" s="1001">
        <f>C128+0.01</f>
        <v>0.23238303601480986</v>
      </c>
      <c r="D129" s="196">
        <f t="shared" si="15"/>
        <v>1.6266812521036691</v>
      </c>
      <c r="E129" s="196">
        <f t="shared" si="15"/>
        <v>1.8590642881184789</v>
      </c>
      <c r="F129" s="196">
        <f t="shared" si="15"/>
        <v>2.0914473241332887</v>
      </c>
      <c r="G129" s="196">
        <f t="shared" si="15"/>
        <v>2.3238303601480985</v>
      </c>
      <c r="H129" s="196">
        <f t="shared" si="15"/>
        <v>2.5562133961629083</v>
      </c>
      <c r="I129" s="196">
        <f t="shared" si="15"/>
        <v>2.7885964321777186</v>
      </c>
      <c r="J129" s="196">
        <f t="shared" si="15"/>
        <v>3.0209794681925284</v>
      </c>
      <c r="K129" s="2"/>
      <c r="L129" s="2"/>
      <c r="M129" s="2"/>
      <c r="N129" s="2"/>
      <c r="O129" s="2"/>
      <c r="P129" s="2"/>
      <c r="Q129" s="2"/>
      <c r="R129" s="2"/>
    </row>
    <row r="130" spans="1:18" hidden="1" outlineLevel="1">
      <c r="A130" s="2"/>
      <c r="B130" s="2"/>
      <c r="C130" s="1001">
        <f>C129+0.01</f>
        <v>0.24238303601480987</v>
      </c>
      <c r="D130" s="196">
        <f t="shared" si="15"/>
        <v>1.6966812521036692</v>
      </c>
      <c r="E130" s="196">
        <f t="shared" si="15"/>
        <v>1.939064288118479</v>
      </c>
      <c r="F130" s="196">
        <f t="shared" si="15"/>
        <v>2.181447324133289</v>
      </c>
      <c r="G130" s="196">
        <f t="shared" si="15"/>
        <v>2.4238303601480986</v>
      </c>
      <c r="H130" s="196">
        <f t="shared" si="15"/>
        <v>2.6662133961629086</v>
      </c>
      <c r="I130" s="196">
        <f t="shared" si="15"/>
        <v>2.9085964321777187</v>
      </c>
      <c r="J130" s="196">
        <f t="shared" si="15"/>
        <v>3.1509794681925283</v>
      </c>
      <c r="K130" s="2"/>
      <c r="L130" s="2"/>
      <c r="M130" s="2"/>
      <c r="N130" s="2"/>
      <c r="O130" s="2"/>
      <c r="P130" s="2"/>
      <c r="Q130" s="2"/>
      <c r="R130" s="2"/>
    </row>
    <row r="131" spans="1:18" hidden="1" outlineLevel="1">
      <c r="A131" s="2"/>
      <c r="B131" s="2"/>
      <c r="C131" s="1001">
        <f>C130+0.01</f>
        <v>0.25238303601480988</v>
      </c>
      <c r="D131" s="196">
        <f t="shared" si="15"/>
        <v>1.7666812521036692</v>
      </c>
      <c r="E131" s="196">
        <f t="shared" si="15"/>
        <v>2.019064288118479</v>
      </c>
      <c r="F131" s="196">
        <f t="shared" si="15"/>
        <v>2.2714473241332889</v>
      </c>
      <c r="G131" s="196">
        <f t="shared" si="15"/>
        <v>2.5238303601480987</v>
      </c>
      <c r="H131" s="196">
        <f t="shared" si="15"/>
        <v>2.7762133961629085</v>
      </c>
      <c r="I131" s="196">
        <f t="shared" si="15"/>
        <v>3.0285964321777188</v>
      </c>
      <c r="J131" s="196">
        <f t="shared" si="15"/>
        <v>3.2809794681925286</v>
      </c>
      <c r="K131" s="2"/>
      <c r="L131" s="2"/>
      <c r="M131" s="2"/>
      <c r="N131" s="2"/>
      <c r="O131" s="2"/>
      <c r="P131" s="2"/>
      <c r="Q131" s="2"/>
      <c r="R131" s="2"/>
    </row>
    <row r="132" spans="1:18" hidden="1" outlineLevel="1">
      <c r="A132" s="2"/>
      <c r="B132" s="2"/>
      <c r="C132" s="2"/>
      <c r="D132" s="2"/>
      <c r="E132" s="2"/>
      <c r="F132" s="2"/>
      <c r="G132" s="2"/>
      <c r="H132" s="2"/>
      <c r="I132" s="2"/>
      <c r="J132" s="2"/>
      <c r="K132" s="2"/>
      <c r="L132" s="2"/>
      <c r="M132" s="2"/>
      <c r="N132" s="2"/>
      <c r="O132" s="2"/>
      <c r="P132" s="2"/>
      <c r="Q132" s="2"/>
      <c r="R132" s="2"/>
    </row>
    <row r="133" spans="1:18" hidden="1" outlineLevel="1">
      <c r="A133" s="2"/>
      <c r="B133" s="2"/>
      <c r="C133" s="2" t="s">
        <v>960</v>
      </c>
      <c r="D133" s="1006"/>
      <c r="E133" s="2"/>
      <c r="F133" s="2"/>
      <c r="G133" s="2"/>
      <c r="H133" s="2"/>
      <c r="I133" s="2"/>
      <c r="J133" s="2"/>
      <c r="K133" s="2"/>
      <c r="L133" s="2"/>
      <c r="M133" s="2"/>
      <c r="N133" s="2"/>
      <c r="O133" s="2"/>
      <c r="P133" s="2"/>
      <c r="Q133" s="2"/>
      <c r="R133" s="2"/>
    </row>
    <row r="134" spans="1:18" hidden="1" outlineLevel="1">
      <c r="A134" s="2"/>
      <c r="B134" s="2"/>
      <c r="C134" s="2"/>
      <c r="D134" s="2"/>
      <c r="E134" s="2"/>
      <c r="F134" s="2"/>
      <c r="G134" s="2"/>
      <c r="H134" s="2"/>
      <c r="I134" s="2"/>
      <c r="J134" s="2"/>
      <c r="K134" s="2"/>
      <c r="L134" s="2"/>
      <c r="M134" s="2"/>
      <c r="N134" s="2"/>
      <c r="O134" s="2"/>
      <c r="P134" s="2"/>
      <c r="Q134" s="2"/>
      <c r="R134" s="2"/>
    </row>
    <row r="135" spans="1:18" hidden="1" outlineLevel="1">
      <c r="A135" s="2"/>
      <c r="B135" s="2"/>
      <c r="C135" s="6" t="s">
        <v>964</v>
      </c>
      <c r="D135" s="2"/>
      <c r="E135" s="2"/>
      <c r="F135" s="2"/>
      <c r="G135" s="1007"/>
      <c r="H135" s="2"/>
      <c r="I135" s="2"/>
      <c r="J135" s="2"/>
      <c r="K135" s="2"/>
      <c r="L135" s="2"/>
      <c r="M135" s="2"/>
      <c r="N135" s="2"/>
      <c r="O135" s="2"/>
      <c r="P135" s="2"/>
      <c r="Q135" s="2"/>
      <c r="R135" s="2"/>
    </row>
    <row r="136" spans="1:18" hidden="1" outlineLevel="1">
      <c r="A136" s="2"/>
      <c r="B136" s="2"/>
      <c r="C136" s="2" t="s">
        <v>965</v>
      </c>
      <c r="D136" s="2"/>
      <c r="E136" s="2"/>
      <c r="F136" s="2"/>
      <c r="G136" s="190">
        <f>G135/C128</f>
        <v>0</v>
      </c>
      <c r="H136" s="2"/>
      <c r="I136" s="2"/>
      <c r="J136" s="2"/>
      <c r="K136" s="2"/>
      <c r="L136" s="2"/>
      <c r="M136" s="2"/>
      <c r="N136" s="2"/>
      <c r="O136" s="2"/>
      <c r="P136" s="2"/>
      <c r="Q136" s="2"/>
      <c r="R136" s="2"/>
    </row>
    <row r="137" spans="1:18" hidden="1" outlineLevel="1">
      <c r="A137" s="2"/>
      <c r="B137" s="2"/>
      <c r="C137" s="2"/>
      <c r="D137" s="2"/>
      <c r="E137" s="2"/>
      <c r="F137" s="2"/>
      <c r="G137" s="2"/>
      <c r="H137" s="2"/>
      <c r="I137" s="2"/>
      <c r="J137" s="2"/>
      <c r="K137" s="2"/>
      <c r="L137" s="2"/>
      <c r="M137" s="2"/>
      <c r="N137" s="2"/>
      <c r="O137" s="2"/>
      <c r="P137" s="2"/>
      <c r="Q137" s="2"/>
      <c r="R137" s="2"/>
    </row>
    <row r="138" spans="1:18" hidden="1" outlineLevel="1">
      <c r="A138" s="2"/>
      <c r="B138" s="2"/>
      <c r="C138" s="2"/>
      <c r="D138" s="2"/>
      <c r="E138" s="2"/>
      <c r="F138" s="2"/>
      <c r="G138" s="2"/>
      <c r="H138" s="2"/>
      <c r="I138" s="2"/>
      <c r="J138" s="2"/>
      <c r="K138" s="2"/>
      <c r="L138" s="2"/>
      <c r="M138" s="2"/>
      <c r="N138" s="2"/>
      <c r="O138" s="2"/>
      <c r="P138" s="2"/>
      <c r="Q138" s="2"/>
      <c r="R138" s="2"/>
    </row>
    <row r="139" spans="1:18" hidden="1" outlineLevel="1">
      <c r="A139" s="2"/>
      <c r="B139" s="6" t="s">
        <v>1013</v>
      </c>
      <c r="C139" s="6"/>
      <c r="D139" s="619">
        <v>16</v>
      </c>
      <c r="E139" s="2"/>
      <c r="F139" s="2"/>
      <c r="G139" s="2"/>
      <c r="H139" s="2"/>
      <c r="I139" s="2"/>
      <c r="J139" s="2"/>
      <c r="K139" s="2"/>
      <c r="L139" s="2"/>
      <c r="M139" s="2"/>
      <c r="N139" s="2"/>
      <c r="O139" s="2"/>
      <c r="P139" s="2"/>
      <c r="Q139" s="2"/>
      <c r="R139" s="2"/>
    </row>
    <row r="140" spans="1:18" hidden="1" outlineLevel="1">
      <c r="A140" s="2"/>
      <c r="B140" s="2"/>
      <c r="C140" s="2"/>
      <c r="D140" s="2"/>
      <c r="E140" s="2"/>
      <c r="F140" s="6" t="s">
        <v>489</v>
      </c>
      <c r="G140" s="2"/>
      <c r="H140" s="2"/>
      <c r="I140" s="2"/>
      <c r="J140" s="2"/>
      <c r="K140" s="2"/>
      <c r="L140" s="2"/>
      <c r="M140" s="2"/>
      <c r="N140" s="2"/>
      <c r="O140" s="2"/>
      <c r="P140" s="2"/>
      <c r="Q140" s="2"/>
      <c r="R140" s="2"/>
    </row>
    <row r="141" spans="1:18" hidden="1" outlineLevel="1">
      <c r="A141" s="2"/>
      <c r="B141" s="2"/>
      <c r="C141" s="6"/>
      <c r="D141" s="197">
        <f>E141-1</f>
        <v>7.4</v>
      </c>
      <c r="E141" s="197">
        <f>F141-1</f>
        <v>8.4</v>
      </c>
      <c r="F141" s="197">
        <f>G141-1</f>
        <v>9.4</v>
      </c>
      <c r="G141" s="197">
        <v>10.4</v>
      </c>
      <c r="H141" s="197">
        <f>G141+1</f>
        <v>11.4</v>
      </c>
      <c r="I141" s="197">
        <f>H141+1</f>
        <v>12.4</v>
      </c>
      <c r="J141" s="197">
        <f>I141+1</f>
        <v>13.4</v>
      </c>
      <c r="K141" s="2"/>
      <c r="L141" s="2"/>
      <c r="M141" s="2"/>
      <c r="N141" s="2"/>
      <c r="O141" s="2"/>
      <c r="P141" s="2"/>
      <c r="Q141" s="2"/>
      <c r="R141" s="2"/>
    </row>
    <row r="142" spans="1:18" hidden="1" outlineLevel="1">
      <c r="A142" s="2"/>
      <c r="B142" s="6"/>
      <c r="C142" s="6"/>
      <c r="D142" s="190"/>
      <c r="E142" s="190"/>
      <c r="F142" s="6" t="s">
        <v>716</v>
      </c>
      <c r="G142" s="190"/>
      <c r="H142" s="190"/>
      <c r="I142" s="190"/>
      <c r="J142" s="190"/>
      <c r="K142" s="2"/>
      <c r="L142" s="2"/>
      <c r="M142" s="2"/>
      <c r="N142" s="2"/>
      <c r="O142" s="2"/>
      <c r="P142" s="2"/>
      <c r="Q142" s="2"/>
      <c r="R142" s="2"/>
    </row>
    <row r="143" spans="1:18" hidden="1" outlineLevel="1">
      <c r="A143" s="2"/>
      <c r="B143" s="2"/>
      <c r="C143" s="6"/>
      <c r="D143" s="40">
        <f>D141/$D$120</f>
        <v>0.52857142857142858</v>
      </c>
      <c r="E143" s="40">
        <f t="shared" ref="E143:J143" si="16">E141/$D$120</f>
        <v>0.6</v>
      </c>
      <c r="F143" s="40">
        <f t="shared" si="16"/>
        <v>0.67142857142857149</v>
      </c>
      <c r="G143" s="40">
        <f t="shared" si="16"/>
        <v>0.74285714285714288</v>
      </c>
      <c r="H143" s="40">
        <f t="shared" si="16"/>
        <v>0.81428571428571428</v>
      </c>
      <c r="I143" s="40">
        <f t="shared" si="16"/>
        <v>0.88571428571428579</v>
      </c>
      <c r="J143" s="40">
        <f t="shared" si="16"/>
        <v>0.95714285714285718</v>
      </c>
      <c r="K143" s="2"/>
      <c r="L143" s="2"/>
      <c r="M143" s="2"/>
      <c r="N143" s="2"/>
      <c r="O143" s="2"/>
      <c r="P143" s="2"/>
      <c r="Q143" s="2"/>
      <c r="R143" s="2"/>
    </row>
    <row r="144" spans="1:18" hidden="1" outlineLevel="1">
      <c r="A144" s="2"/>
      <c r="B144" s="2"/>
      <c r="C144" s="1008">
        <f>C145-0.01</f>
        <v>5.2428571428571435E-2</v>
      </c>
      <c r="D144" s="196">
        <f t="shared" ref="D144:D150" si="17">$C144*D$141</f>
        <v>0.38797142857142863</v>
      </c>
      <c r="E144" s="196">
        <f t="shared" ref="E144:J150" si="18">$C144*E$141</f>
        <v>0.44040000000000007</v>
      </c>
      <c r="F144" s="196">
        <f t="shared" si="18"/>
        <v>0.4928285714285715</v>
      </c>
      <c r="G144" s="196">
        <f t="shared" si="18"/>
        <v>0.545257142857143</v>
      </c>
      <c r="H144" s="196">
        <f t="shared" si="18"/>
        <v>0.59768571428571438</v>
      </c>
      <c r="I144" s="196">
        <f t="shared" si="18"/>
        <v>0.65011428571428587</v>
      </c>
      <c r="J144" s="196">
        <f t="shared" si="18"/>
        <v>0.70254285714285725</v>
      </c>
      <c r="K144" s="2"/>
      <c r="L144" s="2"/>
      <c r="M144" s="2"/>
      <c r="N144" s="2"/>
      <c r="O144" s="2"/>
      <c r="P144" s="2"/>
      <c r="Q144" s="2"/>
      <c r="R144" s="2"/>
    </row>
    <row r="145" spans="1:18" hidden="1" outlineLevel="1">
      <c r="A145" s="2"/>
      <c r="B145" s="6" t="s">
        <v>56</v>
      </c>
      <c r="C145" s="1008">
        <f>C146-0.01</f>
        <v>6.2428571428571437E-2</v>
      </c>
      <c r="D145" s="196">
        <f t="shared" si="17"/>
        <v>0.46197142857142864</v>
      </c>
      <c r="E145" s="196">
        <f t="shared" si="18"/>
        <v>0.52440000000000009</v>
      </c>
      <c r="F145" s="196">
        <f t="shared" si="18"/>
        <v>0.58682857142857159</v>
      </c>
      <c r="G145" s="196">
        <f t="shared" si="18"/>
        <v>0.64925714285714298</v>
      </c>
      <c r="H145" s="196">
        <f t="shared" si="18"/>
        <v>0.71168571428571437</v>
      </c>
      <c r="I145" s="196">
        <f t="shared" si="18"/>
        <v>0.77411428571428587</v>
      </c>
      <c r="J145" s="196">
        <f t="shared" si="18"/>
        <v>0.83654285714285725</v>
      </c>
      <c r="K145" s="2"/>
      <c r="L145" s="2"/>
      <c r="M145" s="2"/>
      <c r="N145" s="2"/>
      <c r="O145" s="2"/>
      <c r="P145" s="2"/>
      <c r="Q145" s="2"/>
      <c r="R145" s="2"/>
    </row>
    <row r="146" spans="1:18" hidden="1" outlineLevel="1">
      <c r="A146" s="2"/>
      <c r="B146" s="6" t="s">
        <v>729</v>
      </c>
      <c r="C146" s="1008">
        <f>C147-0.01</f>
        <v>7.2428571428571439E-2</v>
      </c>
      <c r="D146" s="196">
        <f t="shared" si="17"/>
        <v>0.53597142857142865</v>
      </c>
      <c r="E146" s="196">
        <f t="shared" si="18"/>
        <v>0.60840000000000016</v>
      </c>
      <c r="F146" s="196">
        <f t="shared" si="18"/>
        <v>0.68082857142857156</v>
      </c>
      <c r="G146" s="196">
        <f t="shared" si="18"/>
        <v>0.75325714285714296</v>
      </c>
      <c r="H146" s="196">
        <f t="shared" si="18"/>
        <v>0.82568571428571447</v>
      </c>
      <c r="I146" s="196">
        <f t="shared" si="18"/>
        <v>0.89811428571428586</v>
      </c>
      <c r="J146" s="196">
        <f t="shared" si="18"/>
        <v>0.97054285714285726</v>
      </c>
      <c r="K146" s="2"/>
      <c r="L146" s="2"/>
      <c r="M146" s="2"/>
      <c r="N146" s="2"/>
      <c r="O146" s="2"/>
      <c r="P146" s="2"/>
      <c r="Q146" s="2"/>
      <c r="R146" s="2"/>
    </row>
    <row r="147" spans="1:18" hidden="1" outlineLevel="1">
      <c r="A147" s="2"/>
      <c r="B147" s="6" t="s">
        <v>962</v>
      </c>
      <c r="C147" s="1009">
        <f>'P&amp;L'!W106/100</f>
        <v>8.2428571428571434E-2</v>
      </c>
      <c r="D147" s="693">
        <f t="shared" si="17"/>
        <v>0.60997142857142861</v>
      </c>
      <c r="E147" s="693">
        <f t="shared" si="18"/>
        <v>0.69240000000000013</v>
      </c>
      <c r="F147" s="693">
        <f t="shared" si="18"/>
        <v>0.77482857142857153</v>
      </c>
      <c r="G147" s="694">
        <f t="shared" si="18"/>
        <v>0.85725714285714294</v>
      </c>
      <c r="H147" s="693">
        <f t="shared" si="18"/>
        <v>0.93968571428571435</v>
      </c>
      <c r="I147" s="693">
        <f t="shared" si="18"/>
        <v>1.0221142857142858</v>
      </c>
      <c r="J147" s="693">
        <f t="shared" si="18"/>
        <v>1.1045428571428573</v>
      </c>
      <c r="K147" s="2"/>
      <c r="L147" s="2"/>
      <c r="M147" s="2"/>
      <c r="N147" s="2"/>
      <c r="O147" s="2"/>
      <c r="P147" s="2"/>
      <c r="Q147" s="2"/>
      <c r="R147" s="2"/>
    </row>
    <row r="148" spans="1:18" hidden="1" outlineLevel="1">
      <c r="A148" s="2"/>
      <c r="B148" s="2"/>
      <c r="C148" s="1008">
        <f>C147+0.01</f>
        <v>9.2428571428571429E-2</v>
      </c>
      <c r="D148" s="196">
        <f t="shared" si="17"/>
        <v>0.68397142857142856</v>
      </c>
      <c r="E148" s="196">
        <f t="shared" si="18"/>
        <v>0.77640000000000009</v>
      </c>
      <c r="F148" s="196">
        <f t="shared" si="18"/>
        <v>0.86882857142857151</v>
      </c>
      <c r="G148" s="196">
        <f t="shared" si="18"/>
        <v>0.96125714285714292</v>
      </c>
      <c r="H148" s="196">
        <f t="shared" si="18"/>
        <v>1.0536857142857143</v>
      </c>
      <c r="I148" s="196">
        <f t="shared" si="18"/>
        <v>1.1461142857142859</v>
      </c>
      <c r="J148" s="196">
        <f t="shared" si="18"/>
        <v>1.2385428571428572</v>
      </c>
      <c r="K148" s="2"/>
      <c r="L148" s="2"/>
      <c r="M148" s="2"/>
      <c r="N148" s="2"/>
      <c r="O148" s="2"/>
      <c r="P148" s="2"/>
      <c r="Q148" s="2"/>
      <c r="R148" s="2"/>
    </row>
    <row r="149" spans="1:18" hidden="1" outlineLevel="1">
      <c r="A149" s="2"/>
      <c r="B149" s="2"/>
      <c r="C149" s="1008">
        <f>C148+0.01</f>
        <v>0.10242857142857142</v>
      </c>
      <c r="D149" s="196">
        <f t="shared" si="17"/>
        <v>0.75797142857142863</v>
      </c>
      <c r="E149" s="196">
        <f t="shared" si="18"/>
        <v>0.86040000000000005</v>
      </c>
      <c r="F149" s="196">
        <f t="shared" si="18"/>
        <v>0.96282857142857148</v>
      </c>
      <c r="G149" s="196">
        <f t="shared" si="18"/>
        <v>1.0652571428571429</v>
      </c>
      <c r="H149" s="196">
        <f t="shared" si="18"/>
        <v>1.1676857142857142</v>
      </c>
      <c r="I149" s="196">
        <f t="shared" si="18"/>
        <v>1.2701142857142858</v>
      </c>
      <c r="J149" s="196">
        <f t="shared" si="18"/>
        <v>1.3725428571428571</v>
      </c>
      <c r="K149" s="2"/>
      <c r="L149" s="2"/>
      <c r="M149" s="2"/>
      <c r="N149" s="2"/>
      <c r="O149" s="2"/>
      <c r="P149" s="2"/>
      <c r="Q149" s="2"/>
      <c r="R149" s="2"/>
    </row>
    <row r="150" spans="1:18" hidden="1" outlineLevel="1">
      <c r="A150" s="2"/>
      <c r="B150" s="2"/>
      <c r="C150" s="1008">
        <f>C149+0.01</f>
        <v>0.11242857142857142</v>
      </c>
      <c r="D150" s="196">
        <f t="shared" si="17"/>
        <v>0.83197142857142858</v>
      </c>
      <c r="E150" s="196">
        <f t="shared" si="18"/>
        <v>0.94440000000000002</v>
      </c>
      <c r="F150" s="196">
        <f t="shared" si="18"/>
        <v>1.0568285714285715</v>
      </c>
      <c r="G150" s="196">
        <f t="shared" si="18"/>
        <v>1.1692571428571428</v>
      </c>
      <c r="H150" s="196">
        <f t="shared" si="18"/>
        <v>1.2816857142857143</v>
      </c>
      <c r="I150" s="196">
        <f t="shared" si="18"/>
        <v>1.3941142857142856</v>
      </c>
      <c r="J150" s="196">
        <f t="shared" si="18"/>
        <v>1.506542857142857</v>
      </c>
      <c r="K150" s="2"/>
      <c r="L150" s="2"/>
      <c r="M150" s="2"/>
      <c r="N150" s="2"/>
      <c r="O150" s="2"/>
      <c r="P150" s="2"/>
      <c r="Q150" s="2"/>
      <c r="R150" s="2"/>
    </row>
    <row r="151" spans="1:18" hidden="1" outlineLevel="1">
      <c r="A151" s="2"/>
      <c r="B151" s="2"/>
      <c r="C151" s="2"/>
      <c r="D151" s="2"/>
      <c r="E151" s="2"/>
      <c r="F151" s="2"/>
      <c r="G151" s="2"/>
      <c r="H151" s="2"/>
      <c r="I151" s="2"/>
      <c r="J151" s="2"/>
      <c r="K151" s="2"/>
      <c r="L151" s="2"/>
      <c r="M151" s="2"/>
      <c r="N151" s="2"/>
      <c r="O151" s="2"/>
      <c r="P151" s="2"/>
      <c r="Q151" s="2"/>
      <c r="R151" s="2"/>
    </row>
    <row r="152" spans="1:18" hidden="1" outlineLevel="1">
      <c r="A152" s="2"/>
      <c r="B152" s="2"/>
      <c r="C152" s="6" t="s">
        <v>1039</v>
      </c>
      <c r="D152" s="2"/>
      <c r="E152" s="2"/>
      <c r="F152" s="2"/>
      <c r="G152" s="1006"/>
      <c r="H152" s="2"/>
      <c r="I152" s="2"/>
      <c r="J152" s="2"/>
      <c r="K152" s="2"/>
      <c r="L152" s="2"/>
      <c r="M152" s="2"/>
      <c r="N152" s="2"/>
      <c r="O152" s="2"/>
      <c r="P152" s="2"/>
      <c r="Q152" s="2"/>
      <c r="R152" s="2"/>
    </row>
    <row r="153" spans="1:18" hidden="1" outlineLevel="1">
      <c r="A153" s="2"/>
      <c r="B153" s="2"/>
      <c r="C153" s="2"/>
      <c r="D153" s="2"/>
      <c r="E153" s="2"/>
      <c r="F153" s="2"/>
      <c r="G153" s="2"/>
      <c r="H153" s="2"/>
      <c r="I153" s="2"/>
      <c r="J153" s="2"/>
      <c r="K153" s="2"/>
      <c r="L153" s="2"/>
      <c r="M153" s="2"/>
      <c r="N153" s="2"/>
      <c r="O153" s="2"/>
      <c r="P153" s="2"/>
      <c r="Q153" s="2"/>
      <c r="R153" s="2"/>
    </row>
    <row r="154" spans="1:18" hidden="1" outlineLevel="1">
      <c r="A154" s="2"/>
      <c r="B154" s="2"/>
      <c r="C154" s="6" t="s">
        <v>964</v>
      </c>
      <c r="D154" s="2"/>
      <c r="E154" s="2"/>
      <c r="F154" s="2"/>
      <c r="G154" s="1007"/>
      <c r="H154" s="2"/>
      <c r="I154" s="2"/>
      <c r="J154" s="2"/>
      <c r="K154" s="2"/>
      <c r="L154" s="2"/>
      <c r="M154" s="2"/>
      <c r="N154" s="2"/>
      <c r="O154" s="2"/>
      <c r="P154" s="2"/>
      <c r="Q154" s="2"/>
      <c r="R154" s="2"/>
    </row>
    <row r="155" spans="1:18" hidden="1" outlineLevel="1">
      <c r="A155" s="2"/>
      <c r="B155" s="2"/>
      <c r="C155" s="2" t="s">
        <v>965</v>
      </c>
      <c r="D155" s="2"/>
      <c r="E155" s="2"/>
      <c r="F155" s="2"/>
      <c r="G155" s="190"/>
      <c r="H155" s="2"/>
      <c r="I155" s="2"/>
      <c r="J155" s="2"/>
      <c r="K155" s="2"/>
      <c r="L155" s="2"/>
      <c r="M155" s="2"/>
      <c r="N155" s="2"/>
      <c r="O155" s="2"/>
      <c r="P155" s="2"/>
      <c r="Q155" s="2"/>
      <c r="R155" s="2"/>
    </row>
    <row r="156" spans="1:18" hidden="1" outlineLevel="1" collapsed="1">
      <c r="A156" s="2"/>
      <c r="B156" s="2"/>
      <c r="C156" s="2"/>
      <c r="D156" s="2"/>
      <c r="E156" s="2"/>
      <c r="F156" s="2"/>
      <c r="G156" s="2"/>
      <c r="H156" s="2"/>
      <c r="I156" s="2"/>
      <c r="J156" s="2"/>
      <c r="K156" s="2"/>
      <c r="L156" s="2"/>
      <c r="M156" s="2"/>
      <c r="N156" s="2"/>
      <c r="O156" s="2"/>
      <c r="P156" s="2"/>
      <c r="Q156" s="2"/>
      <c r="R156" s="2"/>
    </row>
    <row r="157" spans="1:18" hidden="1" outlineLevel="1">
      <c r="A157" s="86"/>
      <c r="B157" s="306" t="s">
        <v>176</v>
      </c>
      <c r="C157" s="86"/>
      <c r="D157" s="86"/>
      <c r="E157" s="86"/>
      <c r="F157" s="86"/>
      <c r="G157" s="86"/>
      <c r="H157" s="86"/>
      <c r="I157" s="86"/>
      <c r="J157" s="86"/>
      <c r="K157" s="86"/>
      <c r="L157" s="86"/>
      <c r="M157" s="2"/>
      <c r="N157" s="2"/>
      <c r="O157" s="2"/>
      <c r="P157" s="2"/>
      <c r="Q157" s="2"/>
      <c r="R157" s="2"/>
    </row>
    <row r="158" spans="1:18" hidden="1" outlineLevel="1">
      <c r="A158" s="2"/>
      <c r="B158" s="2"/>
      <c r="C158" s="2"/>
      <c r="D158" s="2"/>
      <c r="E158" s="2"/>
      <c r="F158" s="2"/>
      <c r="G158" s="2"/>
      <c r="H158" s="2"/>
      <c r="I158" s="2"/>
      <c r="J158" s="2"/>
      <c r="K158" s="2"/>
      <c r="L158" s="2"/>
      <c r="M158" s="2"/>
      <c r="N158" s="2"/>
      <c r="O158" s="2"/>
      <c r="P158" s="2"/>
      <c r="Q158" s="2"/>
      <c r="R158" s="2"/>
    </row>
    <row r="159" spans="1:18" hidden="1" outlineLevel="1">
      <c r="A159" s="128"/>
      <c r="B159" s="6" t="s">
        <v>1013</v>
      </c>
      <c r="C159" s="619">
        <v>16</v>
      </c>
      <c r="D159" s="2"/>
      <c r="E159" s="2"/>
      <c r="F159" s="2"/>
      <c r="G159" s="2"/>
      <c r="H159" s="2"/>
      <c r="I159" s="2"/>
      <c r="J159" s="2"/>
      <c r="K159" s="2"/>
      <c r="L159" s="2"/>
      <c r="M159" s="2"/>
      <c r="N159" s="2"/>
      <c r="O159" s="2"/>
      <c r="P159" s="2"/>
      <c r="Q159" s="2"/>
      <c r="R159" s="2"/>
    </row>
    <row r="160" spans="1:18" hidden="1" outlineLevel="1">
      <c r="A160" s="128"/>
      <c r="B160" s="2"/>
      <c r="C160" s="2"/>
      <c r="D160" s="2"/>
      <c r="E160" s="2"/>
      <c r="F160" s="6" t="s">
        <v>489</v>
      </c>
      <c r="G160" s="2"/>
      <c r="H160" s="2"/>
      <c r="I160" s="2"/>
      <c r="J160" s="2"/>
      <c r="K160" s="2"/>
      <c r="L160" s="2"/>
      <c r="M160" s="2"/>
      <c r="N160" s="2"/>
      <c r="O160" s="2"/>
      <c r="P160" s="2"/>
      <c r="Q160" s="2"/>
      <c r="R160" s="2"/>
    </row>
    <row r="161" spans="1:18" hidden="1" outlineLevel="1">
      <c r="A161" s="128"/>
      <c r="B161" s="2"/>
      <c r="C161" s="6"/>
      <c r="D161" s="197">
        <f>E161-1</f>
        <v>7</v>
      </c>
      <c r="E161" s="197">
        <f>F161-1</f>
        <v>8</v>
      </c>
      <c r="F161" s="197">
        <f>G161-1</f>
        <v>9</v>
      </c>
      <c r="G161" s="197">
        <v>10</v>
      </c>
      <c r="H161" s="197">
        <f>G161+1</f>
        <v>11</v>
      </c>
      <c r="I161" s="197">
        <f>H161+1</f>
        <v>12</v>
      </c>
      <c r="J161" s="197">
        <f>I161+1</f>
        <v>13</v>
      </c>
      <c r="K161" s="2"/>
      <c r="L161" s="2"/>
      <c r="M161" s="2"/>
      <c r="N161" s="2"/>
      <c r="O161" s="2"/>
      <c r="P161" s="2"/>
      <c r="Q161" s="2"/>
      <c r="R161" s="2"/>
    </row>
    <row r="162" spans="1:18" hidden="1" outlineLevel="1">
      <c r="A162" s="128"/>
      <c r="B162" s="6"/>
      <c r="C162" s="6"/>
      <c r="D162" s="190"/>
      <c r="E162" s="190"/>
      <c r="F162" s="6" t="s">
        <v>716</v>
      </c>
      <c r="G162" s="190"/>
      <c r="H162" s="190"/>
      <c r="I162" s="190"/>
      <c r="J162" s="190"/>
      <c r="K162" s="2"/>
      <c r="L162" s="2"/>
      <c r="M162" s="2"/>
      <c r="N162" s="2"/>
      <c r="O162" s="2"/>
      <c r="P162" s="2"/>
      <c r="Q162" s="2"/>
      <c r="R162" s="2"/>
    </row>
    <row r="163" spans="1:18" hidden="1" outlineLevel="1">
      <c r="A163" s="128"/>
      <c r="B163" s="7"/>
      <c r="C163" s="6"/>
      <c r="D163" s="40">
        <f>D161/$D$120</f>
        <v>0.5</v>
      </c>
      <c r="E163" s="40">
        <f t="shared" ref="E163:J163" si="19">E161/$D$120</f>
        <v>0.5714285714285714</v>
      </c>
      <c r="F163" s="40">
        <f t="shared" si="19"/>
        <v>0.6428571428571429</v>
      </c>
      <c r="G163" s="40">
        <f t="shared" si="19"/>
        <v>0.7142857142857143</v>
      </c>
      <c r="H163" s="40">
        <f t="shared" si="19"/>
        <v>0.7857142857142857</v>
      </c>
      <c r="I163" s="40">
        <f t="shared" si="19"/>
        <v>0.8571428571428571</v>
      </c>
      <c r="J163" s="40">
        <f t="shared" si="19"/>
        <v>0.9285714285714286</v>
      </c>
      <c r="K163" s="2"/>
      <c r="L163" s="2"/>
      <c r="M163" s="2"/>
      <c r="N163" s="2"/>
      <c r="O163" s="2"/>
      <c r="P163" s="2"/>
      <c r="Q163" s="2"/>
      <c r="R163" s="2"/>
    </row>
    <row r="164" spans="1:18" hidden="1" outlineLevel="1">
      <c r="A164" s="128"/>
      <c r="B164" s="7"/>
      <c r="C164" s="1008">
        <f>C165-0.01</f>
        <v>9.0794288015258129E-2</v>
      </c>
      <c r="D164" s="196">
        <f t="shared" ref="D164:D170" si="20">$C164*D$161</f>
        <v>0.6355600161068069</v>
      </c>
      <c r="E164" s="196">
        <f t="shared" ref="E164:J170" si="21">$C164*E$161</f>
        <v>0.72635430412206503</v>
      </c>
      <c r="F164" s="196">
        <f t="shared" si="21"/>
        <v>0.81714859213732316</v>
      </c>
      <c r="G164" s="196">
        <f t="shared" si="21"/>
        <v>0.90794288015258129</v>
      </c>
      <c r="H164" s="196">
        <f t="shared" si="21"/>
        <v>0.99873716816783942</v>
      </c>
      <c r="I164" s="196">
        <f t="shared" si="21"/>
        <v>1.0895314561830975</v>
      </c>
      <c r="J164" s="196">
        <f t="shared" si="21"/>
        <v>1.1803257441983557</v>
      </c>
      <c r="K164" s="2"/>
      <c r="L164" s="2"/>
      <c r="M164" s="2"/>
      <c r="N164" s="2"/>
      <c r="O164" s="2"/>
      <c r="P164" s="2"/>
      <c r="Q164" s="2"/>
      <c r="R164" s="2"/>
    </row>
    <row r="165" spans="1:18" hidden="1" outlineLevel="1">
      <c r="A165" s="128"/>
      <c r="B165" s="34" t="s">
        <v>56</v>
      </c>
      <c r="C165" s="1008">
        <f>C166-0.01</f>
        <v>0.10079428801525812</v>
      </c>
      <c r="D165" s="196">
        <f t="shared" si="20"/>
        <v>0.70556001610680685</v>
      </c>
      <c r="E165" s="196">
        <f t="shared" si="21"/>
        <v>0.80635430412206499</v>
      </c>
      <c r="F165" s="196">
        <f t="shared" si="21"/>
        <v>0.90714859213732313</v>
      </c>
      <c r="G165" s="196">
        <f t="shared" si="21"/>
        <v>1.0079428801525812</v>
      </c>
      <c r="H165" s="196">
        <f t="shared" si="21"/>
        <v>1.1087371681678393</v>
      </c>
      <c r="I165" s="196">
        <f t="shared" si="21"/>
        <v>1.2095314561830974</v>
      </c>
      <c r="J165" s="196">
        <f t="shared" si="21"/>
        <v>1.3103257441983556</v>
      </c>
      <c r="K165" s="2"/>
      <c r="L165" s="2"/>
      <c r="M165" s="2"/>
      <c r="N165" s="2"/>
      <c r="O165" s="2"/>
      <c r="P165" s="2"/>
      <c r="Q165" s="2"/>
      <c r="R165" s="2"/>
    </row>
    <row r="166" spans="1:18" hidden="1" outlineLevel="1">
      <c r="A166" s="128"/>
      <c r="B166" s="34" t="s">
        <v>729</v>
      </c>
      <c r="C166" s="1008">
        <f>C167-0.01</f>
        <v>0.11079428801525812</v>
      </c>
      <c r="D166" s="196">
        <f t="shared" si="20"/>
        <v>0.7755600161068068</v>
      </c>
      <c r="E166" s="196">
        <f t="shared" si="21"/>
        <v>0.88635430412206495</v>
      </c>
      <c r="F166" s="196">
        <f t="shared" si="21"/>
        <v>0.9971485921373231</v>
      </c>
      <c r="G166" s="196">
        <f t="shared" si="21"/>
        <v>1.1079428801525812</v>
      </c>
      <c r="H166" s="196">
        <f t="shared" si="21"/>
        <v>1.2187371681678394</v>
      </c>
      <c r="I166" s="196">
        <f t="shared" si="21"/>
        <v>1.3295314561830973</v>
      </c>
      <c r="J166" s="196">
        <f t="shared" si="21"/>
        <v>1.4403257441983555</v>
      </c>
      <c r="K166" s="2"/>
      <c r="L166" s="2"/>
      <c r="M166" s="2"/>
      <c r="N166" s="2"/>
      <c r="O166" s="2"/>
      <c r="P166" s="2"/>
      <c r="Q166" s="2"/>
      <c r="R166" s="2"/>
    </row>
    <row r="167" spans="1:18" hidden="1" outlineLevel="1">
      <c r="A167" s="128"/>
      <c r="B167" s="34" t="s">
        <v>962</v>
      </c>
      <c r="C167" s="1010">
        <f>M229/100</f>
        <v>0.12079428801525811</v>
      </c>
      <c r="D167" s="693">
        <f t="shared" si="20"/>
        <v>0.84556001610680676</v>
      </c>
      <c r="E167" s="693">
        <f t="shared" si="21"/>
        <v>0.96635430412206491</v>
      </c>
      <c r="F167" s="693">
        <f t="shared" si="21"/>
        <v>1.087148592137323</v>
      </c>
      <c r="G167" s="694">
        <f t="shared" si="21"/>
        <v>1.2079428801525811</v>
      </c>
      <c r="H167" s="693">
        <f t="shared" si="21"/>
        <v>1.3287371681678393</v>
      </c>
      <c r="I167" s="693">
        <f t="shared" si="21"/>
        <v>1.4495314561830974</v>
      </c>
      <c r="J167" s="693">
        <f t="shared" si="21"/>
        <v>1.5703257441983556</v>
      </c>
      <c r="K167" s="2"/>
      <c r="L167" s="2"/>
      <c r="M167" s="2"/>
      <c r="N167" s="2"/>
      <c r="O167" s="2"/>
      <c r="P167" s="2"/>
      <c r="Q167" s="2"/>
      <c r="R167" s="2"/>
    </row>
    <row r="168" spans="1:18" hidden="1" outlineLevel="1">
      <c r="A168" s="128"/>
      <c r="B168" s="7"/>
      <c r="C168" s="1008">
        <f>C167+0.01</f>
        <v>0.13079428801525811</v>
      </c>
      <c r="D168" s="196">
        <f t="shared" si="20"/>
        <v>0.91556001610680671</v>
      </c>
      <c r="E168" s="196">
        <f t="shared" si="21"/>
        <v>1.0463543041220649</v>
      </c>
      <c r="F168" s="196">
        <f t="shared" si="21"/>
        <v>1.177148592137323</v>
      </c>
      <c r="G168" s="196">
        <f t="shared" si="21"/>
        <v>1.3079428801525812</v>
      </c>
      <c r="H168" s="196">
        <f t="shared" si="21"/>
        <v>1.4387371681678391</v>
      </c>
      <c r="I168" s="196">
        <f t="shared" si="21"/>
        <v>1.5695314561830973</v>
      </c>
      <c r="J168" s="196">
        <f t="shared" si="21"/>
        <v>1.7003257441983555</v>
      </c>
      <c r="K168" s="2"/>
      <c r="L168" s="2"/>
      <c r="M168" s="2"/>
      <c r="N168" s="2"/>
      <c r="O168" s="2"/>
      <c r="P168" s="2"/>
      <c r="Q168" s="2"/>
      <c r="R168" s="2"/>
    </row>
    <row r="169" spans="1:18" hidden="1" outlineLevel="1">
      <c r="A169" s="128"/>
      <c r="B169" s="7"/>
      <c r="C169" s="1008">
        <f>C168+0.01</f>
        <v>0.14079428801525812</v>
      </c>
      <c r="D169" s="196">
        <f t="shared" si="20"/>
        <v>0.98556001610680677</v>
      </c>
      <c r="E169" s="196">
        <f t="shared" si="21"/>
        <v>1.1263543041220649</v>
      </c>
      <c r="F169" s="196">
        <f t="shared" si="21"/>
        <v>1.2671485921373231</v>
      </c>
      <c r="G169" s="196">
        <f t="shared" si="21"/>
        <v>1.4079428801525813</v>
      </c>
      <c r="H169" s="196">
        <f t="shared" si="21"/>
        <v>1.5487371681678392</v>
      </c>
      <c r="I169" s="196">
        <f t="shared" si="21"/>
        <v>1.6895314561830974</v>
      </c>
      <c r="J169" s="196">
        <f t="shared" si="21"/>
        <v>1.8303257441983556</v>
      </c>
      <c r="K169" s="2"/>
      <c r="L169" s="2"/>
      <c r="M169" s="2"/>
      <c r="N169" s="2"/>
      <c r="O169" s="2"/>
      <c r="P169" s="2"/>
      <c r="Q169" s="2"/>
      <c r="R169" s="2"/>
    </row>
    <row r="170" spans="1:18" hidden="1" outlineLevel="1">
      <c r="A170" s="128"/>
      <c r="B170" s="7"/>
      <c r="C170" s="1008">
        <f>C169+0.01</f>
        <v>0.15079428801525813</v>
      </c>
      <c r="D170" s="196">
        <f t="shared" si="20"/>
        <v>1.0555600161068068</v>
      </c>
      <c r="E170" s="196">
        <f t="shared" si="21"/>
        <v>1.206354304122065</v>
      </c>
      <c r="F170" s="196">
        <f t="shared" si="21"/>
        <v>1.3571485921373232</v>
      </c>
      <c r="G170" s="196">
        <f t="shared" si="21"/>
        <v>1.5079428801525814</v>
      </c>
      <c r="H170" s="196">
        <f t="shared" si="21"/>
        <v>1.6587371681678393</v>
      </c>
      <c r="I170" s="196">
        <f t="shared" si="21"/>
        <v>1.8095314561830975</v>
      </c>
      <c r="J170" s="196">
        <f t="shared" si="21"/>
        <v>1.9603257441983557</v>
      </c>
      <c r="K170" s="2"/>
      <c r="L170" s="2"/>
      <c r="M170" s="2"/>
      <c r="N170" s="2"/>
      <c r="O170" s="2"/>
      <c r="P170" s="2"/>
      <c r="Q170" s="2"/>
      <c r="R170" s="2"/>
    </row>
    <row r="171" spans="1:18" hidden="1" outlineLevel="1">
      <c r="A171" s="128"/>
      <c r="B171" s="2"/>
      <c r="C171" s="2"/>
      <c r="D171" s="2"/>
      <c r="E171" s="2"/>
      <c r="F171" s="2"/>
      <c r="G171" s="2"/>
      <c r="H171" s="2"/>
      <c r="I171" s="2"/>
      <c r="J171" s="2"/>
      <c r="K171" s="2"/>
      <c r="L171" s="2"/>
      <c r="M171" s="2"/>
      <c r="N171" s="2"/>
      <c r="O171" s="2"/>
      <c r="P171" s="2"/>
      <c r="Q171" s="2"/>
      <c r="R171" s="2"/>
    </row>
    <row r="172" spans="1:18" hidden="1" outlineLevel="1">
      <c r="A172" s="128"/>
      <c r="B172" s="2"/>
      <c r="C172" s="2"/>
      <c r="D172" s="2"/>
      <c r="E172" s="2"/>
      <c r="F172" s="21" t="s">
        <v>92</v>
      </c>
      <c r="G172" s="21"/>
      <c r="H172" s="21" t="s">
        <v>234</v>
      </c>
      <c r="I172" s="18"/>
      <c r="J172" s="21" t="s">
        <v>1043</v>
      </c>
      <c r="K172" s="2"/>
      <c r="L172" s="2"/>
      <c r="M172" s="2"/>
      <c r="N172" s="2"/>
      <c r="O172" s="2"/>
      <c r="P172" s="2"/>
      <c r="Q172" s="2"/>
      <c r="R172" s="2"/>
    </row>
    <row r="173" spans="1:18" hidden="1" outlineLevel="1">
      <c r="A173" s="128"/>
      <c r="B173" s="2"/>
      <c r="C173" s="2"/>
      <c r="D173" s="2"/>
      <c r="E173" s="2"/>
      <c r="F173" s="21" t="s">
        <v>457</v>
      </c>
      <c r="G173" s="21"/>
      <c r="H173" s="21" t="s">
        <v>1047</v>
      </c>
      <c r="I173" s="18"/>
      <c r="J173" s="21" t="s">
        <v>1044</v>
      </c>
      <c r="K173" s="2"/>
      <c r="L173" s="2"/>
      <c r="M173" s="2"/>
      <c r="N173" s="2"/>
      <c r="O173" s="2"/>
      <c r="P173" s="2"/>
      <c r="Q173" s="2"/>
      <c r="R173" s="2"/>
    </row>
    <row r="174" spans="1:18" hidden="1" outlineLevel="1">
      <c r="A174" s="128"/>
      <c r="B174" s="2" t="s">
        <v>1062</v>
      </c>
      <c r="C174" s="2"/>
      <c r="D174" s="2"/>
      <c r="E174" s="2"/>
      <c r="F174" s="196">
        <f>G167</f>
        <v>1.2079428801525811</v>
      </c>
      <c r="G174" s="18"/>
      <c r="H174" s="1011">
        <f>C167</f>
        <v>0.12079428801525811</v>
      </c>
      <c r="I174" s="18"/>
      <c r="J174" s="1012">
        <f>F174/H174</f>
        <v>10</v>
      </c>
      <c r="K174" s="2"/>
      <c r="L174" s="2"/>
      <c r="M174" s="2"/>
      <c r="N174" s="2"/>
      <c r="O174" s="2"/>
      <c r="P174" s="2"/>
      <c r="Q174" s="2"/>
      <c r="R174" s="2"/>
    </row>
    <row r="175" spans="1:18" hidden="1" outlineLevel="1">
      <c r="A175" s="128"/>
      <c r="B175" s="2" t="s">
        <v>1045</v>
      </c>
      <c r="C175" s="2"/>
      <c r="D175" s="2"/>
      <c r="E175" s="2"/>
      <c r="F175" s="1013"/>
      <c r="G175" s="18"/>
      <c r="H175" s="1011">
        <f>M230/100</f>
        <v>3.8891354283187747E-2</v>
      </c>
      <c r="I175" s="18"/>
      <c r="J175" s="1012">
        <f>F175/H175</f>
        <v>0</v>
      </c>
      <c r="K175" s="2"/>
      <c r="L175" s="2"/>
      <c r="M175" s="2"/>
      <c r="N175" s="2"/>
      <c r="O175" s="2"/>
      <c r="P175" s="2"/>
      <c r="Q175" s="2"/>
      <c r="R175" s="2"/>
    </row>
    <row r="176" spans="1:18" hidden="1" outlineLevel="1">
      <c r="A176" s="128"/>
      <c r="B176" s="23" t="s">
        <v>1046</v>
      </c>
      <c r="C176" s="23"/>
      <c r="D176" s="23"/>
      <c r="E176" s="23"/>
      <c r="F176" s="1014">
        <f>M241</f>
        <v>0.35250564142604135</v>
      </c>
      <c r="G176" s="22"/>
      <c r="H176" s="1015">
        <f>M231/100</f>
        <v>1.7625282071302067E-2</v>
      </c>
      <c r="I176" s="22"/>
      <c r="J176" s="1016">
        <f>F176/H176</f>
        <v>20</v>
      </c>
      <c r="K176" s="2"/>
      <c r="L176" s="2"/>
      <c r="M176" s="2"/>
      <c r="N176" s="2"/>
      <c r="O176" s="2"/>
      <c r="P176" s="2"/>
      <c r="Q176" s="2"/>
      <c r="R176" s="2"/>
    </row>
    <row r="177" spans="1:18" hidden="1" outlineLevel="1">
      <c r="A177" s="128"/>
      <c r="B177" s="6" t="s">
        <v>1063</v>
      </c>
      <c r="C177" s="2"/>
      <c r="D177" s="2"/>
      <c r="E177" s="2"/>
      <c r="F177" s="1017">
        <f>SUM(F174:F176)</f>
        <v>1.5604485215786226</v>
      </c>
      <c r="G177" s="18"/>
      <c r="H177" s="1018">
        <f>'P&amp;L'!W104/100</f>
        <v>0.17731092436974791</v>
      </c>
      <c r="I177" s="18"/>
      <c r="J177" s="1019">
        <f>F177/H177</f>
        <v>8.8006338420784864</v>
      </c>
      <c r="K177" s="2"/>
      <c r="L177" s="2"/>
      <c r="M177" s="2"/>
      <c r="N177" s="2"/>
      <c r="O177" s="2"/>
      <c r="P177" s="2"/>
      <c r="Q177" s="2"/>
      <c r="R177" s="2"/>
    </row>
    <row r="178" spans="1:18" hidden="1" outlineLevel="1">
      <c r="A178" s="128"/>
      <c r="B178" s="2"/>
      <c r="C178" s="2"/>
      <c r="D178" s="2"/>
      <c r="E178" s="2"/>
      <c r="F178" s="2"/>
      <c r="G178" s="2"/>
      <c r="H178" s="2"/>
      <c r="I178" s="2"/>
      <c r="J178" s="2"/>
      <c r="K178" s="2"/>
      <c r="L178" s="2"/>
      <c r="M178" s="2"/>
      <c r="N178" s="2"/>
      <c r="O178" s="2"/>
      <c r="P178" s="2"/>
      <c r="Q178" s="2"/>
      <c r="R178" s="2"/>
    </row>
    <row r="179" spans="1:18" hidden="1" outlineLevel="1" collapsed="1">
      <c r="A179" s="2"/>
      <c r="B179" s="2"/>
      <c r="C179" s="2"/>
      <c r="D179" s="2"/>
      <c r="E179" s="2"/>
      <c r="F179" s="2"/>
      <c r="G179" s="2"/>
      <c r="H179" s="2"/>
      <c r="I179" s="2"/>
      <c r="J179" s="2"/>
      <c r="K179" s="2"/>
      <c r="L179" s="2"/>
      <c r="M179" s="2"/>
      <c r="N179" s="2"/>
      <c r="O179" s="2"/>
      <c r="P179" s="2"/>
      <c r="Q179" s="2"/>
      <c r="R179" s="2"/>
    </row>
    <row r="180" spans="1:18" hidden="1" outlineLevel="1">
      <c r="A180" s="86"/>
      <c r="B180" s="306" t="s">
        <v>177</v>
      </c>
      <c r="C180" s="86"/>
      <c r="D180" s="86"/>
      <c r="E180" s="86"/>
      <c r="F180" s="86"/>
      <c r="G180" s="86"/>
      <c r="H180" s="86"/>
      <c r="I180" s="86"/>
      <c r="J180" s="86"/>
      <c r="K180" s="2"/>
      <c r="L180" s="2"/>
      <c r="M180" s="2"/>
      <c r="N180" s="2"/>
      <c r="O180" s="2"/>
      <c r="P180" s="2"/>
      <c r="Q180" s="2"/>
      <c r="R180" s="2"/>
    </row>
    <row r="181" spans="1:18" hidden="1" outlineLevel="1">
      <c r="A181" s="2"/>
      <c r="B181" s="2"/>
      <c r="C181" s="2"/>
      <c r="D181" s="2"/>
      <c r="E181" s="2"/>
      <c r="F181" s="2"/>
      <c r="G181" s="2"/>
      <c r="H181" s="2"/>
      <c r="I181" s="2"/>
      <c r="J181" s="2"/>
      <c r="K181" s="2"/>
      <c r="L181" s="2"/>
      <c r="M181" s="2"/>
      <c r="N181" s="2"/>
      <c r="O181" s="2"/>
      <c r="P181" s="2"/>
      <c r="Q181" s="2"/>
      <c r="R181" s="2"/>
    </row>
    <row r="182" spans="1:18" hidden="1" outlineLevel="1">
      <c r="A182" s="2"/>
      <c r="B182" s="6" t="s">
        <v>1077</v>
      </c>
      <c r="C182" s="619">
        <v>16</v>
      </c>
      <c r="D182" s="2"/>
      <c r="E182" s="2"/>
      <c r="F182" s="2"/>
      <c r="G182" s="2"/>
      <c r="H182" s="2"/>
      <c r="I182" s="2"/>
      <c r="J182" s="2"/>
      <c r="K182" s="2"/>
      <c r="L182" s="2"/>
      <c r="M182" s="2"/>
      <c r="N182" s="2"/>
      <c r="O182" s="2"/>
      <c r="P182" s="2"/>
      <c r="Q182" s="2"/>
      <c r="R182" s="2"/>
    </row>
    <row r="183" spans="1:18" hidden="1" outlineLevel="1">
      <c r="A183" s="2"/>
      <c r="B183" s="2"/>
      <c r="C183" s="2"/>
      <c r="D183" s="2"/>
      <c r="E183" s="2"/>
      <c r="F183" s="2"/>
      <c r="G183" s="21" t="s">
        <v>1076</v>
      </c>
      <c r="H183" s="2"/>
      <c r="I183" s="2"/>
      <c r="J183" s="2"/>
      <c r="K183" s="2"/>
      <c r="L183" s="2"/>
      <c r="M183" s="2"/>
      <c r="N183" s="2"/>
      <c r="O183" s="2"/>
      <c r="P183" s="2"/>
      <c r="Q183" s="2"/>
      <c r="R183" s="2"/>
    </row>
    <row r="184" spans="1:18" hidden="1" outlineLevel="1">
      <c r="A184" s="2"/>
      <c r="B184" s="2"/>
      <c r="C184" s="6"/>
      <c r="D184" s="197">
        <f>E184-1</f>
        <v>9</v>
      </c>
      <c r="E184" s="197">
        <f>F184-1</f>
        <v>10</v>
      </c>
      <c r="F184" s="197">
        <f>G184-1</f>
        <v>11</v>
      </c>
      <c r="G184" s="197">
        <v>12</v>
      </c>
      <c r="H184" s="197">
        <f>G184+1</f>
        <v>13</v>
      </c>
      <c r="I184" s="197">
        <f>H184+1</f>
        <v>14</v>
      </c>
      <c r="J184" s="197">
        <f>I184+1</f>
        <v>15</v>
      </c>
      <c r="K184" s="2"/>
      <c r="L184" s="2"/>
      <c r="M184" s="2"/>
      <c r="N184" s="2"/>
      <c r="O184" s="2"/>
      <c r="P184" s="2"/>
      <c r="Q184" s="2"/>
      <c r="R184" s="2"/>
    </row>
    <row r="185" spans="1:18" hidden="1" outlineLevel="1">
      <c r="A185" s="2"/>
      <c r="B185" s="34"/>
      <c r="C185" s="6"/>
      <c r="D185" s="190"/>
      <c r="E185" s="190"/>
      <c r="F185" s="6" t="s">
        <v>716</v>
      </c>
      <c r="G185" s="190"/>
      <c r="H185" s="190"/>
      <c r="I185" s="190"/>
      <c r="J185" s="190"/>
      <c r="K185" s="2"/>
      <c r="L185" s="2"/>
      <c r="M185" s="2"/>
      <c r="N185" s="2"/>
      <c r="O185" s="2"/>
      <c r="P185" s="2"/>
      <c r="Q185" s="2"/>
      <c r="R185" s="2"/>
    </row>
    <row r="186" spans="1:18" hidden="1" outlineLevel="1">
      <c r="A186" s="2"/>
      <c r="B186" s="7"/>
      <c r="C186" s="6"/>
      <c r="D186" s="40">
        <f t="shared" ref="D186:J186" si="22">D184/$C$182</f>
        <v>0.5625</v>
      </c>
      <c r="E186" s="40">
        <f t="shared" si="22"/>
        <v>0.625</v>
      </c>
      <c r="F186" s="40">
        <f t="shared" si="22"/>
        <v>0.6875</v>
      </c>
      <c r="G186" s="40">
        <f t="shared" si="22"/>
        <v>0.75</v>
      </c>
      <c r="H186" s="40">
        <f t="shared" si="22"/>
        <v>0.8125</v>
      </c>
      <c r="I186" s="40">
        <f t="shared" si="22"/>
        <v>0.875</v>
      </c>
      <c r="J186" s="40">
        <f t="shared" si="22"/>
        <v>0.9375</v>
      </c>
      <c r="K186" s="2"/>
      <c r="L186" s="2"/>
      <c r="M186" s="2"/>
      <c r="N186" s="2"/>
      <c r="O186" s="2"/>
      <c r="P186" s="2"/>
      <c r="Q186" s="2"/>
      <c r="R186" s="2"/>
    </row>
    <row r="187" spans="1:18" hidden="1" outlineLevel="1">
      <c r="A187" s="2"/>
      <c r="B187" s="7"/>
      <c r="C187" s="1008">
        <f>C188-0.01</f>
        <v>8.726699917459653E-2</v>
      </c>
      <c r="D187" s="196">
        <f t="shared" ref="D187:D193" si="23">$C187*D$184</f>
        <v>0.78540299257136881</v>
      </c>
      <c r="E187" s="196">
        <f t="shared" ref="E187:J193" si="24">$C187*E$184</f>
        <v>0.87266999174596527</v>
      </c>
      <c r="F187" s="196">
        <f t="shared" si="24"/>
        <v>0.95993699092056184</v>
      </c>
      <c r="G187" s="196">
        <f t="shared" si="24"/>
        <v>1.0472039900951584</v>
      </c>
      <c r="H187" s="196">
        <f t="shared" si="24"/>
        <v>1.1344709892697549</v>
      </c>
      <c r="I187" s="196">
        <f t="shared" si="24"/>
        <v>1.2217379884443513</v>
      </c>
      <c r="J187" s="196">
        <f t="shared" si="24"/>
        <v>1.309004987618948</v>
      </c>
      <c r="K187" s="2"/>
      <c r="L187" s="2"/>
      <c r="M187" s="2"/>
      <c r="N187" s="2"/>
      <c r="O187" s="2"/>
      <c r="P187" s="2"/>
      <c r="Q187" s="2"/>
      <c r="R187" s="2"/>
    </row>
    <row r="188" spans="1:18" hidden="1" outlineLevel="1">
      <c r="A188" s="2"/>
      <c r="B188" s="34" t="s">
        <v>56</v>
      </c>
      <c r="C188" s="1008">
        <f>C189-0.01</f>
        <v>9.7266999174596525E-2</v>
      </c>
      <c r="D188" s="196">
        <f t="shared" si="23"/>
        <v>0.87540299257136867</v>
      </c>
      <c r="E188" s="196">
        <f t="shared" si="24"/>
        <v>0.97266999174596525</v>
      </c>
      <c r="F188" s="196">
        <f t="shared" si="24"/>
        <v>1.0699369909205618</v>
      </c>
      <c r="G188" s="196">
        <f t="shared" si="24"/>
        <v>1.1672039900951583</v>
      </c>
      <c r="H188" s="196">
        <f t="shared" si="24"/>
        <v>1.2644709892697548</v>
      </c>
      <c r="I188" s="196">
        <f t="shared" si="24"/>
        <v>1.3617379884443515</v>
      </c>
      <c r="J188" s="196">
        <f t="shared" si="24"/>
        <v>1.4590049876189479</v>
      </c>
      <c r="K188" s="2"/>
      <c r="L188" s="2"/>
      <c r="M188" s="2"/>
      <c r="N188" s="2"/>
      <c r="O188" s="2"/>
      <c r="P188" s="2"/>
      <c r="Q188" s="2"/>
      <c r="R188" s="2"/>
    </row>
    <row r="189" spans="1:18" hidden="1" outlineLevel="1">
      <c r="A189" s="2"/>
      <c r="B189" s="34" t="s">
        <v>177</v>
      </c>
      <c r="C189" s="1008">
        <f>C190-0.01</f>
        <v>0.10726699917459652</v>
      </c>
      <c r="D189" s="196">
        <f t="shared" si="23"/>
        <v>0.96540299257136863</v>
      </c>
      <c r="E189" s="196">
        <f t="shared" si="24"/>
        <v>1.0726699917459652</v>
      </c>
      <c r="F189" s="196">
        <f t="shared" si="24"/>
        <v>1.1799369909205617</v>
      </c>
      <c r="G189" s="196">
        <f t="shared" si="24"/>
        <v>1.2872039900951582</v>
      </c>
      <c r="H189" s="196">
        <f t="shared" si="24"/>
        <v>1.3944709892697547</v>
      </c>
      <c r="I189" s="196">
        <f t="shared" si="24"/>
        <v>1.5017379884443514</v>
      </c>
      <c r="J189" s="196">
        <f t="shared" si="24"/>
        <v>1.6090049876189478</v>
      </c>
      <c r="K189" s="2"/>
      <c r="L189" s="2"/>
      <c r="M189" s="2"/>
      <c r="N189" s="2"/>
      <c r="O189" s="2"/>
      <c r="P189" s="2"/>
      <c r="Q189" s="2"/>
      <c r="R189" s="2"/>
    </row>
    <row r="190" spans="1:18" hidden="1" outlineLevel="1">
      <c r="A190" s="2"/>
      <c r="B190" s="34" t="s">
        <v>962</v>
      </c>
      <c r="C190" s="695">
        <f>N229/100</f>
        <v>0.11726699917459651</v>
      </c>
      <c r="D190" s="693">
        <f t="shared" si="23"/>
        <v>1.0554029925713686</v>
      </c>
      <c r="E190" s="693">
        <f t="shared" si="24"/>
        <v>1.1726699917459651</v>
      </c>
      <c r="F190" s="693">
        <f t="shared" si="24"/>
        <v>1.2899369909205616</v>
      </c>
      <c r="G190" s="694">
        <f t="shared" si="24"/>
        <v>1.4072039900951583</v>
      </c>
      <c r="H190" s="693">
        <f t="shared" si="24"/>
        <v>1.5244709892697548</v>
      </c>
      <c r="I190" s="693">
        <f t="shared" si="24"/>
        <v>1.6417379884443513</v>
      </c>
      <c r="J190" s="693">
        <f t="shared" si="24"/>
        <v>1.7590049876189477</v>
      </c>
      <c r="K190" s="2"/>
      <c r="L190" s="2"/>
      <c r="M190" s="2"/>
      <c r="N190" s="2"/>
      <c r="O190" s="2"/>
      <c r="P190" s="2"/>
      <c r="Q190" s="2"/>
      <c r="R190" s="2"/>
    </row>
    <row r="191" spans="1:18" hidden="1" outlineLevel="1">
      <c r="A191" s="2"/>
      <c r="B191" s="7"/>
      <c r="C191" s="1008">
        <f>C190+0.01</f>
        <v>0.12726699917459652</v>
      </c>
      <c r="D191" s="196">
        <f t="shared" si="23"/>
        <v>1.1454029925713687</v>
      </c>
      <c r="E191" s="196">
        <f t="shared" si="24"/>
        <v>1.2726699917459652</v>
      </c>
      <c r="F191" s="196">
        <f t="shared" si="24"/>
        <v>1.3999369909205617</v>
      </c>
      <c r="G191" s="196">
        <f t="shared" si="24"/>
        <v>1.5272039900951584</v>
      </c>
      <c r="H191" s="196">
        <f t="shared" si="24"/>
        <v>1.6544709892697549</v>
      </c>
      <c r="I191" s="196">
        <f t="shared" si="24"/>
        <v>1.7817379884443514</v>
      </c>
      <c r="J191" s="196">
        <f t="shared" si="24"/>
        <v>1.9090049876189479</v>
      </c>
      <c r="K191" s="2"/>
      <c r="L191" s="2"/>
      <c r="M191" s="2"/>
      <c r="N191" s="2"/>
      <c r="O191" s="2"/>
      <c r="P191" s="2"/>
      <c r="Q191" s="2"/>
      <c r="R191" s="2"/>
    </row>
    <row r="192" spans="1:18" hidden="1" outlineLevel="1">
      <c r="A192" s="2"/>
      <c r="B192" s="7"/>
      <c r="C192" s="1008">
        <f>C191+0.01</f>
        <v>0.13726699917459653</v>
      </c>
      <c r="D192" s="196">
        <f t="shared" si="23"/>
        <v>1.2354029925713688</v>
      </c>
      <c r="E192" s="196">
        <f t="shared" si="24"/>
        <v>1.3726699917459653</v>
      </c>
      <c r="F192" s="196">
        <f t="shared" si="24"/>
        <v>1.5099369909205618</v>
      </c>
      <c r="G192" s="196">
        <f t="shared" si="24"/>
        <v>1.6472039900951585</v>
      </c>
      <c r="H192" s="196">
        <f t="shared" si="24"/>
        <v>1.784470989269755</v>
      </c>
      <c r="I192" s="196">
        <f t="shared" si="24"/>
        <v>1.9217379884443515</v>
      </c>
      <c r="J192" s="196">
        <f t="shared" si="24"/>
        <v>2.0590049876189478</v>
      </c>
      <c r="K192" s="2"/>
      <c r="L192" s="2"/>
      <c r="M192" s="2"/>
      <c r="N192" s="2"/>
      <c r="O192" s="2"/>
      <c r="P192" s="2"/>
      <c r="Q192" s="2"/>
      <c r="R192" s="2"/>
    </row>
    <row r="193" spans="1:22" hidden="1" outlineLevel="1">
      <c r="A193" s="2"/>
      <c r="B193" s="2"/>
      <c r="C193" s="1008">
        <f>C192+0.01</f>
        <v>0.14726699917459654</v>
      </c>
      <c r="D193" s="196">
        <f t="shared" si="23"/>
        <v>1.3254029925713688</v>
      </c>
      <c r="E193" s="196">
        <f t="shared" si="24"/>
        <v>1.4726699917459654</v>
      </c>
      <c r="F193" s="196">
        <f t="shared" si="24"/>
        <v>1.6199369909205619</v>
      </c>
      <c r="G193" s="196">
        <f t="shared" si="24"/>
        <v>1.7672039900951586</v>
      </c>
      <c r="H193" s="196">
        <f t="shared" si="24"/>
        <v>1.9144709892697551</v>
      </c>
      <c r="I193" s="196">
        <f t="shared" si="24"/>
        <v>2.0617379884443516</v>
      </c>
      <c r="J193" s="196">
        <f t="shared" si="24"/>
        <v>2.2090049876189481</v>
      </c>
      <c r="K193" s="2"/>
      <c r="L193" s="2"/>
      <c r="M193" s="2"/>
      <c r="N193" s="2"/>
      <c r="O193" s="2"/>
      <c r="P193" s="2"/>
      <c r="Q193" s="2"/>
      <c r="R193" s="2"/>
    </row>
    <row r="194" spans="1:22" hidden="1" outlineLevel="1">
      <c r="A194" s="2"/>
      <c r="B194" s="2"/>
      <c r="C194" s="2"/>
      <c r="D194" s="2"/>
      <c r="E194" s="2"/>
      <c r="F194" s="2"/>
      <c r="G194" s="2"/>
      <c r="H194" s="2"/>
      <c r="I194" s="2"/>
      <c r="J194" s="2"/>
      <c r="K194" s="2"/>
      <c r="L194" s="2"/>
      <c r="M194" s="2"/>
      <c r="N194" s="2"/>
      <c r="O194" s="2"/>
      <c r="P194" s="2"/>
      <c r="Q194" s="2"/>
      <c r="R194" s="2"/>
    </row>
    <row r="195" spans="1:22" hidden="1" outlineLevel="1">
      <c r="A195" s="2"/>
      <c r="B195" s="2"/>
      <c r="C195" s="2"/>
      <c r="D195" s="2"/>
      <c r="E195" s="2"/>
      <c r="F195" s="21" t="s">
        <v>92</v>
      </c>
      <c r="G195" s="21"/>
      <c r="H195" s="21" t="s">
        <v>234</v>
      </c>
      <c r="I195" s="18"/>
      <c r="J195" s="21" t="s">
        <v>1043</v>
      </c>
      <c r="K195" s="2"/>
      <c r="L195" s="2"/>
      <c r="M195" s="2"/>
      <c r="N195" s="2"/>
      <c r="O195" s="2"/>
      <c r="P195" s="2"/>
      <c r="Q195" s="2"/>
      <c r="R195" s="2"/>
    </row>
    <row r="196" spans="1:22" hidden="1" outlineLevel="1">
      <c r="A196" s="2"/>
      <c r="B196" s="2"/>
      <c r="C196" s="2"/>
      <c r="D196" s="2"/>
      <c r="E196" s="23"/>
      <c r="F196" s="40" t="s">
        <v>457</v>
      </c>
      <c r="G196" s="40"/>
      <c r="H196" s="40" t="s">
        <v>1047</v>
      </c>
      <c r="I196" s="22"/>
      <c r="J196" s="40" t="s">
        <v>1044</v>
      </c>
      <c r="K196" s="2"/>
      <c r="L196" s="2"/>
      <c r="M196" s="2"/>
      <c r="N196" s="2"/>
      <c r="O196" s="2"/>
      <c r="P196" s="2"/>
      <c r="Q196" s="2"/>
      <c r="R196" s="2"/>
    </row>
    <row r="197" spans="1:22" hidden="1" outlineLevel="1">
      <c r="A197" s="2"/>
      <c r="B197" s="2" t="s">
        <v>1062</v>
      </c>
      <c r="C197" s="2"/>
      <c r="D197" s="2"/>
      <c r="E197" s="2"/>
      <c r="F197" s="196">
        <f>G190</f>
        <v>1.4072039900951583</v>
      </c>
      <c r="G197" s="18"/>
      <c r="H197" s="1011">
        <f>C190</f>
        <v>0.11726699917459651</v>
      </c>
      <c r="I197" s="18"/>
      <c r="J197" s="1012">
        <f>F197/H197</f>
        <v>12.000000000000002</v>
      </c>
      <c r="K197" s="2"/>
      <c r="L197" s="2"/>
      <c r="M197" s="2"/>
      <c r="N197" s="2"/>
      <c r="O197" s="2"/>
      <c r="P197" s="2"/>
      <c r="Q197" s="2"/>
      <c r="R197" s="2"/>
    </row>
    <row r="198" spans="1:22" hidden="1" outlineLevel="1">
      <c r="A198" s="2"/>
      <c r="B198" s="2" t="s">
        <v>1073</v>
      </c>
      <c r="C198" s="2"/>
      <c r="D198" s="2"/>
      <c r="E198" s="2"/>
      <c r="F198" s="1013">
        <f>SoTP!BR17</f>
        <v>8.1749046980890139E-2</v>
      </c>
      <c r="G198" s="18"/>
      <c r="H198" s="1011">
        <f>N230/100</f>
        <v>2.3244971487239294E-2</v>
      </c>
      <c r="I198" s="18"/>
      <c r="J198" s="1012">
        <f>F198/H198</f>
        <v>3.5168486666360339</v>
      </c>
      <c r="K198" s="2"/>
      <c r="L198" s="2"/>
      <c r="M198" s="2"/>
      <c r="N198" s="2"/>
      <c r="O198" s="2"/>
      <c r="P198" s="2"/>
      <c r="Q198" s="2"/>
      <c r="R198" s="2"/>
    </row>
    <row r="199" spans="1:22" hidden="1" outlineLevel="1">
      <c r="A199" s="2"/>
      <c r="B199" s="23" t="s">
        <v>1074</v>
      </c>
      <c r="C199" s="23"/>
      <c r="D199" s="23"/>
      <c r="E199" s="23"/>
      <c r="F199" s="1014">
        <f>N241</f>
        <v>0.24818849765021092</v>
      </c>
      <c r="G199" s="22"/>
      <c r="H199" s="1015">
        <f>N231/100</f>
        <v>1.2409424882510546E-2</v>
      </c>
      <c r="I199" s="22"/>
      <c r="J199" s="1016">
        <f>F199/H199</f>
        <v>20</v>
      </c>
      <c r="K199" s="2"/>
      <c r="L199" s="2"/>
      <c r="M199" s="2"/>
      <c r="N199" s="2"/>
      <c r="O199" s="2"/>
      <c r="P199" s="2"/>
      <c r="Q199" s="2"/>
      <c r="R199" s="2"/>
    </row>
    <row r="200" spans="1:22" hidden="1" outlineLevel="1">
      <c r="A200" s="2"/>
      <c r="B200" s="2"/>
      <c r="C200" s="2"/>
      <c r="D200" s="2"/>
      <c r="E200" s="2"/>
      <c r="F200" s="196"/>
      <c r="G200" s="18"/>
      <c r="H200" s="1011"/>
      <c r="I200" s="18"/>
      <c r="J200" s="1012"/>
      <c r="K200" s="2"/>
      <c r="L200" s="2"/>
      <c r="M200" s="2"/>
      <c r="N200" s="2"/>
      <c r="O200" s="2"/>
      <c r="P200" s="2"/>
      <c r="Q200" s="2"/>
      <c r="R200" s="2"/>
    </row>
    <row r="201" spans="1:22" hidden="1" outlineLevel="1">
      <c r="A201" s="2"/>
      <c r="B201" s="657" t="s">
        <v>1075</v>
      </c>
      <c r="C201" s="629"/>
      <c r="D201" s="629"/>
      <c r="E201" s="629"/>
      <c r="F201" s="696">
        <f>SUM(F197:F199)</f>
        <v>1.7371415347262593</v>
      </c>
      <c r="G201" s="630"/>
      <c r="H201" s="697">
        <f>'P&amp;L'!X104/100</f>
        <v>0.15292139554434636</v>
      </c>
      <c r="I201" s="630"/>
      <c r="J201" s="698">
        <f>F201/H201</f>
        <v>11.359702339510092</v>
      </c>
      <c r="K201" s="2"/>
      <c r="L201" s="2"/>
      <c r="M201" s="2"/>
      <c r="N201" s="2"/>
      <c r="O201" s="2"/>
      <c r="P201" s="2"/>
      <c r="Q201" s="2"/>
      <c r="R201" s="2"/>
    </row>
    <row r="202" spans="1:22" hidden="1" outlineLevel="1">
      <c r="A202" s="2"/>
      <c r="B202" s="2"/>
      <c r="C202" s="2"/>
      <c r="D202" s="2"/>
      <c r="E202" s="2"/>
      <c r="F202" s="2"/>
      <c r="G202" s="2"/>
      <c r="H202" s="2"/>
      <c r="I202" s="2"/>
      <c r="J202" s="2"/>
      <c r="K202" s="2"/>
      <c r="L202" s="2"/>
      <c r="M202" s="2"/>
      <c r="N202" s="2"/>
      <c r="O202" s="2"/>
      <c r="P202" s="2"/>
      <c r="Q202" s="2"/>
      <c r="R202" s="2"/>
    </row>
    <row r="203" spans="1:22" collapsed="1">
      <c r="A203" s="2"/>
      <c r="B203" s="504" t="s">
        <v>1426</v>
      </c>
      <c r="C203" s="505"/>
      <c r="D203" s="505"/>
      <c r="E203" s="505"/>
      <c r="F203" s="505"/>
      <c r="G203" s="505"/>
      <c r="H203" s="505"/>
      <c r="I203" s="505"/>
      <c r="J203" s="505"/>
      <c r="K203" s="2"/>
      <c r="L203" s="469"/>
      <c r="M203" s="470">
        <f>'P&amp;L'!W5</f>
        <v>19</v>
      </c>
      <c r="N203" s="470">
        <f>'P&amp;L'!X5</f>
        <v>20</v>
      </c>
      <c r="O203" s="470">
        <f>'P&amp;L'!Y5</f>
        <v>21</v>
      </c>
      <c r="P203" s="470">
        <f>'P&amp;L'!Z5</f>
        <v>22</v>
      </c>
      <c r="Q203" s="470">
        <f>'P&amp;L'!AA5</f>
        <v>23</v>
      </c>
      <c r="R203" s="470">
        <f>'P&amp;L'!AB5</f>
        <v>24</v>
      </c>
      <c r="S203" s="470">
        <f>'P&amp;L'!AC5</f>
        <v>25</v>
      </c>
      <c r="T203" s="471">
        <f>'P&amp;L'!AD5</f>
        <v>26</v>
      </c>
      <c r="U203" s="471">
        <f>'P&amp;L'!AE5</f>
        <v>27</v>
      </c>
      <c r="V203" s="471">
        <f>'P&amp;L'!AF5</f>
        <v>28</v>
      </c>
    </row>
    <row r="204" spans="1:22">
      <c r="A204" s="2"/>
      <c r="B204" s="2"/>
      <c r="C204" s="2"/>
      <c r="D204" s="2"/>
      <c r="E204" s="2"/>
      <c r="F204" s="2"/>
      <c r="G204" s="2"/>
      <c r="H204" s="2"/>
      <c r="I204" s="2"/>
      <c r="J204" s="2"/>
      <c r="K204" s="2"/>
      <c r="L204" s="36" t="s">
        <v>1058</v>
      </c>
      <c r="M204" s="465">
        <f>+SUM('P&amp;L'!W36:W37, 'P&amp;L'!W40:W42, 'P&amp;L'!W45, 'P&amp;L'!W49:W50)</f>
        <v>6090</v>
      </c>
      <c r="N204" s="465">
        <f>+SUM('P&amp;L'!X36:X37, 'P&amp;L'!X40:X42, 'P&amp;L'!X45, 'P&amp;L'!X49:X50)</f>
        <v>6055</v>
      </c>
      <c r="O204" s="465">
        <f>+SUM('P&amp;L'!Y36:Y37, 'P&amp;L'!Y40:Y42, 'P&amp;L'!Y45, 'P&amp;L'!Y49:Y50)</f>
        <v>5782</v>
      </c>
      <c r="P204" s="465">
        <f>+SUM('P&amp;L'!Z36:Z37, 'P&amp;L'!Z40:Z42, 'P&amp;L'!Z45, 'P&amp;L'!Z49:Z50)</f>
        <v>5074</v>
      </c>
      <c r="Q204" s="465">
        <f>+SUM('P&amp;L'!AA36:AA37, 'P&amp;L'!AA40:AA42, 'P&amp;L'!AA45, 'P&amp;L'!AA49:AA50)</f>
        <v>5844</v>
      </c>
      <c r="R204" s="465">
        <f>+SUM('P&amp;L'!AB36:AB37, 'P&amp;L'!AB40:AB42, 'P&amp;L'!AB45, 'P&amp;L'!AB49:AB50)</f>
        <v>5400</v>
      </c>
      <c r="S204" s="465">
        <f>+SUM('P&amp;L'!AC36:AC37, 'P&amp;L'!AC40:AC42, 'P&amp;L'!AC45, 'P&amp;L'!AC49:AC50)</f>
        <v>6412</v>
      </c>
      <c r="T204" s="465">
        <f>+SUM('P&amp;L'!AD36:AD37, 'P&amp;L'!AD40:AD42, 'P&amp;L'!AD45, 'P&amp;L'!AD49:AD50)</f>
        <v>6605.1151384227405</v>
      </c>
      <c r="U204" s="465">
        <f>+SUM('P&amp;L'!AE36:AE37, 'P&amp;L'!AE40:AE42, 'P&amp;L'!AE45, 'P&amp;L'!AE49:AE50)</f>
        <v>6869.5902325690422</v>
      </c>
      <c r="V204" s="465">
        <f>+SUM('P&amp;L'!AF36:AF37, 'P&amp;L'!AF40:AF42, 'P&amp;L'!AF45, 'P&amp;L'!AF49:AF50)</f>
        <v>7155.2472852215251</v>
      </c>
    </row>
    <row r="205" spans="1:22">
      <c r="A205" s="2"/>
      <c r="B205" s="9" t="s">
        <v>1477</v>
      </c>
      <c r="C205" s="699">
        <v>20</v>
      </c>
      <c r="D205" s="2"/>
      <c r="E205" s="2"/>
      <c r="F205" s="2"/>
      <c r="G205" s="2"/>
      <c r="H205" s="2"/>
      <c r="I205" s="2"/>
      <c r="J205" s="2"/>
      <c r="K205" s="2"/>
      <c r="L205" s="36" t="s">
        <v>1059</v>
      </c>
      <c r="M205" s="465">
        <f>'P&amp;L'!W47</f>
        <v>1613</v>
      </c>
      <c r="N205" s="465">
        <f>'P&amp;L'!X185</f>
        <v>1536</v>
      </c>
      <c r="O205" s="465">
        <f>'P&amp;L'!Y185</f>
        <v>822.27407508532428</v>
      </c>
      <c r="P205" s="465">
        <f>'P&amp;L'!Z185</f>
        <v>257.92624728100196</v>
      </c>
      <c r="Q205" s="465">
        <f>'P&amp;L'!AA185</f>
        <v>104.36650397345477</v>
      </c>
      <c r="R205" s="465">
        <f>'P&amp;L'!AB185</f>
        <v>100.98448933106569</v>
      </c>
      <c r="S205" s="465">
        <f>'P&amp;L'!AC185</f>
        <v>0</v>
      </c>
      <c r="T205" s="465">
        <f>'P&amp;L'!AD185</f>
        <v>0</v>
      </c>
      <c r="U205" s="465">
        <f>'P&amp;L'!AE185</f>
        <v>0</v>
      </c>
      <c r="V205" s="465">
        <f>'P&amp;L'!AF185</f>
        <v>0</v>
      </c>
    </row>
    <row r="206" spans="1:22">
      <c r="A206" s="2"/>
      <c r="B206" s="2"/>
      <c r="C206" s="2"/>
      <c r="D206" s="2"/>
      <c r="E206" s="2"/>
      <c r="F206" s="2"/>
      <c r="G206" s="2"/>
      <c r="H206" s="2"/>
      <c r="I206" s="2"/>
      <c r="J206" s="2"/>
      <c r="K206" s="2"/>
      <c r="L206" s="36" t="s">
        <v>1060</v>
      </c>
      <c r="M206" s="465">
        <f>'P&amp;L'!W43</f>
        <v>731</v>
      </c>
      <c r="N206" s="465">
        <f>'P&amp;L'!X43</f>
        <v>820</v>
      </c>
      <c r="O206" s="465">
        <f>'P&amp;L'!Y43</f>
        <v>860</v>
      </c>
      <c r="P206" s="465">
        <f>'P&amp;L'!Z43</f>
        <v>1655</v>
      </c>
      <c r="Q206" s="465">
        <f>'P&amp;L'!AA43</f>
        <v>1663</v>
      </c>
      <c r="R206" s="465">
        <f>'P&amp;L'!AB43</f>
        <v>1759</v>
      </c>
      <c r="S206" s="465">
        <f>'P&amp;L'!AC43</f>
        <v>1813</v>
      </c>
      <c r="T206" s="465">
        <f>'P&amp;L'!AD43</f>
        <v>1975.2373321033213</v>
      </c>
      <c r="U206" s="465">
        <f>'P&amp;L'!AE43</f>
        <v>1998.0181119557199</v>
      </c>
      <c r="V206" s="465">
        <f>'P&amp;L'!AF43</f>
        <v>2021.4823152036904</v>
      </c>
    </row>
    <row r="207" spans="1:22">
      <c r="A207" s="2"/>
      <c r="B207" s="2"/>
      <c r="C207" s="2"/>
      <c r="D207" s="379" t="s">
        <v>1076</v>
      </c>
      <c r="E207" s="378"/>
      <c r="F207" s="378"/>
      <c r="G207" s="378"/>
      <c r="H207" s="378"/>
      <c r="I207" s="378"/>
      <c r="J207" s="378"/>
      <c r="K207" s="2"/>
      <c r="L207" s="6" t="s">
        <v>1049</v>
      </c>
      <c r="M207" s="259">
        <f t="shared" ref="M207:R207" si="25">SUM(M204:M206)</f>
        <v>8434</v>
      </c>
      <c r="N207" s="259">
        <f t="shared" si="25"/>
        <v>8411</v>
      </c>
      <c r="O207" s="259">
        <f t="shared" si="25"/>
        <v>7464.2740750853245</v>
      </c>
      <c r="P207" s="259">
        <f t="shared" si="25"/>
        <v>6986.9262472810024</v>
      </c>
      <c r="Q207" s="259">
        <f t="shared" si="25"/>
        <v>7611.3665039734551</v>
      </c>
      <c r="R207" s="259">
        <f t="shared" si="25"/>
        <v>7259.9844893310656</v>
      </c>
      <c r="S207" s="259">
        <f>SUM(S204:S206)</f>
        <v>8225</v>
      </c>
      <c r="T207" s="259">
        <f>SUM(T204:T206)</f>
        <v>8580.3524705260625</v>
      </c>
      <c r="U207" s="259">
        <f>SUM(U204:U206)</f>
        <v>8867.6083445247623</v>
      </c>
      <c r="V207" s="259">
        <f>SUM(V204:V206)</f>
        <v>9176.7296004252148</v>
      </c>
    </row>
    <row r="208" spans="1:22">
      <c r="A208" s="2"/>
      <c r="B208" s="2"/>
      <c r="C208" s="6"/>
      <c r="D208" s="197">
        <f>E208-1</f>
        <v>17</v>
      </c>
      <c r="E208" s="197">
        <f>F208-1</f>
        <v>18</v>
      </c>
      <c r="F208" s="197">
        <f>G208-1</f>
        <v>19</v>
      </c>
      <c r="G208" s="197">
        <v>20</v>
      </c>
      <c r="H208" s="197">
        <f>G208+1</f>
        <v>21</v>
      </c>
      <c r="I208" s="197">
        <f>H208+1</f>
        <v>22</v>
      </c>
      <c r="J208" s="197">
        <f>I208+1</f>
        <v>23</v>
      </c>
      <c r="K208" s="2"/>
      <c r="L208" s="2"/>
      <c r="M208" s="254"/>
      <c r="N208" s="254"/>
      <c r="O208" s="254"/>
      <c r="P208" s="254"/>
      <c r="Q208" s="254"/>
      <c r="R208" s="254"/>
      <c r="S208" s="254"/>
      <c r="T208" s="254"/>
      <c r="U208" s="254"/>
      <c r="V208" s="254"/>
    </row>
    <row r="209" spans="1:22">
      <c r="A209" s="2"/>
      <c r="B209" s="34"/>
      <c r="C209" s="6"/>
      <c r="D209" s="1020" t="s">
        <v>716</v>
      </c>
      <c r="E209" s="384"/>
      <c r="F209" s="1021"/>
      <c r="G209" s="384"/>
      <c r="H209" s="384"/>
      <c r="I209" s="384"/>
      <c r="J209" s="384"/>
      <c r="K209" s="2"/>
      <c r="L209" s="36" t="s">
        <v>1052</v>
      </c>
      <c r="M209" s="254">
        <f t="shared" ref="M209:R209" si="26">(M204/M207)*M212</f>
        <v>3091.9350248992173</v>
      </c>
      <c r="N209" s="254">
        <f t="shared" si="26"/>
        <v>3842.7761265010104</v>
      </c>
      <c r="O209" s="254">
        <f t="shared" si="26"/>
        <v>3598.8994682906155</v>
      </c>
      <c r="P209" s="254">
        <f t="shared" si="26"/>
        <v>3164.8383305327129</v>
      </c>
      <c r="Q209" s="254">
        <f t="shared" si="26"/>
        <v>3432.0617705589211</v>
      </c>
      <c r="R209" s="254">
        <f t="shared" si="26"/>
        <v>3331.4947208969243</v>
      </c>
      <c r="S209" s="254">
        <f>(S204/S207)*S212</f>
        <v>3656.9838297872338</v>
      </c>
      <c r="T209" s="254">
        <f>(T204/T207)*T212</f>
        <v>3614.1632127189428</v>
      </c>
      <c r="U209" s="254">
        <f>(U204/U207)*U212</f>
        <v>3725.9484968037168</v>
      </c>
      <c r="V209" s="254">
        <f>(V204/V207)*V212</f>
        <v>3853.0357534718755</v>
      </c>
    </row>
    <row r="210" spans="1:22">
      <c r="A210" s="2"/>
      <c r="B210" s="7"/>
      <c r="C210" s="6"/>
      <c r="D210" s="383">
        <f t="shared" ref="D210:J210" si="27">D208/$C$205</f>
        <v>0.85</v>
      </c>
      <c r="E210" s="383">
        <f t="shared" si="27"/>
        <v>0.9</v>
      </c>
      <c r="F210" s="383">
        <f t="shared" si="27"/>
        <v>0.95</v>
      </c>
      <c r="G210" s="383">
        <f t="shared" si="27"/>
        <v>1</v>
      </c>
      <c r="H210" s="383">
        <f t="shared" si="27"/>
        <v>1.05</v>
      </c>
      <c r="I210" s="383">
        <f t="shared" si="27"/>
        <v>1.1000000000000001</v>
      </c>
      <c r="J210" s="383">
        <f t="shared" si="27"/>
        <v>1.1499999999999999</v>
      </c>
      <c r="K210" s="2"/>
      <c r="L210" s="36" t="s">
        <v>1050</v>
      </c>
      <c r="M210" s="254">
        <f t="shared" ref="M210:R210" si="28">(M205/M207)*M212</f>
        <v>818.93123073274842</v>
      </c>
      <c r="N210" s="254">
        <f t="shared" si="28"/>
        <v>974.81488526929024</v>
      </c>
      <c r="O210" s="254">
        <f t="shared" si="28"/>
        <v>511.80936209161729</v>
      </c>
      <c r="P210" s="254">
        <f t="shared" si="28"/>
        <v>160.87798065537524</v>
      </c>
      <c r="Q210" s="254">
        <f t="shared" si="28"/>
        <v>61.292314923713178</v>
      </c>
      <c r="R210" s="254">
        <f t="shared" si="28"/>
        <v>62.301720944243918</v>
      </c>
      <c r="S210" s="254">
        <f>(S205/S207)*S212</f>
        <v>0</v>
      </c>
      <c r="T210" s="254">
        <f>(T205/T207)*T212</f>
        <v>0</v>
      </c>
      <c r="U210" s="254">
        <f>(U205/U207)*U212</f>
        <v>0</v>
      </c>
      <c r="V210" s="254">
        <f>(V205/V207)*V212</f>
        <v>0</v>
      </c>
    </row>
    <row r="211" spans="1:22">
      <c r="A211" s="2"/>
      <c r="B211" s="7"/>
      <c r="C211" s="1123">
        <f>C212-0.01</f>
        <v>0.13730154656814161</v>
      </c>
      <c r="D211" s="196">
        <f t="shared" ref="D211:J217" si="29">$C211*D$208</f>
        <v>2.3341262916584076</v>
      </c>
      <c r="E211" s="196">
        <f t="shared" si="29"/>
        <v>2.4714278382265489</v>
      </c>
      <c r="F211" s="196">
        <f t="shared" si="29"/>
        <v>2.6087293847946906</v>
      </c>
      <c r="G211" s="196">
        <f t="shared" si="29"/>
        <v>2.7460309313628324</v>
      </c>
      <c r="H211" s="196">
        <f t="shared" si="29"/>
        <v>2.8833324779309737</v>
      </c>
      <c r="I211" s="196">
        <f t="shared" si="29"/>
        <v>3.0206340244991154</v>
      </c>
      <c r="J211" s="196">
        <f t="shared" si="29"/>
        <v>3.1579355710672572</v>
      </c>
      <c r="K211" s="2"/>
      <c r="L211" s="36" t="s">
        <v>1051</v>
      </c>
      <c r="M211" s="254">
        <f t="shared" ref="M211:R211" si="30">M212-M209-M210</f>
        <v>371.13374436803429</v>
      </c>
      <c r="N211" s="254">
        <f t="shared" si="30"/>
        <v>520.40898822969939</v>
      </c>
      <c r="O211" s="254">
        <f t="shared" si="30"/>
        <v>535.29116961776731</v>
      </c>
      <c r="P211" s="254">
        <f t="shared" si="30"/>
        <v>1032.2836888119118</v>
      </c>
      <c r="Q211" s="254">
        <f t="shared" si="30"/>
        <v>976.64591451736567</v>
      </c>
      <c r="R211" s="254">
        <f t="shared" si="30"/>
        <v>1085.2035581588318</v>
      </c>
      <c r="S211" s="254">
        <f>S212-S209-S210</f>
        <v>1034.0161702127662</v>
      </c>
      <c r="T211" s="254">
        <f>T212-T209-T210</f>
        <v>1080.8032793477755</v>
      </c>
      <c r="U211" s="254">
        <f>U212-U209-U210</f>
        <v>1083.6909231548107</v>
      </c>
      <c r="V211" s="254">
        <f>V212-V209-V210</f>
        <v>1088.5498886359987</v>
      </c>
    </row>
    <row r="212" spans="1:22">
      <c r="A212" s="2"/>
      <c r="B212" s="34" t="s">
        <v>56</v>
      </c>
      <c r="C212" s="1123">
        <f>C213-0.01</f>
        <v>0.14730154656814162</v>
      </c>
      <c r="D212" s="196">
        <f t="shared" si="29"/>
        <v>2.5041262916584075</v>
      </c>
      <c r="E212" s="196">
        <f t="shared" si="29"/>
        <v>2.651427838226549</v>
      </c>
      <c r="F212" s="196">
        <f t="shared" si="29"/>
        <v>2.798729384794691</v>
      </c>
      <c r="G212" s="196">
        <f t="shared" si="29"/>
        <v>2.9460309313628326</v>
      </c>
      <c r="H212" s="196">
        <f t="shared" si="29"/>
        <v>3.0933324779309741</v>
      </c>
      <c r="I212" s="196">
        <f t="shared" si="29"/>
        <v>3.2406340244991156</v>
      </c>
      <c r="J212" s="196">
        <f t="shared" si="29"/>
        <v>3.3879355710672572</v>
      </c>
      <c r="K212" s="2"/>
      <c r="L212" s="6" t="s">
        <v>741</v>
      </c>
      <c r="M212" s="465">
        <f>'P&amp;L'!W78</f>
        <v>4282</v>
      </c>
      <c r="N212" s="465">
        <f>'P&amp;L'!X78</f>
        <v>5338</v>
      </c>
      <c r="O212" s="465">
        <f>'P&amp;L'!Y78</f>
        <v>4646</v>
      </c>
      <c r="P212" s="465">
        <f>'P&amp;L'!Z78</f>
        <v>4358</v>
      </c>
      <c r="Q212" s="465">
        <f>'P&amp;L'!AA78</f>
        <v>4470</v>
      </c>
      <c r="R212" s="465">
        <f>'P&amp;L'!AB78</f>
        <v>4479</v>
      </c>
      <c r="S212" s="465">
        <f>'P&amp;L'!AC78</f>
        <v>4691</v>
      </c>
      <c r="T212" s="465">
        <f>'P&amp;L'!AD78</f>
        <v>4694.9664920667183</v>
      </c>
      <c r="U212" s="465">
        <f>'P&amp;L'!AE78</f>
        <v>4809.6394199585275</v>
      </c>
      <c r="V212" s="465">
        <f>'P&amp;L'!AF78</f>
        <v>4941.5856421078743</v>
      </c>
    </row>
    <row r="213" spans="1:22">
      <c r="A213" s="2"/>
      <c r="B213" s="49" t="s">
        <v>1427</v>
      </c>
      <c r="C213" s="1123">
        <f>C214-0.01</f>
        <v>0.15730154656814163</v>
      </c>
      <c r="D213" s="196">
        <f t="shared" si="29"/>
        <v>2.6741262916584079</v>
      </c>
      <c r="E213" s="196">
        <f t="shared" si="29"/>
        <v>2.8314278382265492</v>
      </c>
      <c r="F213" s="196">
        <f t="shared" si="29"/>
        <v>2.988729384794691</v>
      </c>
      <c r="G213" s="196">
        <f t="shared" si="29"/>
        <v>3.1460309313628327</v>
      </c>
      <c r="H213" s="196">
        <f t="shared" si="29"/>
        <v>3.3033324779309741</v>
      </c>
      <c r="I213" s="196">
        <f t="shared" si="29"/>
        <v>3.4606340244991158</v>
      </c>
      <c r="J213" s="196">
        <f t="shared" si="29"/>
        <v>3.6179355710672576</v>
      </c>
      <c r="K213" s="2"/>
      <c r="L213" s="2"/>
      <c r="M213" s="254"/>
      <c r="N213" s="254"/>
      <c r="O213" s="254"/>
      <c r="P213" s="254"/>
      <c r="Q213" s="254"/>
      <c r="R213" s="254"/>
      <c r="S213" s="254"/>
      <c r="T213" s="254"/>
      <c r="U213" s="254"/>
      <c r="V213" s="254"/>
    </row>
    <row r="214" spans="1:22">
      <c r="A214" s="2"/>
      <c r="B214" s="34" t="s">
        <v>962</v>
      </c>
      <c r="C214" s="1124">
        <f>$T$229/100</f>
        <v>0.16730154656814164</v>
      </c>
      <c r="D214" s="693">
        <f t="shared" si="29"/>
        <v>2.8441262916584078</v>
      </c>
      <c r="E214" s="693">
        <f t="shared" si="29"/>
        <v>3.0114278382265494</v>
      </c>
      <c r="F214" s="693">
        <f t="shared" si="29"/>
        <v>3.1787293847946914</v>
      </c>
      <c r="G214" s="1147">
        <f t="shared" si="29"/>
        <v>3.3460309313628329</v>
      </c>
      <c r="H214" s="693">
        <f t="shared" si="29"/>
        <v>3.5133324779309745</v>
      </c>
      <c r="I214" s="693">
        <f t="shared" si="29"/>
        <v>3.680634024499116</v>
      </c>
      <c r="J214" s="693">
        <f t="shared" si="29"/>
        <v>3.8479355710672576</v>
      </c>
      <c r="K214" s="2"/>
      <c r="L214" s="36" t="s">
        <v>1053</v>
      </c>
      <c r="M214" s="254">
        <f t="shared" ref="M214:R214" si="31">M204-M209</f>
        <v>2998.0649751007827</v>
      </c>
      <c r="N214" s="254">
        <f t="shared" si="31"/>
        <v>2212.2238734989896</v>
      </c>
      <c r="O214" s="254">
        <f t="shared" si="31"/>
        <v>2183.1005317093845</v>
      </c>
      <c r="P214" s="254">
        <f t="shared" si="31"/>
        <v>1909.1616694672871</v>
      </c>
      <c r="Q214" s="254">
        <f t="shared" si="31"/>
        <v>2411.9382294410789</v>
      </c>
      <c r="R214" s="254">
        <f t="shared" si="31"/>
        <v>2068.5052791030757</v>
      </c>
      <c r="S214" s="254">
        <f t="shared" ref="S214:T216" si="32">S204-S209</f>
        <v>2755.0161702127662</v>
      </c>
      <c r="T214" s="254">
        <f t="shared" si="32"/>
        <v>2990.9519257037978</v>
      </c>
      <c r="U214" s="254">
        <f t="shared" ref="U214:V214" si="33">U204-U209</f>
        <v>3143.6417357653254</v>
      </c>
      <c r="V214" s="254">
        <f t="shared" si="33"/>
        <v>3302.2115317496496</v>
      </c>
    </row>
    <row r="215" spans="1:22">
      <c r="A215" s="2"/>
      <c r="B215" s="7"/>
      <c r="C215" s="1123">
        <f>C214+0.01</f>
        <v>0.17730154656814165</v>
      </c>
      <c r="D215" s="196">
        <f t="shared" si="29"/>
        <v>3.0141262916584082</v>
      </c>
      <c r="E215" s="196">
        <f t="shared" si="29"/>
        <v>3.1914278382265495</v>
      </c>
      <c r="F215" s="196">
        <f t="shared" si="29"/>
        <v>3.3687293847946913</v>
      </c>
      <c r="G215" s="196">
        <f t="shared" si="29"/>
        <v>3.5460309313628331</v>
      </c>
      <c r="H215" s="196">
        <f t="shared" si="29"/>
        <v>3.7233324779309744</v>
      </c>
      <c r="I215" s="196">
        <f t="shared" si="29"/>
        <v>3.9006340244991162</v>
      </c>
      <c r="J215" s="196">
        <f t="shared" si="29"/>
        <v>4.0779355710672576</v>
      </c>
      <c r="K215" s="2"/>
      <c r="L215" s="36" t="s">
        <v>1054</v>
      </c>
      <c r="M215" s="254">
        <f t="shared" ref="M215:R215" si="34">M205-M210</f>
        <v>794.06876926725158</v>
      </c>
      <c r="N215" s="254">
        <f t="shared" si="34"/>
        <v>561.18511473070976</v>
      </c>
      <c r="O215" s="254">
        <f t="shared" si="34"/>
        <v>310.464712993707</v>
      </c>
      <c r="P215" s="254">
        <f t="shared" si="34"/>
        <v>97.048266625626724</v>
      </c>
      <c r="Q215" s="254">
        <f t="shared" si="34"/>
        <v>43.074189049741591</v>
      </c>
      <c r="R215" s="254">
        <f t="shared" si="34"/>
        <v>38.68276838682177</v>
      </c>
      <c r="S215" s="254">
        <f t="shared" si="32"/>
        <v>0</v>
      </c>
      <c r="T215" s="254">
        <f t="shared" si="32"/>
        <v>0</v>
      </c>
      <c r="U215" s="254">
        <f t="shared" ref="U215:V215" si="35">U205-U210</f>
        <v>0</v>
      </c>
      <c r="V215" s="254">
        <f t="shared" si="35"/>
        <v>0</v>
      </c>
    </row>
    <row r="216" spans="1:22">
      <c r="A216" s="2"/>
      <c r="B216" s="7"/>
      <c r="C216" s="1123">
        <f>C215+0.01</f>
        <v>0.18730154656814166</v>
      </c>
      <c r="D216" s="196">
        <f t="shared" si="29"/>
        <v>3.1841262916584081</v>
      </c>
      <c r="E216" s="196">
        <f t="shared" si="29"/>
        <v>3.3714278382265497</v>
      </c>
      <c r="F216" s="196">
        <f t="shared" si="29"/>
        <v>3.5587293847946917</v>
      </c>
      <c r="G216" s="196">
        <f t="shared" si="29"/>
        <v>3.7460309313628333</v>
      </c>
      <c r="H216" s="196">
        <f t="shared" si="29"/>
        <v>3.9333324779309748</v>
      </c>
      <c r="I216" s="196">
        <f t="shared" si="29"/>
        <v>4.1206340244991164</v>
      </c>
      <c r="J216" s="196">
        <f t="shared" si="29"/>
        <v>4.307935571067258</v>
      </c>
      <c r="K216" s="2"/>
      <c r="L216" s="36" t="s">
        <v>1055</v>
      </c>
      <c r="M216" s="254">
        <f t="shared" ref="M216:R216" si="36">M206-M211</f>
        <v>359.86625563196571</v>
      </c>
      <c r="N216" s="254">
        <f t="shared" si="36"/>
        <v>299.59101177030061</v>
      </c>
      <c r="O216" s="254">
        <f t="shared" si="36"/>
        <v>324.70883038223269</v>
      </c>
      <c r="P216" s="254">
        <f t="shared" si="36"/>
        <v>622.71631118808818</v>
      </c>
      <c r="Q216" s="254">
        <f t="shared" si="36"/>
        <v>686.35408548263433</v>
      </c>
      <c r="R216" s="254">
        <f t="shared" si="36"/>
        <v>673.79644184116819</v>
      </c>
      <c r="S216" s="254">
        <f t="shared" si="32"/>
        <v>778.98382978723384</v>
      </c>
      <c r="T216" s="254">
        <f t="shared" si="32"/>
        <v>894.43405275554574</v>
      </c>
      <c r="U216" s="254">
        <f t="shared" ref="U216:V216" si="37">U206-U211</f>
        <v>914.3271888009092</v>
      </c>
      <c r="V216" s="254">
        <f t="shared" si="37"/>
        <v>932.93242656769166</v>
      </c>
    </row>
    <row r="217" spans="1:22">
      <c r="A217" s="2"/>
      <c r="B217" s="2"/>
      <c r="C217" s="1123">
        <f>C216+0.01</f>
        <v>0.19730154656814167</v>
      </c>
      <c r="D217" s="196">
        <f t="shared" si="29"/>
        <v>3.3541262916584085</v>
      </c>
      <c r="E217" s="196">
        <f t="shared" si="29"/>
        <v>3.5514278382265498</v>
      </c>
      <c r="F217" s="196">
        <f t="shared" si="29"/>
        <v>3.7487293847946916</v>
      </c>
      <c r="G217" s="196">
        <f t="shared" si="29"/>
        <v>3.9460309313628334</v>
      </c>
      <c r="H217" s="196">
        <f t="shared" si="29"/>
        <v>4.1433324779309748</v>
      </c>
      <c r="I217" s="196">
        <f t="shared" si="29"/>
        <v>4.3406340244991171</v>
      </c>
      <c r="J217" s="196">
        <f t="shared" si="29"/>
        <v>4.5379355710672584</v>
      </c>
      <c r="K217" s="2"/>
      <c r="L217" s="6" t="s">
        <v>1056</v>
      </c>
      <c r="M217" s="259">
        <f t="shared" ref="M217:R217" si="38">SUM(M214:M216)</f>
        <v>4152</v>
      </c>
      <c r="N217" s="259">
        <f t="shared" si="38"/>
        <v>3073</v>
      </c>
      <c r="O217" s="259">
        <f t="shared" si="38"/>
        <v>2818.2740750853245</v>
      </c>
      <c r="P217" s="259">
        <f t="shared" si="38"/>
        <v>2628.9262472810019</v>
      </c>
      <c r="Q217" s="259">
        <f t="shared" si="38"/>
        <v>3141.3665039734547</v>
      </c>
      <c r="R217" s="259">
        <f t="shared" si="38"/>
        <v>2780.9844893310656</v>
      </c>
      <c r="S217" s="259">
        <f>SUM(S214:S216)</f>
        <v>3534</v>
      </c>
      <c r="T217" s="259">
        <f>SUM(T214:T216)</f>
        <v>3885.3859784593433</v>
      </c>
      <c r="U217" s="259">
        <f>SUM(U214:U216)</f>
        <v>4057.9689245662348</v>
      </c>
      <c r="V217" s="259">
        <f>SUM(V214:V216)</f>
        <v>4235.1439583173415</v>
      </c>
    </row>
    <row r="218" spans="1:22">
      <c r="A218" s="2"/>
      <c r="B218" s="2"/>
      <c r="C218" s="2"/>
      <c r="D218" s="2"/>
      <c r="E218" s="2"/>
      <c r="F218" s="2"/>
      <c r="G218" s="2"/>
      <c r="H218" s="2"/>
      <c r="I218" s="2"/>
      <c r="J218" s="2"/>
      <c r="K218" s="2"/>
      <c r="L218" s="2"/>
      <c r="M218" s="254"/>
      <c r="N218" s="254"/>
      <c r="O218" s="254"/>
      <c r="P218" s="254"/>
      <c r="Q218" s="254"/>
      <c r="R218" s="254"/>
      <c r="S218" s="254"/>
      <c r="T218" s="254"/>
      <c r="U218" s="254"/>
      <c r="V218" s="254"/>
    </row>
    <row r="219" spans="1:22">
      <c r="A219" s="2"/>
      <c r="B219" s="2"/>
      <c r="C219" s="2"/>
      <c r="D219" s="2"/>
      <c r="E219" s="2"/>
      <c r="F219" s="48" t="s">
        <v>457</v>
      </c>
      <c r="G219" s="21"/>
      <c r="H219" s="21" t="s">
        <v>234</v>
      </c>
      <c r="I219" s="18"/>
      <c r="J219" s="21" t="s">
        <v>1043</v>
      </c>
      <c r="K219" s="2"/>
      <c r="L219" s="36" t="s">
        <v>1058</v>
      </c>
      <c r="M219" s="254">
        <f t="shared" ref="M219:R219" si="39">(M204/M207)*M222</f>
        <v>-501.12165046241404</v>
      </c>
      <c r="N219" s="254">
        <f t="shared" si="39"/>
        <v>-555.03566757817146</v>
      </c>
      <c r="O219" s="254">
        <f t="shared" si="39"/>
        <v>-426.81739281707473</v>
      </c>
      <c r="P219" s="254">
        <f t="shared" si="39"/>
        <v>-302.83101969530549</v>
      </c>
      <c r="Q219" s="254">
        <f t="shared" si="39"/>
        <v>-406.16569946882981</v>
      </c>
      <c r="R219" s="254">
        <f t="shared" si="39"/>
        <v>-434.38109332525204</v>
      </c>
      <c r="S219" s="254">
        <f>(S204/S207)*S222</f>
        <v>-498.14808510638295</v>
      </c>
      <c r="T219" s="254">
        <f>(T204/T207)*T222</f>
        <v>-487.97325058949139</v>
      </c>
      <c r="U219" s="254">
        <f>(U204/U207)*U222</f>
        <v>-514.31240287225478</v>
      </c>
      <c r="V219" s="254">
        <f>(V204/V207)*V222</f>
        <v>-541.04526420666855</v>
      </c>
    </row>
    <row r="220" spans="1:22">
      <c r="A220" s="2"/>
      <c r="B220" s="40"/>
      <c r="C220" s="40"/>
      <c r="D220" s="40"/>
      <c r="E220" s="40"/>
      <c r="F220" s="13" t="s">
        <v>772</v>
      </c>
      <c r="G220" s="40"/>
      <c r="H220" s="13" t="s">
        <v>772</v>
      </c>
      <c r="I220" s="22"/>
      <c r="J220" s="40" t="s">
        <v>1044</v>
      </c>
      <c r="K220" s="2"/>
      <c r="L220" s="36" t="s">
        <v>1059</v>
      </c>
      <c r="M220" s="254">
        <f t="shared" ref="M220:R220" si="40">(M205/M207)*M222</f>
        <v>-132.72729428503675</v>
      </c>
      <c r="N220" s="254">
        <f t="shared" si="40"/>
        <v>-140.79847818333135</v>
      </c>
      <c r="O220" s="254">
        <f t="shared" si="40"/>
        <v>-60.698871827912427</v>
      </c>
      <c r="P220" s="254">
        <f t="shared" si="40"/>
        <v>-15.393785666198134</v>
      </c>
      <c r="Q220" s="254">
        <f t="shared" si="40"/>
        <v>-7.2536095290031932</v>
      </c>
      <c r="R220" s="254">
        <f t="shared" si="40"/>
        <v>-8.1232875712075128</v>
      </c>
      <c r="S220" s="254">
        <f>(S205/S207)*S222</f>
        <v>0</v>
      </c>
      <c r="T220" s="254">
        <f>(T205/T207)*T222</f>
        <v>0</v>
      </c>
      <c r="U220" s="254">
        <f>(U205/U207)*U222</f>
        <v>0</v>
      </c>
      <c r="V220" s="254">
        <f>(V205/V207)*V222</f>
        <v>0</v>
      </c>
    </row>
    <row r="221" spans="1:22">
      <c r="A221" s="2"/>
      <c r="B221" s="2" t="s">
        <v>1062</v>
      </c>
      <c r="C221" s="2"/>
      <c r="D221" s="2"/>
      <c r="E221" s="2"/>
      <c r="F221" s="1128">
        <f>H221*J221</f>
        <v>3.5977527423173772</v>
      </c>
      <c r="G221" s="18"/>
      <c r="H221" s="1132">
        <f>H225-H223</f>
        <v>0.17636042854496947</v>
      </c>
      <c r="I221" s="18"/>
      <c r="J221" s="1211">
        <v>20.399999999999999</v>
      </c>
      <c r="K221" s="2"/>
      <c r="L221" s="36" t="s">
        <v>1060</v>
      </c>
      <c r="M221" s="254">
        <f t="shared" ref="M221:R221" si="41">M222-M219-M220</f>
        <v>-60.151055252549213</v>
      </c>
      <c r="N221" s="254">
        <f t="shared" si="41"/>
        <v>-75.165854238497189</v>
      </c>
      <c r="O221" s="254">
        <f t="shared" si="41"/>
        <v>-63.48373535501284</v>
      </c>
      <c r="P221" s="254">
        <f t="shared" si="41"/>
        <v>-98.775194638496373</v>
      </c>
      <c r="Q221" s="254">
        <f t="shared" si="41"/>
        <v>-115.58069100216699</v>
      </c>
      <c r="R221" s="254">
        <f t="shared" si="41"/>
        <v>-141.49561910354043</v>
      </c>
      <c r="S221" s="254">
        <f>S222-S219-S220</f>
        <v>-140.85191489361705</v>
      </c>
      <c r="T221" s="254">
        <f>T222-T219-T220</f>
        <v>-145.92674941050871</v>
      </c>
      <c r="U221" s="254">
        <f>U222-U219-U220</f>
        <v>-149.58759712774531</v>
      </c>
      <c r="V221" s="254">
        <f>V222-V219-V220</f>
        <v>-152.85473579333154</v>
      </c>
    </row>
    <row r="222" spans="1:22">
      <c r="A222" s="2"/>
      <c r="B222" s="2" t="s">
        <v>1073</v>
      </c>
      <c r="C222" s="2"/>
      <c r="D222" s="2"/>
      <c r="E222" s="2"/>
      <c r="F222" s="1128">
        <f>H222*J222</f>
        <v>0</v>
      </c>
      <c r="G222" s="18"/>
      <c r="H222" s="1132">
        <f>T230/100</f>
        <v>0</v>
      </c>
      <c r="I222" s="18"/>
      <c r="J222" s="1130">
        <v>0</v>
      </c>
      <c r="K222" s="2"/>
      <c r="L222" s="6" t="s">
        <v>1057</v>
      </c>
      <c r="M222" s="465">
        <f>'P&amp;L'!W85</f>
        <v>-694</v>
      </c>
      <c r="N222" s="465">
        <f>'P&amp;L'!X85</f>
        <v>-771</v>
      </c>
      <c r="O222" s="465">
        <f>'P&amp;L'!Y85</f>
        <v>-551</v>
      </c>
      <c r="P222" s="465">
        <f>'P&amp;L'!Z85</f>
        <v>-417</v>
      </c>
      <c r="Q222" s="465">
        <f>'P&amp;L'!AA85</f>
        <v>-529</v>
      </c>
      <c r="R222" s="465">
        <f>'P&amp;L'!AB85</f>
        <v>-584</v>
      </c>
      <c r="S222" s="465">
        <f>'P&amp;L'!AC85</f>
        <v>-639</v>
      </c>
      <c r="T222" s="465">
        <f>'P&amp;L'!AD85</f>
        <v>-633.90000000000009</v>
      </c>
      <c r="U222" s="465">
        <f>'P&amp;L'!AE85</f>
        <v>-663.90000000000009</v>
      </c>
      <c r="V222" s="465">
        <f>'P&amp;L'!AF85</f>
        <v>-693.90000000000009</v>
      </c>
    </row>
    <row r="223" spans="1:22">
      <c r="A223" s="2"/>
      <c r="B223" s="23" t="s">
        <v>1074</v>
      </c>
      <c r="C223" s="23"/>
      <c r="D223" s="23"/>
      <c r="E223" s="23"/>
      <c r="F223" s="1129">
        <f>H223*J223</f>
        <v>1.9022301067374481</v>
      </c>
      <c r="G223" s="22"/>
      <c r="H223" s="1133">
        <f>T231/100</f>
        <v>4.7555752668436202E-2</v>
      </c>
      <c r="I223" s="22"/>
      <c r="J223" s="1131">
        <v>40</v>
      </c>
      <c r="K223" s="2"/>
      <c r="L223" s="2"/>
      <c r="M223" s="254"/>
      <c r="N223" s="254"/>
      <c r="O223" s="254"/>
      <c r="P223" s="254"/>
      <c r="Q223" s="254"/>
      <c r="R223" s="254"/>
      <c r="S223" s="254"/>
      <c r="T223" s="254"/>
      <c r="U223" s="254"/>
      <c r="V223" s="254"/>
    </row>
    <row r="224" spans="1:22">
      <c r="A224" s="2"/>
      <c r="B224" s="2"/>
      <c r="C224" s="2"/>
      <c r="D224" s="2"/>
      <c r="E224" s="2"/>
      <c r="F224" s="196"/>
      <c r="G224" s="18"/>
      <c r="H224" s="1126"/>
      <c r="I224" s="18"/>
      <c r="J224" s="1012"/>
      <c r="K224" s="2"/>
      <c r="L224" s="36" t="s">
        <v>1058</v>
      </c>
      <c r="M224" s="254">
        <f>(M214+M219)*(1-'Cost + BS Assumptions'!W$153)</f>
        <v>1747.3622667432735</v>
      </c>
      <c r="N224" s="254">
        <f>(N214+N219)*(1-'Cost + BS Assumptions'!X$153)</f>
        <v>1089.9746461689504</v>
      </c>
      <c r="O224" s="254">
        <f>(O214+O219)*(1-'Cost + BS Assumptions'!Y$153)</f>
        <v>1368.4762516071992</v>
      </c>
      <c r="P224" s="254">
        <f>(P214+P219)*(1-'Cost + BS Assumptions'!Z$153)</f>
        <v>1174.4795641621824</v>
      </c>
      <c r="Q224" s="254">
        <f>(Q214+Q219)*(1-'Cost + BS Assumptions'!AA$153)</f>
        <v>1436.8981693933226</v>
      </c>
      <c r="R224" s="254">
        <f>(R214+R219)*(1-'Cost + BS Assumptions'!AB$153)</f>
        <v>1185.3200990550704</v>
      </c>
      <c r="S224" s="254">
        <f>(S214+S219)*(1-'Cost + BS Assumptions'!AC$153)</f>
        <v>1613.8190334012697</v>
      </c>
      <c r="T224" s="254">
        <f>(T214+T219)*(1-'Cost + BS Assumptions'!AD$153)</f>
        <v>1789.8053735411636</v>
      </c>
      <c r="U224" s="254">
        <f>(U214+U219)*(1-'Cost + BS Assumptions'!AE$153)</f>
        <v>1880.1549592133488</v>
      </c>
      <c r="V224" s="254">
        <f>(V214+V219)*(1-'Cost + BS Assumptions'!AF$153)</f>
        <v>1974.4276177915644</v>
      </c>
    </row>
    <row r="225" spans="1:22">
      <c r="A225" s="2"/>
      <c r="B225" s="657" t="s">
        <v>1075</v>
      </c>
      <c r="C225" s="629"/>
      <c r="D225" s="629"/>
      <c r="E225" s="629"/>
      <c r="F225" s="696">
        <f>SUM(F221:F223)</f>
        <v>5.4999828490548257</v>
      </c>
      <c r="G225" s="630"/>
      <c r="H225" s="1127">
        <f>'P&amp;L'!AE104/100</f>
        <v>0.22391618121340567</v>
      </c>
      <c r="I225" s="630"/>
      <c r="J225" s="700">
        <f>F225/H225</f>
        <v>24.562685998172721</v>
      </c>
      <c r="K225" s="2"/>
      <c r="L225" s="36" t="s">
        <v>1059</v>
      </c>
      <c r="M225" s="254">
        <f>(M215+M220)*(1-'Cost + BS Assumptions'!W$153)</f>
        <v>462.80711596993422</v>
      </c>
      <c r="N225" s="254">
        <f>(N215+N220)*(1-'Cost + BS Assumptions'!X$153)</f>
        <v>276.49893584071134</v>
      </c>
      <c r="O225" s="254">
        <f>(O215+O220)*(1-'Cost + BS Assumptions'!Y$153)</f>
        <v>194.61476030206524</v>
      </c>
      <c r="P225" s="254">
        <f>(P215+P220)*(1-'Cost + BS Assumptions'!Z$153)</f>
        <v>59.702228319388738</v>
      </c>
      <c r="Q225" s="254">
        <f>(Q215+Q220)*(1-'Cost + BS Assumptions'!AA$153)</f>
        <v>25.661197553976407</v>
      </c>
      <c r="R225" s="254">
        <f>(R215+R220)*(1-'Cost + BS Assumptions'!AB$153)</f>
        <v>22.166471277208231</v>
      </c>
      <c r="S225" s="254">
        <f>(S215+S220)*(1-'Cost + BS Assumptions'!AC$153)</f>
        <v>0</v>
      </c>
      <c r="T225" s="254">
        <f>(T215+T220)*(1-'Cost + BS Assumptions'!AD$153)</f>
        <v>0</v>
      </c>
      <c r="U225" s="254">
        <f>(U215+U220)*(1-'Cost + BS Assumptions'!AE$153)</f>
        <v>0</v>
      </c>
      <c r="V225" s="254">
        <f>(V215+V220)*(1-'Cost + BS Assumptions'!AF$153)</f>
        <v>0</v>
      </c>
    </row>
    <row r="226" spans="1:22">
      <c r="A226" s="2"/>
      <c r="B226" s="382"/>
      <c r="C226" s="2"/>
      <c r="D226" s="2"/>
      <c r="E226" s="2"/>
      <c r="F226" s="2"/>
      <c r="G226" s="2"/>
      <c r="H226" s="2"/>
      <c r="I226" s="2"/>
      <c r="J226" s="2"/>
      <c r="K226" s="2"/>
      <c r="L226" s="36" t="s">
        <v>1060</v>
      </c>
      <c r="M226" s="254">
        <f>(M216+M221)*(1-'Cost + BS Assumptions'!W$153)</f>
        <v>209.7408566484946</v>
      </c>
      <c r="N226" s="254">
        <f>(N216+N221)*(1-'Cost + BS Assumptions'!X$153)</f>
        <v>147.61010897746297</v>
      </c>
      <c r="O226" s="254">
        <f>(O216+O221)*(1-'Cost + BS Assumptions'!Y$153)</f>
        <v>203.54368322071778</v>
      </c>
      <c r="P226" s="254">
        <f>(P216+P221)*(1-'Cost + BS Assumptions'!Z$153)</f>
        <v>383.08310577225296</v>
      </c>
      <c r="Q226" s="254">
        <f>(Q216+Q221)*(1-'Cost + BS Assumptions'!AA$153)</f>
        <v>408.89145374762086</v>
      </c>
      <c r="R226" s="254">
        <f>(R216+R221)*(1-'Cost + BS Assumptions'!AB$153)</f>
        <v>386.10704708108653</v>
      </c>
      <c r="S226" s="254">
        <f>(S216+S221)*(1-'Cost + BS Assumptions'!AC$153)</f>
        <v>456.30909350538064</v>
      </c>
      <c r="T226" s="254">
        <f>(T216+T221)*(1-'Cost + BS Assumptions'!AD$153)</f>
        <v>535.2352407079826</v>
      </c>
      <c r="U226" s="254">
        <f>(U216+U221)*(1-'Cost + BS Assumptions'!AE$153)</f>
        <v>546.84246579679564</v>
      </c>
      <c r="V226" s="254">
        <f>(V216+V221)*(1-'Cost + BS Assumptions'!AF$153)</f>
        <v>557.81028284780359</v>
      </c>
    </row>
    <row r="227" spans="1:22">
      <c r="A227" s="2"/>
      <c r="B227" s="2"/>
      <c r="C227" s="2"/>
      <c r="D227" s="2"/>
      <c r="E227" s="2"/>
      <c r="F227" s="2"/>
      <c r="G227" s="2"/>
      <c r="H227" s="2"/>
      <c r="I227" s="2"/>
      <c r="J227" s="2"/>
      <c r="K227" s="2"/>
      <c r="L227" s="6" t="s">
        <v>884</v>
      </c>
      <c r="M227" s="465">
        <f>'P&amp;L'!W97</f>
        <v>2110</v>
      </c>
      <c r="N227" s="465">
        <f>'P&amp;L'!X97</f>
        <v>1819</v>
      </c>
      <c r="O227" s="465">
        <f>'P&amp;L'!Y97</f>
        <v>1857</v>
      </c>
      <c r="P227" s="465">
        <f>'P&amp;L'!Z97</f>
        <v>1688</v>
      </c>
      <c r="Q227" s="465">
        <f>'P&amp;L'!AA97</f>
        <v>2023</v>
      </c>
      <c r="R227" s="465">
        <f>'P&amp;L'!AB97</f>
        <v>2140</v>
      </c>
      <c r="S227" s="465">
        <f>'P&amp;L'!AC97</f>
        <v>2173</v>
      </c>
      <c r="T227" s="465">
        <f>'P&amp;L'!AD97</f>
        <v>2418.1974171777601</v>
      </c>
      <c r="U227" s="465">
        <f>'P&amp;L'!AE97</f>
        <v>2520.1542279387595</v>
      </c>
      <c r="V227" s="465">
        <f>'P&amp;L'!AF97</f>
        <v>2625.3947035679821</v>
      </c>
    </row>
    <row r="228" spans="1:22">
      <c r="A228" s="2"/>
      <c r="B228" s="2"/>
      <c r="C228" s="2"/>
      <c r="D228" s="2"/>
      <c r="E228" s="2"/>
      <c r="F228" s="2"/>
      <c r="G228" s="2"/>
      <c r="H228" s="2"/>
      <c r="I228" s="2"/>
      <c r="J228" s="2"/>
      <c r="K228" s="2"/>
      <c r="L228" s="2"/>
      <c r="M228" s="254"/>
      <c r="N228" s="254"/>
      <c r="O228" s="254"/>
      <c r="P228" s="254"/>
      <c r="Q228" s="254"/>
      <c r="R228" s="254"/>
      <c r="S228" s="254"/>
      <c r="T228" s="254"/>
      <c r="U228" s="254"/>
      <c r="V228" s="254"/>
    </row>
    <row r="229" spans="1:22">
      <c r="A229" s="2"/>
      <c r="B229" s="2"/>
      <c r="C229" s="2"/>
      <c r="D229" s="2"/>
      <c r="E229" s="2"/>
      <c r="F229" s="2"/>
      <c r="G229" s="2"/>
      <c r="H229" s="2"/>
      <c r="I229" s="2"/>
      <c r="J229" s="2"/>
      <c r="K229" s="2"/>
      <c r="L229" s="36" t="s">
        <v>1058</v>
      </c>
      <c r="M229" s="399">
        <f t="shared" ref="M229:R229" si="42">M232-M231-M230</f>
        <v>12.079428801525811</v>
      </c>
      <c r="N229" s="399">
        <f t="shared" si="42"/>
        <v>11.726699917459651</v>
      </c>
      <c r="O229" s="399">
        <f t="shared" si="42"/>
        <v>12.267419748378886</v>
      </c>
      <c r="P229" s="703">
        <f t="shared" si="42"/>
        <v>10.584959757806514</v>
      </c>
      <c r="Q229" s="703">
        <f t="shared" si="42"/>
        <v>13.748029675423252</v>
      </c>
      <c r="R229" s="703">
        <f t="shared" si="42"/>
        <v>14.989409518235135</v>
      </c>
      <c r="S229" s="703">
        <f>S232-S231-S230</f>
        <v>14.896658334732901</v>
      </c>
      <c r="T229" s="703">
        <f>T232-T231-T230</f>
        <v>16.730154656814165</v>
      </c>
      <c r="U229" s="703">
        <f>U232-U231-U230</f>
        <v>17.532912439399407</v>
      </c>
      <c r="V229" s="703">
        <f>V232-V231-V230</f>
        <v>18.370526799173504</v>
      </c>
    </row>
    <row r="230" spans="1:22">
      <c r="A230" s="2"/>
      <c r="B230" s="2"/>
      <c r="C230" s="2"/>
      <c r="D230" s="2"/>
      <c r="E230" s="2"/>
      <c r="F230" s="2"/>
      <c r="G230" s="2"/>
      <c r="H230" s="2"/>
      <c r="I230" s="2"/>
      <c r="J230" s="2"/>
      <c r="K230" s="2"/>
      <c r="L230" s="36" t="s">
        <v>1059</v>
      </c>
      <c r="M230" s="399">
        <f>M225/'P&amp;L'!W$101*100</f>
        <v>3.8891354283187747</v>
      </c>
      <c r="N230" s="399">
        <f>N225/'P&amp;L'!X$101*100</f>
        <v>2.3244971487239292</v>
      </c>
      <c r="O230" s="399">
        <f>O225/'P&amp;L'!Y$101*100</f>
        <v>1.6365183341916014</v>
      </c>
      <c r="P230" s="399">
        <f>P225/'P&amp;L'!Z$101*100</f>
        <v>0.5074993906782449</v>
      </c>
      <c r="Q230" s="399">
        <f>Q225/'P&amp;L'!AA$101*100</f>
        <v>0.2220979535570054</v>
      </c>
      <c r="R230" s="399">
        <f>R225/'P&amp;L'!AB$101*100</f>
        <v>0.19186766447856168</v>
      </c>
      <c r="S230" s="399">
        <f>S225/'P&amp;L'!AC$101*100</f>
        <v>0</v>
      </c>
      <c r="T230" s="399">
        <f>T225/'P&amp;L'!AD$101*100</f>
        <v>0</v>
      </c>
      <c r="U230" s="399">
        <f>U225/'P&amp;L'!AE$101*100</f>
        <v>0</v>
      </c>
      <c r="V230" s="399">
        <f>V225/'P&amp;L'!AF$101*100</f>
        <v>0</v>
      </c>
    </row>
    <row r="231" spans="1:22">
      <c r="A231" s="2"/>
      <c r="B231" s="2"/>
      <c r="C231" s="2"/>
      <c r="D231" s="2"/>
      <c r="E231" s="2"/>
      <c r="F231" s="2"/>
      <c r="G231" s="2"/>
      <c r="H231" s="2"/>
      <c r="I231" s="2"/>
      <c r="J231" s="2"/>
      <c r="K231" s="2"/>
      <c r="L231" s="36" t="s">
        <v>1060</v>
      </c>
      <c r="M231" s="399">
        <f>M226/'P&amp;L'!W$101*100</f>
        <v>1.7625282071302069</v>
      </c>
      <c r="N231" s="399">
        <f>N226/'P&amp;L'!X$101*100</f>
        <v>1.2409424882510547</v>
      </c>
      <c r="O231" s="399">
        <f>O226/'P&amp;L'!Y$101*100</f>
        <v>1.7116017761580709</v>
      </c>
      <c r="P231" s="399">
        <f>P226/'P&amp;L'!Z$101*100</f>
        <v>3.2564017831711403</v>
      </c>
      <c r="Q231" s="399">
        <f>Q226/'P&amp;L'!AA$101*100</f>
        <v>3.5389601328338314</v>
      </c>
      <c r="R231" s="399">
        <f>R226/'P&amp;L'!AB$101*100</f>
        <v>3.3420500915873501</v>
      </c>
      <c r="S231" s="399">
        <f>S226/'P&amp;L'!AC$101*100</f>
        <v>3.95964156113659</v>
      </c>
      <c r="T231" s="399">
        <f>T226/'P&amp;L'!AD$101*100</f>
        <v>4.7555752668436204</v>
      </c>
      <c r="U231" s="399">
        <f>U226/'P&amp;L'!AE$101*100</f>
        <v>4.85870568194116</v>
      </c>
      <c r="V231" s="399">
        <f>V226/'P&amp;L'!AF$101*100</f>
        <v>4.9561549444935418</v>
      </c>
    </row>
    <row r="232" spans="1:22">
      <c r="A232" s="2"/>
      <c r="B232" s="2"/>
      <c r="C232" s="2"/>
      <c r="D232" s="2"/>
      <c r="E232" s="2"/>
      <c r="F232" s="2"/>
      <c r="G232" s="2"/>
      <c r="H232" s="2"/>
      <c r="I232" s="2"/>
      <c r="J232" s="2"/>
      <c r="K232" s="2"/>
      <c r="L232" s="6" t="s">
        <v>234</v>
      </c>
      <c r="M232" s="1022">
        <f>'P&amp;L'!W104</f>
        <v>17.731092436974791</v>
      </c>
      <c r="N232" s="1022">
        <f>'P&amp;L'!X104</f>
        <v>15.292139554434636</v>
      </c>
      <c r="O232" s="1022">
        <f>'P&amp;L'!Y104</f>
        <v>15.615539858728559</v>
      </c>
      <c r="P232" s="1125">
        <f>'P&amp;L'!Z104</f>
        <v>14.348860931655899</v>
      </c>
      <c r="Q232" s="1125">
        <f>'P&amp;L'!AA104</f>
        <v>17.50908776181409</v>
      </c>
      <c r="R232" s="1125">
        <f>'P&amp;L'!AB104</f>
        <v>18.523327274301046</v>
      </c>
      <c r="S232" s="1125">
        <f>'P&amp;L'!AC104</f>
        <v>18.856299895869491</v>
      </c>
      <c r="T232" s="1125">
        <f>'P&amp;L'!AD104</f>
        <v>21.485729923657786</v>
      </c>
      <c r="U232" s="1125">
        <f>'P&amp;L'!AE104</f>
        <v>22.391618121340567</v>
      </c>
      <c r="V232" s="1125">
        <f>'P&amp;L'!AF104</f>
        <v>23.326681743667045</v>
      </c>
    </row>
    <row r="233" spans="1:22">
      <c r="A233" s="2"/>
      <c r="B233" s="2"/>
      <c r="C233" s="2"/>
      <c r="D233" s="2"/>
      <c r="E233" s="2"/>
      <c r="F233" s="2"/>
      <c r="G233" s="2"/>
      <c r="H233" s="2"/>
      <c r="I233" s="2"/>
      <c r="J233" s="2"/>
      <c r="K233" s="2"/>
      <c r="L233" s="2"/>
      <c r="M233" s="2"/>
      <c r="N233" s="2"/>
      <c r="O233" s="2"/>
      <c r="P233" s="2"/>
      <c r="Q233" s="2"/>
      <c r="R233" s="2"/>
      <c r="S233" s="2"/>
      <c r="T233" s="2"/>
      <c r="U233" s="2"/>
      <c r="V233" s="2"/>
    </row>
    <row r="234" spans="1:22">
      <c r="A234" s="2"/>
      <c r="B234" s="2"/>
      <c r="C234" s="2"/>
      <c r="D234" s="2"/>
      <c r="E234" s="2"/>
      <c r="F234" s="2"/>
      <c r="G234" s="2"/>
      <c r="H234" s="2"/>
      <c r="I234" s="2"/>
      <c r="J234" s="2"/>
      <c r="K234" s="2"/>
      <c r="L234" s="36" t="s">
        <v>1058</v>
      </c>
      <c r="M234" s="1023">
        <v>10</v>
      </c>
      <c r="N234" s="1023">
        <v>10</v>
      </c>
      <c r="O234" s="1023">
        <v>20</v>
      </c>
      <c r="P234" s="1023">
        <v>20</v>
      </c>
      <c r="Q234" s="1023">
        <v>20</v>
      </c>
      <c r="R234" s="1023">
        <v>20</v>
      </c>
      <c r="S234" s="1023">
        <v>21</v>
      </c>
      <c r="T234" s="1023">
        <v>21</v>
      </c>
      <c r="U234" s="1023">
        <v>21</v>
      </c>
      <c r="V234" s="1023">
        <v>21</v>
      </c>
    </row>
    <row r="235" spans="1:22">
      <c r="A235" s="2"/>
      <c r="B235" s="2"/>
      <c r="C235" s="2"/>
      <c r="D235" s="2"/>
      <c r="E235" s="2"/>
      <c r="F235" s="2"/>
      <c r="G235" s="2"/>
      <c r="H235" s="2"/>
      <c r="I235" s="2"/>
      <c r="J235" s="2"/>
      <c r="K235" s="2"/>
      <c r="L235" s="36" t="s">
        <v>1061</v>
      </c>
      <c r="M235" s="1024">
        <f>M240/(M230/100)</f>
        <v>5.0184992025774928</v>
      </c>
      <c r="N235" s="1024">
        <f>N240/(N230/100)</f>
        <v>3.5168486666360339</v>
      </c>
      <c r="O235" s="1024"/>
      <c r="P235" s="1024"/>
      <c r="Q235" s="1024"/>
      <c r="R235" s="1024"/>
      <c r="S235" s="1024"/>
      <c r="T235" s="1024"/>
      <c r="U235" s="1024"/>
      <c r="V235" s="1024"/>
    </row>
    <row r="236" spans="1:22">
      <c r="A236" s="2"/>
      <c r="B236" s="2"/>
      <c r="C236" s="2"/>
      <c r="D236" s="2"/>
      <c r="E236" s="2"/>
      <c r="F236" s="2"/>
      <c r="G236" s="2"/>
      <c r="H236" s="2"/>
      <c r="I236" s="2"/>
      <c r="J236" s="2"/>
      <c r="K236" s="2"/>
      <c r="L236" s="36" t="s">
        <v>1060</v>
      </c>
      <c r="M236" s="1023">
        <v>20</v>
      </c>
      <c r="N236" s="1024">
        <f>M236</f>
        <v>20</v>
      </c>
      <c r="O236" s="1023">
        <v>60</v>
      </c>
      <c r="P236" s="1024">
        <f t="shared" ref="P236:V236" si="43">O236</f>
        <v>60</v>
      </c>
      <c r="Q236" s="1024">
        <f t="shared" si="43"/>
        <v>60</v>
      </c>
      <c r="R236" s="1024">
        <f t="shared" si="43"/>
        <v>60</v>
      </c>
      <c r="S236" s="1024">
        <f t="shared" si="43"/>
        <v>60</v>
      </c>
      <c r="T236" s="1024">
        <f t="shared" si="43"/>
        <v>60</v>
      </c>
      <c r="U236" s="1024">
        <f t="shared" si="43"/>
        <v>60</v>
      </c>
      <c r="V236" s="1024">
        <f t="shared" si="43"/>
        <v>60</v>
      </c>
    </row>
    <row r="237" spans="1:22">
      <c r="A237" s="2"/>
      <c r="B237" s="2"/>
      <c r="C237" s="2"/>
      <c r="D237" s="2"/>
      <c r="E237" s="2"/>
      <c r="F237" s="2"/>
      <c r="G237" s="2"/>
      <c r="H237" s="2"/>
      <c r="I237" s="2"/>
      <c r="J237" s="2"/>
      <c r="K237" s="2"/>
      <c r="L237" s="6" t="s">
        <v>1044</v>
      </c>
      <c r="M237" s="1025">
        <f t="shared" ref="M237:R237" si="44">M242/(M232/100)</f>
        <v>9.9013907816246025</v>
      </c>
      <c r="N237" s="1025">
        <f t="shared" si="44"/>
        <v>9.8260124492606948</v>
      </c>
      <c r="O237" s="1025">
        <f t="shared" si="44"/>
        <v>22.288342554005062</v>
      </c>
      <c r="P237" s="1025">
        <f t="shared" si="44"/>
        <v>28.370426341529821</v>
      </c>
      <c r="Q237" s="1025">
        <f t="shared" si="44"/>
        <v>27.831158773517199</v>
      </c>
      <c r="R237" s="1025">
        <f t="shared" si="44"/>
        <v>27.009790868083783</v>
      </c>
      <c r="S237" s="1025">
        <f>S242/(S232/100)</f>
        <v>29.189624779894086</v>
      </c>
      <c r="T237" s="1025">
        <f>T242/(T232/100)</f>
        <v>29.632121694999263</v>
      </c>
      <c r="U237" s="1025">
        <f>U242/(U232/100)</f>
        <v>29.462520241675175</v>
      </c>
      <c r="V237" s="1025">
        <f>V242/(V232/100)</f>
        <v>29.286221116199883</v>
      </c>
    </row>
    <row r="238" spans="1:22">
      <c r="A238" s="2"/>
      <c r="B238" s="2"/>
      <c r="C238" s="2"/>
      <c r="D238" s="2"/>
      <c r="E238" s="2"/>
      <c r="F238" s="2"/>
      <c r="G238" s="2"/>
      <c r="H238" s="2"/>
      <c r="I238" s="2"/>
      <c r="J238" s="2"/>
      <c r="K238" s="2"/>
      <c r="L238" s="2"/>
      <c r="M238" s="2"/>
      <c r="N238" s="2"/>
      <c r="O238" s="2"/>
      <c r="P238" s="2"/>
      <c r="Q238" s="2"/>
      <c r="R238" s="2"/>
      <c r="S238" s="2"/>
      <c r="T238" s="2"/>
      <c r="U238" s="2"/>
      <c r="V238" s="2"/>
    </row>
    <row r="239" spans="1:22">
      <c r="A239" s="2"/>
      <c r="B239" s="2"/>
      <c r="C239" s="2"/>
      <c r="D239" s="2"/>
      <c r="E239" s="2"/>
      <c r="F239" s="2"/>
      <c r="G239" s="2"/>
      <c r="H239" s="2"/>
      <c r="I239" s="2"/>
      <c r="J239" s="2"/>
      <c r="K239" s="2"/>
      <c r="L239" s="36" t="s">
        <v>1058</v>
      </c>
      <c r="M239" s="1026">
        <f t="shared" ref="M239:R239" si="45">M229*M234/100</f>
        <v>1.2079428801525811</v>
      </c>
      <c r="N239" s="1026">
        <f t="shared" si="45"/>
        <v>1.1726699917459653</v>
      </c>
      <c r="O239" s="1026">
        <f t="shared" si="45"/>
        <v>2.453483949675777</v>
      </c>
      <c r="P239" s="1026">
        <f t="shared" si="45"/>
        <v>2.1169919515613027</v>
      </c>
      <c r="Q239" s="1026">
        <f t="shared" si="45"/>
        <v>2.7496059350846505</v>
      </c>
      <c r="R239" s="1026">
        <f t="shared" si="45"/>
        <v>2.997881903647027</v>
      </c>
      <c r="S239" s="1026">
        <f>S229*S234/100</f>
        <v>3.1282982502939092</v>
      </c>
      <c r="T239" s="1026">
        <f>T229*T234/100</f>
        <v>3.5133324779309749</v>
      </c>
      <c r="U239" s="1026">
        <f>U229*U234/100</f>
        <v>3.6819116122738755</v>
      </c>
      <c r="V239" s="1026">
        <f>V229*V234/100</f>
        <v>3.8578106278264359</v>
      </c>
    </row>
    <row r="240" spans="1:22">
      <c r="A240" s="2"/>
      <c r="B240" s="2"/>
      <c r="C240" s="2"/>
      <c r="D240" s="2"/>
      <c r="E240" s="2"/>
      <c r="F240" s="2"/>
      <c r="G240" s="2"/>
      <c r="H240" s="2"/>
      <c r="I240" s="2"/>
      <c r="J240" s="2"/>
      <c r="K240" s="2"/>
      <c r="L240" s="36" t="s">
        <v>1059</v>
      </c>
      <c r="M240" s="1027">
        <f>SoTP!BQ17</f>
        <v>0.19517623045733645</v>
      </c>
      <c r="N240" s="1027">
        <f>SoTP!BR17</f>
        <v>8.1749046980890139E-2</v>
      </c>
      <c r="O240" s="1028"/>
      <c r="P240" s="1026"/>
      <c r="Q240" s="1026"/>
      <c r="R240" s="1026"/>
      <c r="S240" s="1026"/>
      <c r="T240" s="1026"/>
      <c r="U240" s="1026"/>
      <c r="V240" s="1026"/>
    </row>
    <row r="241" spans="1:22">
      <c r="A241" s="2"/>
      <c r="B241" s="2"/>
      <c r="C241" s="2"/>
      <c r="D241" s="2"/>
      <c r="E241" s="2"/>
      <c r="F241" s="2"/>
      <c r="G241" s="2"/>
      <c r="H241" s="2"/>
      <c r="I241" s="2"/>
      <c r="J241" s="2"/>
      <c r="K241" s="2"/>
      <c r="L241" s="36" t="s">
        <v>1060</v>
      </c>
      <c r="M241" s="1026">
        <f t="shared" ref="M241:R241" si="46">M231*M236/100</f>
        <v>0.35250564142604135</v>
      </c>
      <c r="N241" s="1026">
        <f t="shared" si="46"/>
        <v>0.24818849765021092</v>
      </c>
      <c r="O241" s="1026">
        <f t="shared" si="46"/>
        <v>1.0269610656948425</v>
      </c>
      <c r="P241" s="1026">
        <f t="shared" si="46"/>
        <v>1.953841069902684</v>
      </c>
      <c r="Q241" s="1026">
        <f t="shared" si="46"/>
        <v>2.1233760797002987</v>
      </c>
      <c r="R241" s="1026">
        <f t="shared" si="46"/>
        <v>2.0052300549524098</v>
      </c>
      <c r="S241" s="1026">
        <f>S231*S236/100</f>
        <v>2.3757849366819541</v>
      </c>
      <c r="T241" s="1026">
        <f>T231*T236/100</f>
        <v>2.8533451601061723</v>
      </c>
      <c r="U241" s="1026">
        <f>U231*U236/100</f>
        <v>2.915223409164696</v>
      </c>
      <c r="V241" s="1026">
        <f>V231*V236/100</f>
        <v>2.9736929666961247</v>
      </c>
    </row>
    <row r="242" spans="1:22">
      <c r="A242" s="2"/>
      <c r="B242" s="2"/>
      <c r="C242" s="2"/>
      <c r="D242" s="2"/>
      <c r="E242" s="2"/>
      <c r="F242" s="2"/>
      <c r="G242" s="2"/>
      <c r="H242" s="2"/>
      <c r="I242" s="2"/>
      <c r="J242" s="2"/>
      <c r="K242" s="2"/>
      <c r="L242" s="6" t="s">
        <v>477</v>
      </c>
      <c r="M242" s="1029">
        <f t="shared" ref="M242:R242" si="47">SUM(M239:M241)</f>
        <v>1.7556247520359589</v>
      </c>
      <c r="N242" s="1029">
        <f t="shared" si="47"/>
        <v>1.5026075363770663</v>
      </c>
      <c r="O242" s="1029">
        <f t="shared" si="47"/>
        <v>3.4804450153706195</v>
      </c>
      <c r="P242" s="1029">
        <f t="shared" si="47"/>
        <v>4.0708330214639865</v>
      </c>
      <c r="Q242" s="1029">
        <f t="shared" si="47"/>
        <v>4.8729820147849487</v>
      </c>
      <c r="R242" s="1029">
        <f t="shared" si="47"/>
        <v>5.0031119585994368</v>
      </c>
      <c r="S242" s="1029">
        <f>SUM(S239:S241)</f>
        <v>5.5040831869758637</v>
      </c>
      <c r="T242" s="1029">
        <f>SUM(T239:T241)</f>
        <v>6.3666776380371477</v>
      </c>
      <c r="U242" s="1029">
        <f>SUM(U239:U241)</f>
        <v>6.5971350214385716</v>
      </c>
      <c r="V242" s="1029">
        <f>SUM(V239:V241)</f>
        <v>6.8315035945225606</v>
      </c>
    </row>
  </sheetData>
  <phoneticPr fontId="10" type="noConversion"/>
  <printOptions horizontalCentered="1" verticalCentered="1"/>
  <pageMargins left="0" right="0" top="0" bottom="0" header="0" footer="0"/>
  <pageSetup paperSize="5" scale="53" orientation="portrait" r:id="rId1"/>
  <headerFooter alignWithMargins="0"/>
  <ignoredErrors>
    <ignoredError sqref="M236:N242" formula="1"/>
  </ignoredError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4">
    <outlinePr summaryBelow="0"/>
    <pageSetUpPr autoPageBreaks="0" fitToPage="1"/>
  </sheetPr>
  <dimension ref="A1:CH246"/>
  <sheetViews>
    <sheetView showGridLines="0" zoomScale="85" zoomScaleNormal="85" workbookViewId="0">
      <selection activeCell="BX15" sqref="BX15"/>
    </sheetView>
  </sheetViews>
  <sheetFormatPr defaultRowHeight="13.8" outlineLevelCol="1"/>
  <cols>
    <col min="1" max="1" width="2.6640625" customWidth="1"/>
    <col min="2" max="2" width="36.88671875" customWidth="1"/>
    <col min="3" max="17" width="8.6640625" hidden="1" customWidth="1" outlineLevel="1"/>
    <col min="18" max="18" width="9.6640625" hidden="1" customWidth="1" outlineLevel="1" collapsed="1"/>
    <col min="19" max="22" width="9.6640625" hidden="1" customWidth="1" outlineLevel="1"/>
    <col min="23" max="23" width="9.6640625" customWidth="1" collapsed="1"/>
    <col min="24" max="26" width="9.6640625" customWidth="1"/>
    <col min="27" max="27" width="2.6640625" customWidth="1"/>
    <col min="28" max="28" width="15.6640625" customWidth="1"/>
    <col min="29" max="29" width="2.6640625" customWidth="1"/>
    <col min="30" max="32" width="8.6640625" hidden="1" customWidth="1" outlineLevel="1"/>
    <col min="33" max="33" width="8.6640625" hidden="1" customWidth="1" outlineLevel="1" collapsed="1"/>
    <col min="34" max="44" width="8.6640625" hidden="1" customWidth="1" outlineLevel="1"/>
    <col min="45" max="45" width="9.6640625" hidden="1" customWidth="1" outlineLevel="1" collapsed="1"/>
    <col min="46" max="49" width="9.6640625" hidden="1" customWidth="1" outlineLevel="1"/>
    <col min="50" max="50" width="9.6640625" customWidth="1" collapsed="1"/>
    <col min="51" max="53" width="9.6640625" customWidth="1"/>
    <col min="54" max="54" width="2.6640625" customWidth="1"/>
    <col min="55" max="57" width="8.6640625" hidden="1" customWidth="1" outlineLevel="1"/>
    <col min="58" max="58" width="8.6640625" hidden="1" customWidth="1" outlineLevel="1" collapsed="1"/>
    <col min="59" max="67" width="8.6640625" hidden="1" customWidth="1" outlineLevel="1"/>
    <col min="68" max="68" width="8.6640625" hidden="1" customWidth="1" outlineLevel="1" collapsed="1"/>
    <col min="69" max="69" width="8.6640625" hidden="1" customWidth="1" outlineLevel="1"/>
    <col min="70" max="70" width="9.6640625" hidden="1" customWidth="1" outlineLevel="1" collapsed="1"/>
    <col min="71" max="71" width="9.6640625" hidden="1" customWidth="1" outlineLevel="1"/>
    <col min="72" max="74" width="10.44140625" hidden="1" customWidth="1" outlineLevel="1"/>
    <col min="75" max="75" width="10.44140625" customWidth="1" collapsed="1"/>
    <col min="76" max="78" width="10.44140625" customWidth="1"/>
    <col min="79" max="97" width="8.88671875" customWidth="1"/>
    <col min="98" max="98" width="9.88671875" customWidth="1"/>
  </cols>
  <sheetData>
    <row r="1" spans="1:78">
      <c r="A1" s="472"/>
      <c r="B1" s="469"/>
      <c r="C1" s="478"/>
      <c r="D1" s="469"/>
      <c r="E1" s="469"/>
      <c r="F1" s="469"/>
      <c r="G1" s="469"/>
      <c r="H1" s="469"/>
      <c r="I1" s="479"/>
      <c r="J1" s="479"/>
      <c r="K1" s="479"/>
      <c r="L1" s="479"/>
      <c r="M1" s="479"/>
      <c r="N1" s="479"/>
      <c r="O1" s="479"/>
      <c r="P1" s="479"/>
      <c r="Q1" s="479"/>
      <c r="R1" s="493"/>
      <c r="S1" s="493"/>
      <c r="T1" s="493"/>
      <c r="U1" s="493"/>
      <c r="V1" s="493"/>
      <c r="W1" s="493"/>
      <c r="X1" s="493"/>
      <c r="Y1" s="493"/>
      <c r="Z1" s="493"/>
      <c r="AA1" s="493"/>
      <c r="AB1" s="493"/>
      <c r="AC1" s="493"/>
      <c r="AD1" s="493"/>
      <c r="AE1" s="493"/>
      <c r="AF1" s="472"/>
      <c r="AG1" s="472"/>
      <c r="AH1" s="472"/>
      <c r="AI1" s="472"/>
      <c r="AJ1" s="472"/>
      <c r="AK1" s="472"/>
      <c r="AL1" s="472"/>
      <c r="AM1" s="472"/>
      <c r="AN1" s="472"/>
      <c r="AO1" s="472"/>
      <c r="AP1" s="472"/>
      <c r="AQ1" s="472"/>
      <c r="AR1" s="472"/>
      <c r="AS1" s="472"/>
      <c r="AT1" s="472"/>
      <c r="AU1" s="472"/>
      <c r="AV1" s="472"/>
      <c r="AW1" s="472"/>
      <c r="AX1" s="472"/>
      <c r="AY1" s="472"/>
      <c r="AZ1" s="472"/>
      <c r="BA1" s="472"/>
      <c r="BB1" s="472"/>
      <c r="BC1" s="472"/>
      <c r="BD1" s="472"/>
      <c r="BE1" s="472"/>
      <c r="BF1" s="472"/>
      <c r="BG1" s="472"/>
      <c r="BH1" s="472"/>
      <c r="BI1" s="472"/>
      <c r="BJ1" s="472"/>
      <c r="BK1" s="472"/>
      <c r="BL1" s="472"/>
      <c r="BM1" s="472"/>
      <c r="BN1" s="472"/>
      <c r="BO1" s="472"/>
      <c r="BP1" s="472"/>
      <c r="BQ1" s="472"/>
      <c r="BR1" s="472"/>
      <c r="BS1" s="472"/>
      <c r="BT1" s="472"/>
      <c r="BU1" s="472"/>
      <c r="BV1" s="472"/>
      <c r="BW1" s="472"/>
      <c r="BX1" s="472"/>
      <c r="BY1" s="472"/>
      <c r="BZ1" s="472"/>
    </row>
    <row r="2" spans="1:78" ht="23.4">
      <c r="A2" s="472"/>
      <c r="B2" s="475" t="s">
        <v>1368</v>
      </c>
      <c r="C2" s="476"/>
      <c r="D2" s="476"/>
      <c r="E2" s="476"/>
      <c r="F2" s="476"/>
      <c r="G2" s="476"/>
      <c r="H2" s="476"/>
      <c r="I2" s="472"/>
      <c r="J2" s="469"/>
      <c r="K2" s="469"/>
      <c r="L2" s="469"/>
      <c r="M2" s="469"/>
      <c r="N2" s="469"/>
      <c r="O2" s="469"/>
      <c r="P2" s="469"/>
      <c r="Q2" s="472"/>
      <c r="R2" s="472"/>
      <c r="S2" s="472"/>
      <c r="T2" s="472"/>
      <c r="U2" s="472"/>
      <c r="V2" s="472"/>
      <c r="W2" s="472"/>
      <c r="X2" s="472"/>
      <c r="Y2" s="472"/>
      <c r="Z2" s="472"/>
      <c r="AA2" s="472"/>
      <c r="AB2" s="472"/>
      <c r="AC2" s="472"/>
      <c r="AD2" s="479"/>
      <c r="AE2" s="479"/>
      <c r="AF2" s="479"/>
      <c r="AG2" s="479"/>
      <c r="AH2" s="479"/>
      <c r="AI2" s="479"/>
      <c r="AJ2" s="479"/>
      <c r="AK2" s="479"/>
      <c r="AL2" s="479"/>
      <c r="AM2" s="479"/>
      <c r="AN2" s="472"/>
      <c r="AO2" s="472"/>
      <c r="AP2" s="472"/>
      <c r="AQ2" s="472"/>
      <c r="AR2" s="472"/>
      <c r="AS2" s="472"/>
      <c r="AT2" s="472"/>
      <c r="AU2" s="472"/>
      <c r="AV2" s="472"/>
      <c r="AW2" s="472"/>
      <c r="AX2" s="472"/>
      <c r="AY2" s="472"/>
      <c r="AZ2" s="472"/>
      <c r="BA2" s="472"/>
      <c r="BB2" s="472"/>
      <c r="BC2" s="472"/>
      <c r="BD2" s="472"/>
      <c r="BE2" s="472"/>
      <c r="BF2" s="472"/>
      <c r="BG2" s="472"/>
      <c r="BH2" s="472"/>
      <c r="BI2" s="472"/>
      <c r="BJ2" s="472"/>
      <c r="BK2" s="472"/>
      <c r="BL2" s="472"/>
      <c r="BM2" s="472"/>
      <c r="BN2" s="472"/>
      <c r="BO2" s="472"/>
      <c r="BP2" s="472"/>
      <c r="BQ2" s="472"/>
      <c r="BR2" s="472"/>
      <c r="BS2" s="472"/>
      <c r="BT2" s="472"/>
      <c r="BU2" s="472"/>
      <c r="BV2" s="472"/>
      <c r="BW2" s="472"/>
      <c r="BX2" s="472"/>
      <c r="BY2" s="472"/>
      <c r="BZ2" s="472"/>
    </row>
    <row r="3" spans="1:78" ht="18">
      <c r="A3" s="472"/>
      <c r="B3" s="480" t="str">
        <f ca="1">MID(CELL("filename",A1),FIND("]",CELL("filename",A1))+1,255)</f>
        <v>SoTP</v>
      </c>
      <c r="C3" s="494"/>
      <c r="D3" s="476"/>
      <c r="E3" s="476"/>
      <c r="F3" s="476"/>
      <c r="G3" s="476"/>
      <c r="H3" s="476"/>
      <c r="I3" s="481"/>
      <c r="J3" s="482"/>
      <c r="K3" s="482"/>
      <c r="L3" s="482"/>
      <c r="M3" s="482"/>
      <c r="N3" s="482"/>
      <c r="O3" s="482"/>
      <c r="P3" s="482"/>
      <c r="Q3" s="482"/>
      <c r="R3" s="482"/>
      <c r="S3" s="482"/>
      <c r="T3" s="482"/>
      <c r="U3" s="482"/>
      <c r="V3" s="482"/>
      <c r="W3" s="482"/>
      <c r="X3" s="482"/>
      <c r="Y3" s="482"/>
      <c r="Z3" s="482"/>
      <c r="AA3" s="482"/>
      <c r="AB3" s="482"/>
      <c r="AC3" s="482"/>
      <c r="AD3" s="472"/>
      <c r="AE3" s="472"/>
      <c r="AF3" s="483"/>
      <c r="AG3" s="483"/>
      <c r="AH3" s="483"/>
      <c r="AI3" s="472"/>
      <c r="AJ3" s="472"/>
      <c r="AK3" s="472"/>
      <c r="AL3" s="472"/>
      <c r="AM3" s="472"/>
      <c r="AN3" s="472"/>
      <c r="AO3" s="472"/>
      <c r="AP3" s="472"/>
      <c r="AQ3" s="472"/>
      <c r="AR3" s="472"/>
      <c r="AS3" s="472"/>
      <c r="AT3" s="472"/>
      <c r="AU3" s="472"/>
      <c r="AV3" s="472"/>
      <c r="AW3" s="472"/>
      <c r="AX3" s="472"/>
      <c r="AY3" s="472"/>
      <c r="AZ3" s="472"/>
      <c r="BA3" s="472"/>
      <c r="BB3" s="472"/>
      <c r="BC3" s="472"/>
      <c r="BD3" s="472"/>
      <c r="BE3" s="472"/>
      <c r="BF3" s="472"/>
      <c r="BG3" s="472"/>
      <c r="BH3" s="472"/>
      <c r="BI3" s="472"/>
      <c r="BJ3" s="472"/>
      <c r="BK3" s="472"/>
      <c r="BL3" s="472"/>
      <c r="BM3" s="472"/>
      <c r="BN3" s="472"/>
      <c r="BO3" s="472"/>
      <c r="BP3" s="472"/>
      <c r="BQ3" s="472"/>
      <c r="BR3" s="472"/>
      <c r="BS3" s="472"/>
      <c r="BT3" s="472"/>
      <c r="BU3" s="472"/>
      <c r="BV3" s="472"/>
      <c r="BW3" s="472"/>
      <c r="BX3" s="472"/>
      <c r="BY3" s="472"/>
      <c r="BZ3" s="472"/>
    </row>
    <row r="4" spans="1:78" ht="14.4">
      <c r="A4" s="500"/>
      <c r="B4" s="489">
        <f>'Revenue Assumptions'!B4</f>
        <v>4.8499999999999996</v>
      </c>
      <c r="C4" s="500"/>
      <c r="D4" s="500"/>
      <c r="E4" s="500"/>
      <c r="F4" s="500"/>
      <c r="G4" s="500"/>
      <c r="H4" s="500"/>
      <c r="I4" s="500"/>
      <c r="J4" s="500"/>
      <c r="K4" s="500"/>
      <c r="L4" s="500"/>
      <c r="M4" s="500"/>
      <c r="N4" s="503"/>
      <c r="O4" s="503"/>
      <c r="P4" s="503"/>
      <c r="Q4" s="503"/>
      <c r="R4" s="503"/>
      <c r="S4" s="503"/>
      <c r="T4" s="503"/>
      <c r="U4" s="503"/>
      <c r="V4" s="503"/>
      <c r="W4" s="503"/>
      <c r="X4" s="503"/>
      <c r="Y4" s="503"/>
      <c r="Z4" s="503"/>
      <c r="AA4" s="500"/>
      <c r="AB4" s="500"/>
      <c r="AC4" s="500"/>
      <c r="AD4" s="500"/>
      <c r="AE4" s="500"/>
      <c r="AF4" s="500"/>
      <c r="AG4" s="500"/>
      <c r="AH4" s="500"/>
      <c r="AI4" s="500"/>
      <c r="AJ4" s="500"/>
      <c r="AK4" s="500"/>
      <c r="AL4" s="500"/>
      <c r="AM4" s="500"/>
      <c r="AN4" s="500"/>
      <c r="AO4" s="500"/>
      <c r="AP4" s="500"/>
      <c r="AQ4" s="500"/>
      <c r="AR4" s="500"/>
      <c r="AS4" s="500"/>
      <c r="AT4" s="500"/>
      <c r="AU4" s="500"/>
      <c r="AV4" s="500"/>
      <c r="AW4" s="500"/>
      <c r="AX4" s="500"/>
      <c r="AY4" s="500"/>
      <c r="AZ4" s="500"/>
      <c r="BA4" s="500"/>
      <c r="BB4" s="500"/>
      <c r="BC4" s="500"/>
      <c r="BD4" s="500"/>
      <c r="BE4" s="500"/>
      <c r="BF4" s="500"/>
      <c r="BG4" s="500"/>
      <c r="BH4" s="500"/>
      <c r="BI4" s="500"/>
      <c r="BJ4" s="500"/>
      <c r="BK4" s="500"/>
      <c r="BL4" s="500"/>
      <c r="BM4" s="500"/>
      <c r="BN4" s="500"/>
      <c r="BO4" s="500"/>
      <c r="BP4" s="500"/>
      <c r="BQ4" s="500"/>
      <c r="BR4" s="500"/>
      <c r="BS4" s="500"/>
      <c r="BT4" s="500"/>
      <c r="BU4" s="500"/>
      <c r="BV4" s="500"/>
      <c r="BW4" s="500"/>
      <c r="BX4" s="500"/>
      <c r="BY4" s="500"/>
      <c r="BZ4" s="500"/>
    </row>
    <row r="5" spans="1:78" ht="14.4">
      <c r="A5" s="500"/>
      <c r="B5" s="484"/>
      <c r="C5" s="500"/>
      <c r="D5" s="500"/>
      <c r="E5" s="500"/>
      <c r="F5" s="500"/>
      <c r="G5" s="500"/>
      <c r="H5" s="500"/>
      <c r="I5" s="500"/>
      <c r="J5" s="500"/>
      <c r="K5" s="500"/>
      <c r="L5" s="500"/>
      <c r="M5" s="500"/>
      <c r="N5" s="503"/>
      <c r="O5" s="503"/>
      <c r="P5" s="503"/>
      <c r="Q5" s="503"/>
      <c r="R5" s="503"/>
      <c r="S5" s="503"/>
      <c r="T5" s="503"/>
      <c r="U5" s="503"/>
      <c r="V5" s="503"/>
      <c r="W5" s="503"/>
      <c r="X5" s="503"/>
      <c r="Y5" s="503"/>
      <c r="Z5" s="503"/>
      <c r="AA5" s="500"/>
      <c r="AB5" s="500"/>
      <c r="AC5" s="500"/>
      <c r="AD5" s="500"/>
      <c r="AE5" s="500"/>
      <c r="AF5" s="500"/>
      <c r="AG5" s="500"/>
      <c r="AH5" s="500"/>
      <c r="AI5" s="500"/>
      <c r="AJ5" s="500"/>
      <c r="AK5" s="500"/>
      <c r="AL5" s="500"/>
      <c r="AM5" s="500"/>
      <c r="AN5" s="500"/>
      <c r="AO5" s="500"/>
      <c r="AP5" s="500"/>
      <c r="AQ5" s="500"/>
      <c r="AR5" s="500"/>
      <c r="AS5" s="500"/>
      <c r="AT5" s="500"/>
      <c r="AU5" s="500"/>
      <c r="AV5" s="500"/>
      <c r="AW5" s="500"/>
      <c r="AX5" s="500"/>
      <c r="AY5" s="500"/>
      <c r="AZ5" s="500"/>
      <c r="BA5" s="500"/>
      <c r="BB5" s="500"/>
      <c r="BC5" s="500"/>
      <c r="BD5" s="500"/>
      <c r="BE5" s="500"/>
      <c r="BF5" s="500"/>
      <c r="BG5" s="500"/>
      <c r="BH5" s="500"/>
      <c r="BI5" s="500"/>
      <c r="BJ5" s="500"/>
      <c r="BK5" s="500"/>
      <c r="BL5" s="500"/>
      <c r="BM5" s="500"/>
      <c r="BN5" s="500"/>
      <c r="BO5" s="500"/>
      <c r="BP5" s="500"/>
      <c r="BQ5" s="500"/>
      <c r="BR5" s="500"/>
      <c r="BS5" s="500"/>
      <c r="BT5" s="500"/>
      <c r="BU5" s="500"/>
      <c r="BV5" s="500"/>
      <c r="BW5" s="500"/>
      <c r="BX5" s="500"/>
      <c r="BY5" s="500"/>
      <c r="BZ5" s="500"/>
    </row>
    <row r="6" spans="1:78" ht="10.199999999999999" customHeight="1">
      <c r="A6" s="2"/>
      <c r="B6" s="8"/>
      <c r="C6" s="2"/>
      <c r="D6" s="2"/>
      <c r="E6" s="2"/>
      <c r="F6" s="2"/>
      <c r="G6" s="2"/>
      <c r="H6" s="2"/>
      <c r="I6" s="2"/>
      <c r="J6" s="2"/>
      <c r="K6" s="2"/>
      <c r="L6" s="2"/>
      <c r="M6" s="2"/>
      <c r="N6" s="2"/>
      <c r="O6" s="2"/>
      <c r="P6" s="2"/>
      <c r="Q6" s="2"/>
      <c r="R6" s="2"/>
      <c r="S6" s="2"/>
      <c r="T6" s="2"/>
      <c r="U6" s="2"/>
      <c r="V6" s="2"/>
      <c r="W6" s="2"/>
      <c r="X6" s="2"/>
      <c r="Y6" s="2"/>
      <c r="Z6" s="2"/>
      <c r="AA6" s="2"/>
      <c r="AB6" s="21"/>
      <c r="AC6" s="21"/>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row>
    <row r="7" spans="1:78">
      <c r="A7" s="2"/>
      <c r="B7" s="8"/>
      <c r="C7" s="18"/>
      <c r="D7" s="18"/>
      <c r="E7" s="18"/>
      <c r="F7" s="18"/>
      <c r="G7" s="18"/>
      <c r="H7" s="18"/>
      <c r="I7" s="18"/>
      <c r="J7" s="2"/>
      <c r="K7" s="2"/>
      <c r="L7" s="2"/>
      <c r="M7" s="2"/>
      <c r="N7" s="2"/>
      <c r="O7" s="2"/>
      <c r="P7" s="2"/>
      <c r="Q7" s="2"/>
      <c r="R7" s="379" t="s">
        <v>734</v>
      </c>
      <c r="S7" s="379" t="s">
        <v>734</v>
      </c>
      <c r="T7" s="379"/>
      <c r="U7" s="1212" t="s">
        <v>734</v>
      </c>
      <c r="V7" s="1212"/>
      <c r="W7" s="1212"/>
      <c r="X7" s="1212"/>
      <c r="Y7" s="1197"/>
      <c r="Z7" s="1197"/>
      <c r="AA7" s="18"/>
      <c r="AB7" s="379" t="s">
        <v>1202</v>
      </c>
      <c r="AC7" s="21"/>
      <c r="AD7" s="2"/>
      <c r="AE7" s="2"/>
      <c r="AF7" s="2"/>
      <c r="AG7" s="2"/>
      <c r="AH7" s="2"/>
      <c r="AI7" s="2"/>
      <c r="AJ7" s="6"/>
      <c r="AK7" s="2"/>
      <c r="AL7" s="2"/>
      <c r="AM7" s="2"/>
      <c r="AN7" s="2"/>
      <c r="AO7" s="21"/>
      <c r="AP7" s="2"/>
      <c r="AQ7" s="18"/>
      <c r="AR7" s="2"/>
      <c r="AS7" s="379" t="s">
        <v>491</v>
      </c>
      <c r="AT7" s="1213" t="s">
        <v>491</v>
      </c>
      <c r="AU7" s="1213"/>
      <c r="AV7" s="1213"/>
      <c r="AW7" s="1213"/>
      <c r="AX7" s="1213"/>
      <c r="AY7" s="389"/>
      <c r="AZ7" s="389"/>
      <c r="BA7" s="389"/>
      <c r="BB7" s="21"/>
      <c r="BC7" s="2"/>
      <c r="BD7" s="2"/>
      <c r="BE7" s="2"/>
      <c r="BF7" s="2"/>
      <c r="BG7" s="2"/>
      <c r="BH7" s="2"/>
      <c r="BI7" s="2"/>
      <c r="BJ7" s="2"/>
      <c r="BK7" s="2"/>
      <c r="BL7" s="2"/>
      <c r="BM7" s="2"/>
      <c r="BN7" s="2"/>
      <c r="BO7" s="2"/>
      <c r="BP7" s="2"/>
      <c r="BQ7" s="2"/>
      <c r="BR7" s="379" t="s">
        <v>1201</v>
      </c>
      <c r="BS7" s="379" t="s">
        <v>1201</v>
      </c>
      <c r="BT7" s="379"/>
      <c r="BU7" s="379"/>
      <c r="BV7" s="379"/>
      <c r="BW7" s="379"/>
      <c r="BX7" s="379"/>
      <c r="BY7" s="379"/>
      <c r="BZ7" s="379"/>
    </row>
    <row r="8" spans="1:78">
      <c r="A8" s="2"/>
      <c r="B8" s="1030" t="s">
        <v>492</v>
      </c>
      <c r="C8" s="1031" t="s">
        <v>185</v>
      </c>
      <c r="D8" s="1031" t="s">
        <v>186</v>
      </c>
      <c r="E8" s="1031" t="s">
        <v>187</v>
      </c>
      <c r="F8" s="1031" t="s">
        <v>188</v>
      </c>
      <c r="G8" s="1031" t="s">
        <v>189</v>
      </c>
      <c r="H8" s="1031" t="s">
        <v>190</v>
      </c>
      <c r="I8" s="1031" t="s">
        <v>191</v>
      </c>
      <c r="J8" s="1031" t="s">
        <v>67</v>
      </c>
      <c r="K8" s="1031" t="s">
        <v>633</v>
      </c>
      <c r="L8" s="1031" t="s">
        <v>172</v>
      </c>
      <c r="M8" s="1031" t="s">
        <v>173</v>
      </c>
      <c r="N8" s="1031" t="s">
        <v>174</v>
      </c>
      <c r="O8" s="1031" t="s">
        <v>175</v>
      </c>
      <c r="P8" s="1031" t="s">
        <v>52</v>
      </c>
      <c r="Q8" s="1032" t="s">
        <v>53</v>
      </c>
      <c r="R8" s="1033" t="s">
        <v>54</v>
      </c>
      <c r="S8" s="1033" t="s">
        <v>286</v>
      </c>
      <c r="T8" s="1033" t="s">
        <v>287</v>
      </c>
      <c r="U8" s="1033" t="s">
        <v>288</v>
      </c>
      <c r="V8" s="1033" t="s">
        <v>289</v>
      </c>
      <c r="W8" s="1033" t="s">
        <v>1067</v>
      </c>
      <c r="X8" s="1033" t="s">
        <v>1427</v>
      </c>
      <c r="Y8" s="1033" t="s">
        <v>1475</v>
      </c>
      <c r="Z8" s="1033" t="s">
        <v>1476</v>
      </c>
      <c r="AA8" s="1034"/>
      <c r="AB8" s="380"/>
      <c r="AC8" s="380"/>
      <c r="AD8" s="1034" t="str">
        <f t="shared" ref="AD8:AI8" si="0">C8</f>
        <v>F2005</v>
      </c>
      <c r="AE8" s="1034" t="str">
        <f t="shared" si="0"/>
        <v>F2006</v>
      </c>
      <c r="AF8" s="1034" t="str">
        <f t="shared" si="0"/>
        <v>F2007</v>
      </c>
      <c r="AG8" s="1034" t="str">
        <f t="shared" si="0"/>
        <v>F2008</v>
      </c>
      <c r="AH8" s="1034" t="str">
        <f t="shared" si="0"/>
        <v>F2009</v>
      </c>
      <c r="AI8" s="1034" t="str">
        <f t="shared" si="0"/>
        <v>F2010</v>
      </c>
      <c r="AJ8" s="1034" t="s">
        <v>191</v>
      </c>
      <c r="AK8" s="1034" t="str">
        <f t="shared" ref="AK8:BA8" si="1">J8</f>
        <v>F2012</v>
      </c>
      <c r="AL8" s="1034" t="str">
        <f t="shared" si="1"/>
        <v>F2013</v>
      </c>
      <c r="AM8" s="1034" t="str">
        <f t="shared" si="1"/>
        <v>F2014</v>
      </c>
      <c r="AN8" s="1034" t="str">
        <f t="shared" si="1"/>
        <v>F2015</v>
      </c>
      <c r="AO8" s="1034" t="str">
        <f t="shared" si="1"/>
        <v>F2016</v>
      </c>
      <c r="AP8" s="1034" t="str">
        <f t="shared" si="1"/>
        <v>F2017</v>
      </c>
      <c r="AQ8" s="1034" t="str">
        <f t="shared" si="1"/>
        <v>FY18</v>
      </c>
      <c r="AR8" s="1034" t="str">
        <f t="shared" si="1"/>
        <v>FY19</v>
      </c>
      <c r="AS8" s="1034" t="str">
        <f t="shared" si="1"/>
        <v>FY20</v>
      </c>
      <c r="AT8" s="1034" t="str">
        <f t="shared" si="1"/>
        <v>FY21</v>
      </c>
      <c r="AU8" s="1034" t="str">
        <f t="shared" si="1"/>
        <v>FY22</v>
      </c>
      <c r="AV8" s="1034" t="str">
        <f t="shared" si="1"/>
        <v>FY23</v>
      </c>
      <c r="AW8" s="1034" t="str">
        <f t="shared" si="1"/>
        <v>FY24</v>
      </c>
      <c r="AX8" s="1034" t="str">
        <f t="shared" si="1"/>
        <v>FY25</v>
      </c>
      <c r="AY8" s="1034" t="str">
        <f t="shared" si="1"/>
        <v>FY26E</v>
      </c>
      <c r="AZ8" s="1034" t="str">
        <f t="shared" si="1"/>
        <v>FY27E</v>
      </c>
      <c r="BA8" s="1034" t="str">
        <f t="shared" si="1"/>
        <v>FY28E</v>
      </c>
      <c r="BB8" s="1031"/>
      <c r="BC8" s="1031" t="str">
        <f t="shared" ref="BC8:BH8" si="2">AD8</f>
        <v>F2005</v>
      </c>
      <c r="BD8" s="1031" t="str">
        <f t="shared" si="2"/>
        <v>F2006</v>
      </c>
      <c r="BE8" s="1031" t="str">
        <f t="shared" si="2"/>
        <v>F2007</v>
      </c>
      <c r="BF8" s="1031" t="str">
        <f t="shared" si="2"/>
        <v>F2008</v>
      </c>
      <c r="BG8" s="1031" t="str">
        <f t="shared" si="2"/>
        <v>F2009</v>
      </c>
      <c r="BH8" s="1031" t="str">
        <f t="shared" si="2"/>
        <v>F2010</v>
      </c>
      <c r="BI8" s="1031" t="s">
        <v>191</v>
      </c>
      <c r="BJ8" s="1031" t="str">
        <f t="shared" ref="BJ8:BZ8" si="3">AK8</f>
        <v>F2012</v>
      </c>
      <c r="BK8" s="1031" t="str">
        <f t="shared" si="3"/>
        <v>F2013</v>
      </c>
      <c r="BL8" s="1031" t="str">
        <f t="shared" si="3"/>
        <v>F2014</v>
      </c>
      <c r="BM8" s="1031" t="str">
        <f t="shared" si="3"/>
        <v>F2015</v>
      </c>
      <c r="BN8" s="1031" t="str">
        <f t="shared" si="3"/>
        <v>F2016</v>
      </c>
      <c r="BO8" s="1031" t="str">
        <f t="shared" si="3"/>
        <v>F2017</v>
      </c>
      <c r="BP8" s="1031" t="str">
        <f t="shared" si="3"/>
        <v>FY18</v>
      </c>
      <c r="BQ8" s="1031" t="str">
        <f t="shared" si="3"/>
        <v>FY19</v>
      </c>
      <c r="BR8" s="1034" t="str">
        <f t="shared" si="3"/>
        <v>FY20</v>
      </c>
      <c r="BS8" s="1034" t="str">
        <f t="shared" si="3"/>
        <v>FY21</v>
      </c>
      <c r="BT8" s="1034" t="str">
        <f t="shared" si="3"/>
        <v>FY22</v>
      </c>
      <c r="BU8" s="1034" t="str">
        <f t="shared" si="3"/>
        <v>FY23</v>
      </c>
      <c r="BV8" s="1034" t="str">
        <f t="shared" si="3"/>
        <v>FY24</v>
      </c>
      <c r="BW8" s="1034" t="str">
        <f t="shared" si="3"/>
        <v>FY25</v>
      </c>
      <c r="BX8" s="1034" t="str">
        <f t="shared" si="3"/>
        <v>FY26E</v>
      </c>
      <c r="BY8" s="1034" t="str">
        <f t="shared" si="3"/>
        <v>FY27E</v>
      </c>
      <c r="BZ8" s="1034" t="str">
        <f t="shared" si="3"/>
        <v>FY28E</v>
      </c>
    </row>
    <row r="9" spans="1:78" ht="9" customHeight="1">
      <c r="A9" s="2"/>
      <c r="B9" s="1118"/>
      <c r="C9" s="1119"/>
      <c r="D9" s="1119"/>
      <c r="E9" s="1119"/>
      <c r="F9" s="1119"/>
      <c r="G9" s="1119"/>
      <c r="H9" s="1119"/>
      <c r="I9" s="1119"/>
      <c r="J9" s="1119"/>
      <c r="K9" s="1119"/>
      <c r="L9" s="1119"/>
      <c r="M9" s="1119"/>
      <c r="N9" s="1119"/>
      <c r="O9" s="1119"/>
      <c r="P9" s="1119"/>
      <c r="Q9" s="1120"/>
      <c r="R9" s="1121"/>
      <c r="S9" s="1121"/>
      <c r="T9" s="1121"/>
      <c r="U9" s="1121"/>
      <c r="V9" s="1121"/>
      <c r="W9" s="1121"/>
      <c r="X9" s="1121"/>
      <c r="Y9" s="1121"/>
      <c r="Z9" s="1121"/>
      <c r="AA9" s="341"/>
      <c r="AB9" s="1122"/>
      <c r="AC9" s="1122"/>
      <c r="AD9" s="341"/>
      <c r="AE9" s="341"/>
      <c r="AF9" s="341"/>
      <c r="AG9" s="341"/>
      <c r="AH9" s="341"/>
      <c r="AI9" s="341"/>
      <c r="AJ9" s="341"/>
      <c r="AK9" s="341"/>
      <c r="AL9" s="341"/>
      <c r="AM9" s="341"/>
      <c r="AN9" s="341"/>
      <c r="AO9" s="341"/>
      <c r="AP9" s="341"/>
      <c r="AQ9" s="341"/>
      <c r="AR9" s="341"/>
      <c r="AS9" s="341"/>
      <c r="AT9" s="341"/>
      <c r="AU9" s="341"/>
      <c r="AV9" s="341"/>
      <c r="AW9" s="341"/>
      <c r="AX9" s="341"/>
      <c r="AY9" s="341"/>
      <c r="AZ9" s="341"/>
      <c r="BA9" s="341"/>
      <c r="BB9" s="1145"/>
      <c r="BC9" s="1119"/>
      <c r="BD9" s="1119"/>
      <c r="BE9" s="1119"/>
      <c r="BF9" s="1119"/>
      <c r="BG9" s="1119"/>
      <c r="BH9" s="1119"/>
      <c r="BI9" s="1119"/>
      <c r="BJ9" s="1119"/>
      <c r="BK9" s="1119"/>
      <c r="BL9" s="1119"/>
      <c r="BM9" s="1119"/>
      <c r="BN9" s="1119"/>
      <c r="BO9" s="1119"/>
      <c r="BP9" s="1119"/>
      <c r="BQ9" s="1119"/>
      <c r="BR9" s="341"/>
      <c r="BS9" s="341"/>
      <c r="BT9" s="341"/>
      <c r="BU9" s="341"/>
      <c r="BV9" s="341"/>
      <c r="BW9" s="341"/>
      <c r="BX9" s="341"/>
      <c r="BY9" s="341"/>
      <c r="BZ9" s="341"/>
    </row>
    <row r="10" spans="1:78">
      <c r="A10" s="2"/>
      <c r="B10" s="691" t="s">
        <v>266</v>
      </c>
      <c r="C10" s="629"/>
      <c r="D10" s="629"/>
      <c r="E10" s="629"/>
      <c r="F10" s="629"/>
      <c r="G10" s="629"/>
      <c r="H10" s="629"/>
      <c r="I10" s="629"/>
      <c r="J10" s="629"/>
      <c r="K10" s="629"/>
      <c r="L10" s="629"/>
      <c r="M10" s="629"/>
      <c r="N10" s="629"/>
      <c r="O10" s="629"/>
      <c r="P10" s="629"/>
      <c r="Q10" s="629">
        <f>+'P&amp;L'!W36</f>
        <v>3757</v>
      </c>
      <c r="R10" s="629">
        <f>+'P&amp;L'!X36</f>
        <v>3477</v>
      </c>
      <c r="S10" s="629">
        <f>+'P&amp;L'!Y36</f>
        <v>3647</v>
      </c>
      <c r="T10" s="629">
        <f>+'P&amp;L'!Z36</f>
        <v>3981</v>
      </c>
      <c r="U10" s="629">
        <f>+'P&amp;L'!AA36</f>
        <v>4602</v>
      </c>
      <c r="V10" s="629">
        <f>+'P&amp;L'!AB36</f>
        <v>5026</v>
      </c>
      <c r="W10" s="629">
        <f>+'P&amp;L'!AC36</f>
        <v>5261</v>
      </c>
      <c r="X10" s="629">
        <f>+'P&amp;L'!AD36</f>
        <v>5506.7788696534453</v>
      </c>
      <c r="Y10" s="629">
        <f>+'P&amp;L'!AE36</f>
        <v>5757.3635908389933</v>
      </c>
      <c r="Z10" s="629">
        <f>+'P&amp;L'!AF36</f>
        <v>6025.3724827679889</v>
      </c>
      <c r="AA10" s="2"/>
      <c r="AB10" s="1139">
        <v>7</v>
      </c>
      <c r="AC10" s="21"/>
      <c r="AD10" s="2"/>
      <c r="AE10" s="2"/>
      <c r="AF10" s="2"/>
      <c r="AG10" s="2"/>
      <c r="AH10" s="2"/>
      <c r="AI10" s="2"/>
      <c r="AJ10" s="2"/>
      <c r="AK10" s="2"/>
      <c r="AL10" s="2"/>
      <c r="AM10" s="2"/>
      <c r="AN10" s="2"/>
      <c r="AO10" s="2"/>
      <c r="AP10" s="2"/>
      <c r="AQ10" s="2">
        <f>+P10*$AB10</f>
        <v>0</v>
      </c>
      <c r="AR10" s="2">
        <f>+Q10*$AB10</f>
        <v>26299</v>
      </c>
      <c r="AS10" s="2">
        <f>+R10*$AB10</f>
        <v>24339</v>
      </c>
      <c r="AT10" s="629">
        <f t="shared" ref="AT10:AT16" si="4">+S10*$AB10</f>
        <v>25529</v>
      </c>
      <c r="AU10" s="629">
        <f t="shared" ref="AU10:AU16" si="5">+T10*$AB10</f>
        <v>27867</v>
      </c>
      <c r="AV10" s="629">
        <f t="shared" ref="AV10:BA16" si="6">+U10*$AB10</f>
        <v>32214</v>
      </c>
      <c r="AW10" s="629">
        <f t="shared" si="6"/>
        <v>35182</v>
      </c>
      <c r="AX10" s="629">
        <f t="shared" si="6"/>
        <v>36827</v>
      </c>
      <c r="AY10" s="629">
        <f t="shared" si="6"/>
        <v>38547.452087574115</v>
      </c>
      <c r="AZ10" s="629">
        <f t="shared" si="6"/>
        <v>40301.545135872955</v>
      </c>
      <c r="BA10" s="629">
        <f t="shared" si="6"/>
        <v>42177.607379375921</v>
      </c>
      <c r="BB10" s="1138"/>
      <c r="BC10" s="1136"/>
      <c r="BD10" s="1136"/>
      <c r="BE10" s="1136"/>
      <c r="BF10" s="1136"/>
      <c r="BG10" s="1136"/>
      <c r="BH10" s="1136"/>
      <c r="BI10" s="1136"/>
      <c r="BJ10" s="1136"/>
      <c r="BK10" s="1136"/>
      <c r="BL10" s="1136"/>
      <c r="BM10" s="1136"/>
      <c r="BN10" s="1136"/>
      <c r="BO10" s="1136"/>
      <c r="BP10" s="521">
        <f t="shared" ref="BP10:BZ17" si="7">AQ10/P$33</f>
        <v>0</v>
      </c>
      <c r="BQ10" s="521">
        <f t="shared" si="7"/>
        <v>2.21</v>
      </c>
      <c r="BR10" s="522">
        <f t="shared" si="7"/>
        <v>2.046153846153846</v>
      </c>
      <c r="BS10" s="1144">
        <f t="shared" si="7"/>
        <v>2.1467373023881602</v>
      </c>
      <c r="BT10" s="1144">
        <f t="shared" si="7"/>
        <v>2.3688371302278135</v>
      </c>
      <c r="BU10" s="1144">
        <f t="shared" si="7"/>
        <v>2.7881253245629218</v>
      </c>
      <c r="BV10" s="1144">
        <f t="shared" si="7"/>
        <v>3.0452696269367263</v>
      </c>
      <c r="BW10" s="1144">
        <f t="shared" si="7"/>
        <v>3.1956785838250608</v>
      </c>
      <c r="BX10" s="1144">
        <f t="shared" si="7"/>
        <v>3.4249484302458586</v>
      </c>
      <c r="BY10" s="1144">
        <f t="shared" si="7"/>
        <v>3.5807999303301634</v>
      </c>
      <c r="BZ10" s="1144">
        <f t="shared" si="7"/>
        <v>3.7474884165453202</v>
      </c>
    </row>
    <row r="11" spans="1:78">
      <c r="A11" s="2"/>
      <c r="B11" s="8" t="s">
        <v>1250</v>
      </c>
      <c r="C11" s="2"/>
      <c r="D11" s="2"/>
      <c r="E11" s="2"/>
      <c r="F11" s="2"/>
      <c r="G11" s="2"/>
      <c r="H11" s="2"/>
      <c r="I11" s="2"/>
      <c r="J11" s="2"/>
      <c r="K11" s="2"/>
      <c r="L11" s="2"/>
      <c r="M11" s="2"/>
      <c r="N11" s="2"/>
      <c r="O11" s="2"/>
      <c r="P11" s="2"/>
      <c r="Q11" s="2">
        <f>+'P&amp;L'!W37</f>
        <v>1038</v>
      </c>
      <c r="R11" s="2">
        <f>+'P&amp;L'!X37</f>
        <v>567</v>
      </c>
      <c r="S11" s="2">
        <f>+'P&amp;L'!Y37</f>
        <v>273</v>
      </c>
      <c r="T11" s="2">
        <f>+'P&amp;L'!Z37</f>
        <v>55</v>
      </c>
      <c r="U11" s="2">
        <f>+'P&amp;L'!AA37</f>
        <v>135</v>
      </c>
      <c r="V11" s="2">
        <f>+'P&amp;L'!AB37</f>
        <v>254</v>
      </c>
      <c r="W11" s="2">
        <f>+'P&amp;L'!AC37</f>
        <v>363</v>
      </c>
      <c r="X11" s="2">
        <f>+'P&amp;L'!AD37</f>
        <v>371.98082615146257</v>
      </c>
      <c r="Y11" s="2">
        <f>+'P&amp;L'!AE37</f>
        <v>377.28422474504259</v>
      </c>
      <c r="Z11" s="2">
        <f>+'P&amp;L'!AF37</f>
        <v>385.69202129852937</v>
      </c>
      <c r="AA11" s="2"/>
      <c r="AB11" s="1139">
        <v>5</v>
      </c>
      <c r="AC11" s="21"/>
      <c r="AD11" s="2"/>
      <c r="AE11" s="2"/>
      <c r="AF11" s="2"/>
      <c r="AG11" s="2"/>
      <c r="AH11" s="2"/>
      <c r="AI11" s="2"/>
      <c r="AJ11" s="2"/>
      <c r="AK11" s="2"/>
      <c r="AL11" s="2"/>
      <c r="AM11" s="2"/>
      <c r="AN11" s="2"/>
      <c r="AO11" s="2"/>
      <c r="AP11" s="2"/>
      <c r="AQ11" s="2">
        <f t="shared" ref="AQ11:AR16" si="8">+P11*$AB11</f>
        <v>0</v>
      </c>
      <c r="AR11" s="2">
        <f t="shared" si="8"/>
        <v>5190</v>
      </c>
      <c r="AS11" s="2">
        <f t="shared" ref="AS11:AS16" si="9">+R11*$AB11</f>
        <v>2835</v>
      </c>
      <c r="AT11" s="2">
        <f t="shared" si="4"/>
        <v>1365</v>
      </c>
      <c r="AU11" s="2">
        <f t="shared" si="5"/>
        <v>275</v>
      </c>
      <c r="AV11" s="2">
        <f t="shared" si="6"/>
        <v>675</v>
      </c>
      <c r="AW11" s="2">
        <f t="shared" si="6"/>
        <v>1270</v>
      </c>
      <c r="AX11" s="2">
        <f t="shared" si="6"/>
        <v>1815</v>
      </c>
      <c r="AY11" s="2">
        <f t="shared" si="6"/>
        <v>1859.9041307573129</v>
      </c>
      <c r="AZ11" s="2">
        <f t="shared" si="6"/>
        <v>1886.421123725213</v>
      </c>
      <c r="BA11" s="2">
        <f t="shared" si="6"/>
        <v>1928.4601064926469</v>
      </c>
      <c r="BB11" s="2"/>
      <c r="BC11" s="2"/>
      <c r="BD11" s="2"/>
      <c r="BE11" s="2"/>
      <c r="BF11" s="2"/>
      <c r="BG11" s="2"/>
      <c r="BH11" s="2"/>
      <c r="BI11" s="2"/>
      <c r="BJ11" s="2"/>
      <c r="BK11" s="2"/>
      <c r="BL11" s="2"/>
      <c r="BM11" s="2"/>
      <c r="BN11" s="2"/>
      <c r="BO11" s="2"/>
      <c r="BP11">
        <f t="shared" si="7"/>
        <v>0</v>
      </c>
      <c r="BQ11">
        <f t="shared" si="7"/>
        <v>0.43613445378151261</v>
      </c>
      <c r="BR11" s="1035">
        <f t="shared" si="7"/>
        <v>0.23833543505674654</v>
      </c>
      <c r="BS11" s="1035">
        <f t="shared" si="7"/>
        <v>0.11478304742684158</v>
      </c>
      <c r="BT11" s="1035">
        <f t="shared" si="7"/>
        <v>2.3376402584155048E-2</v>
      </c>
      <c r="BU11" s="1035">
        <f t="shared" si="7"/>
        <v>5.8421325947723729E-2</v>
      </c>
      <c r="BV11" s="1035">
        <f t="shared" si="7"/>
        <v>0.10992815718860902</v>
      </c>
      <c r="BW11" s="1035">
        <f t="shared" si="7"/>
        <v>0.157497396737244</v>
      </c>
      <c r="BX11" s="1035">
        <f t="shared" si="7"/>
        <v>0.16525283483258962</v>
      </c>
      <c r="BY11" s="1035">
        <f t="shared" si="7"/>
        <v>0.16760887468793265</v>
      </c>
      <c r="BZ11" s="1035">
        <f t="shared" si="7"/>
        <v>0.17134404628141051</v>
      </c>
    </row>
    <row r="12" spans="1:78">
      <c r="A12" s="2"/>
      <c r="B12" s="8" t="s">
        <v>1324</v>
      </c>
      <c r="C12" s="2"/>
      <c r="D12" s="2"/>
      <c r="E12" s="2"/>
      <c r="F12" s="2"/>
      <c r="G12" s="2"/>
      <c r="H12" s="2"/>
      <c r="I12" s="2"/>
      <c r="J12" s="2"/>
      <c r="K12" s="2"/>
      <c r="L12" s="2"/>
      <c r="M12" s="2"/>
      <c r="N12" s="2"/>
      <c r="O12" s="2"/>
      <c r="P12" s="2"/>
      <c r="Q12" s="2">
        <f>+'P&amp;L'!W40</f>
        <v>1224</v>
      </c>
      <c r="R12" s="2">
        <f>+'P&amp;L'!X40</f>
        <v>1149</v>
      </c>
      <c r="S12" s="2">
        <f>+'P&amp;L'!Y40</f>
        <v>887</v>
      </c>
      <c r="T12" s="2">
        <f>+'P&amp;L'!Z40</f>
        <v>660</v>
      </c>
      <c r="U12" s="2">
        <f>+'P&amp;L'!AA40</f>
        <v>411</v>
      </c>
      <c r="V12" s="2">
        <f>+'P&amp;L'!AB40</f>
        <v>136</v>
      </c>
      <c r="W12" s="2">
        <f>+'P&amp;L'!AC40</f>
        <v>239</v>
      </c>
      <c r="X12" s="2">
        <f>+'P&amp;L'!AD40</f>
        <v>167.03189989518896</v>
      </c>
      <c r="Y12" s="2">
        <f>+'P&amp;L'!AE40</f>
        <v>165.69338539567656</v>
      </c>
      <c r="Z12" s="2">
        <f>+'P&amp;L'!AF40</f>
        <v>165.72858156663759</v>
      </c>
      <c r="AA12" s="2"/>
      <c r="AB12" s="1139">
        <v>5</v>
      </c>
      <c r="AC12" s="21"/>
      <c r="AD12" s="2"/>
      <c r="AE12" s="2"/>
      <c r="AF12" s="2"/>
      <c r="AG12" s="2"/>
      <c r="AH12" s="2"/>
      <c r="AI12" s="2"/>
      <c r="AJ12" s="2"/>
      <c r="AK12" s="2"/>
      <c r="AL12" s="2"/>
      <c r="AM12" s="2"/>
      <c r="AN12" s="2"/>
      <c r="AO12" s="2"/>
      <c r="AP12" s="2"/>
      <c r="AQ12" s="2">
        <f t="shared" si="8"/>
        <v>0</v>
      </c>
      <c r="AR12" s="2">
        <f t="shared" si="8"/>
        <v>6120</v>
      </c>
      <c r="AS12" s="2">
        <f t="shared" si="9"/>
        <v>5745</v>
      </c>
      <c r="AT12" s="2">
        <f t="shared" si="4"/>
        <v>4435</v>
      </c>
      <c r="AU12" s="2">
        <f t="shared" si="5"/>
        <v>3300</v>
      </c>
      <c r="AV12" s="2">
        <f t="shared" si="6"/>
        <v>2055</v>
      </c>
      <c r="AW12" s="2">
        <f t="shared" si="6"/>
        <v>680</v>
      </c>
      <c r="AX12" s="2">
        <f t="shared" si="6"/>
        <v>1195</v>
      </c>
      <c r="AY12" s="2">
        <f t="shared" si="6"/>
        <v>835.15949947594481</v>
      </c>
      <c r="AZ12" s="2">
        <f t="shared" si="6"/>
        <v>828.46692697838284</v>
      </c>
      <c r="BA12" s="2">
        <f t="shared" si="6"/>
        <v>828.64290783318791</v>
      </c>
      <c r="BB12" s="2"/>
      <c r="BC12" s="2"/>
      <c r="BD12" s="2"/>
      <c r="BE12" s="2"/>
      <c r="BF12" s="2"/>
      <c r="BG12" s="2"/>
      <c r="BH12" s="2"/>
      <c r="BI12" s="2"/>
      <c r="BJ12" s="2"/>
      <c r="BK12" s="2"/>
      <c r="BL12" s="2"/>
      <c r="BM12" s="2"/>
      <c r="BN12" s="2"/>
      <c r="BO12" s="2"/>
      <c r="BP12">
        <f t="shared" si="7"/>
        <v>0</v>
      </c>
      <c r="BQ12">
        <f t="shared" si="7"/>
        <v>0.51428571428571423</v>
      </c>
      <c r="BR12" s="1035">
        <f t="shared" si="7"/>
        <v>0.48297604035308955</v>
      </c>
      <c r="BS12" s="1035">
        <f t="shared" si="7"/>
        <v>0.37293979145644129</v>
      </c>
      <c r="BT12" s="1035">
        <f t="shared" si="7"/>
        <v>0.28051683100986058</v>
      </c>
      <c r="BU12" s="1035">
        <f t="shared" si="7"/>
        <v>0.17786048121862558</v>
      </c>
      <c r="BV12" s="1035">
        <f t="shared" si="7"/>
        <v>5.8859170778152864E-2</v>
      </c>
      <c r="BW12" s="1035">
        <f t="shared" si="7"/>
        <v>0.10369663311350226</v>
      </c>
      <c r="BX12" s="1035">
        <f t="shared" si="7"/>
        <v>7.4204079954148405E-2</v>
      </c>
      <c r="BY12" s="1035">
        <f t="shared" si="7"/>
        <v>7.3609443618191439E-2</v>
      </c>
      <c r="BZ12" s="1035">
        <f t="shared" si="7"/>
        <v>7.3625079550523595E-2</v>
      </c>
    </row>
    <row r="13" spans="1:78">
      <c r="A13" s="2"/>
      <c r="B13" s="8" t="s">
        <v>1321</v>
      </c>
      <c r="C13" s="2"/>
      <c r="D13" s="2"/>
      <c r="E13" s="2"/>
      <c r="F13" s="2"/>
      <c r="G13" s="2"/>
      <c r="H13" s="2"/>
      <c r="I13" s="2"/>
      <c r="J13" s="2"/>
      <c r="K13" s="2"/>
      <c r="L13" s="2"/>
      <c r="M13" s="2"/>
      <c r="N13" s="2"/>
      <c r="O13" s="2"/>
      <c r="P13" s="2"/>
      <c r="Q13" s="2">
        <f>+'P&amp;L'!W41</f>
        <v>1187</v>
      </c>
      <c r="R13" s="2">
        <f>+'P&amp;L'!X41</f>
        <v>897</v>
      </c>
      <c r="S13" s="2">
        <f>+'P&amp;L'!Y41</f>
        <v>621</v>
      </c>
      <c r="T13" s="2">
        <f>+'P&amp;L'!Z41</f>
        <v>159</v>
      </c>
      <c r="U13" s="2">
        <f>+'P&amp;L'!AA41</f>
        <v>117</v>
      </c>
      <c r="V13" s="2">
        <f>+'P&amp;L'!AB41</f>
        <v>94</v>
      </c>
      <c r="W13" s="2"/>
      <c r="X13" s="2">
        <f>+'P&amp;L'!AD41</f>
        <v>68.29356231917869</v>
      </c>
      <c r="Y13" s="2">
        <f>+'P&amp;L'!AE41</f>
        <v>67.825910966733844</v>
      </c>
      <c r="Z13" s="2">
        <f>+'P&amp;L'!AF41</f>
        <v>68.458827333090355</v>
      </c>
      <c r="AA13" s="2"/>
      <c r="AB13" s="1139">
        <v>5</v>
      </c>
      <c r="AC13" s="21"/>
      <c r="AD13" s="2"/>
      <c r="AE13" s="2"/>
      <c r="AF13" s="2"/>
      <c r="AG13" s="2"/>
      <c r="AH13" s="2"/>
      <c r="AI13" s="2"/>
      <c r="AJ13" s="2"/>
      <c r="AK13" s="2"/>
      <c r="AL13" s="2"/>
      <c r="AM13" s="2"/>
      <c r="AN13" s="2"/>
      <c r="AO13" s="2"/>
      <c r="AP13" s="2"/>
      <c r="AQ13" s="2">
        <f t="shared" si="8"/>
        <v>0</v>
      </c>
      <c r="AR13" s="2">
        <f t="shared" si="8"/>
        <v>5935</v>
      </c>
      <c r="AS13" s="2">
        <f t="shared" si="9"/>
        <v>4485</v>
      </c>
      <c r="AT13" s="2">
        <f t="shared" si="4"/>
        <v>3105</v>
      </c>
      <c r="AU13" s="2">
        <f t="shared" si="5"/>
        <v>795</v>
      </c>
      <c r="AV13" s="2">
        <f t="shared" si="6"/>
        <v>585</v>
      </c>
      <c r="AW13" s="2">
        <f t="shared" si="6"/>
        <v>470</v>
      </c>
      <c r="AX13" s="2">
        <f t="shared" si="6"/>
        <v>0</v>
      </c>
      <c r="AY13" s="2">
        <f t="shared" si="6"/>
        <v>341.46781159589347</v>
      </c>
      <c r="AZ13" s="2">
        <f t="shared" si="6"/>
        <v>339.1295548336692</v>
      </c>
      <c r="BA13" s="2">
        <f t="shared" si="6"/>
        <v>342.29413666545179</v>
      </c>
      <c r="BB13" s="2"/>
      <c r="BC13" s="2"/>
      <c r="BD13" s="2"/>
      <c r="BE13" s="2"/>
      <c r="BF13" s="2"/>
      <c r="BG13" s="2"/>
      <c r="BH13" s="2"/>
      <c r="BI13" s="2"/>
      <c r="BJ13" s="2"/>
      <c r="BK13" s="2"/>
      <c r="BL13" s="2"/>
      <c r="BM13" s="2"/>
      <c r="BN13" s="2"/>
      <c r="BO13" s="2"/>
      <c r="BP13">
        <f t="shared" si="7"/>
        <v>0</v>
      </c>
      <c r="BQ13">
        <f t="shared" si="7"/>
        <v>0.49873949579831933</v>
      </c>
      <c r="BR13" s="1035">
        <f t="shared" si="7"/>
        <v>0.37704918032786883</v>
      </c>
      <c r="BS13" s="1035">
        <f t="shared" si="7"/>
        <v>0.26109989909182646</v>
      </c>
      <c r="BT13" s="1035">
        <f t="shared" si="7"/>
        <v>6.75790547432846E-2</v>
      </c>
      <c r="BU13" s="1035">
        <f t="shared" si="7"/>
        <v>5.0631815821360567E-2</v>
      </c>
      <c r="BV13" s="1035">
        <f t="shared" si="7"/>
        <v>4.0682073920193892E-2</v>
      </c>
      <c r="BW13" s="1035">
        <f t="shared" si="7"/>
        <v>0</v>
      </c>
      <c r="BX13" s="1035">
        <f t="shared" si="7"/>
        <v>3.0339479835084584E-2</v>
      </c>
      <c r="BY13" s="1035">
        <f t="shared" si="7"/>
        <v>3.0131725278204978E-2</v>
      </c>
      <c r="BZ13" s="1035">
        <f t="shared" si="7"/>
        <v>3.0412898974264701E-2</v>
      </c>
    </row>
    <row r="14" spans="1:78">
      <c r="A14" s="2"/>
      <c r="B14" s="8" t="s">
        <v>237</v>
      </c>
      <c r="C14" s="2"/>
      <c r="D14" s="2"/>
      <c r="E14" s="2"/>
      <c r="F14" s="2"/>
      <c r="G14" s="2"/>
      <c r="H14" s="2"/>
      <c r="I14" s="2"/>
      <c r="J14" s="2"/>
      <c r="K14" s="2"/>
      <c r="L14" s="2"/>
      <c r="M14" s="2"/>
      <c r="N14" s="2"/>
      <c r="O14" s="2"/>
      <c r="P14" s="2"/>
      <c r="Q14" s="2">
        <f>+'P&amp;L'!W42</f>
        <v>271</v>
      </c>
      <c r="R14" s="2">
        <f>+'P&amp;L'!X42</f>
        <v>377</v>
      </c>
      <c r="S14" s="2">
        <f>+'P&amp;L'!Y42</f>
        <v>336</v>
      </c>
      <c r="T14" s="2">
        <f>+'P&amp;L'!Z42</f>
        <v>387</v>
      </c>
      <c r="U14" s="2">
        <f>+'P&amp;L'!AA42</f>
        <v>713</v>
      </c>
      <c r="V14" s="2">
        <f>+'P&amp;L'!AB42</f>
        <v>774</v>
      </c>
      <c r="W14" s="2">
        <f>+'P&amp;L'!AC42</f>
        <v>678</v>
      </c>
      <c r="X14" s="2">
        <f>+'P&amp;L'!AD42</f>
        <v>691.96998040346409</v>
      </c>
      <c r="Y14" s="2">
        <f>+'P&amp;L'!AE42</f>
        <v>706.38192062259589</v>
      </c>
      <c r="Z14" s="2">
        <f>+'P&amp;L'!AF42</f>
        <v>719.05334825527893</v>
      </c>
      <c r="AA14" s="2"/>
      <c r="AB14" s="1139">
        <v>5</v>
      </c>
      <c r="AC14" s="21"/>
      <c r="AD14" s="2"/>
      <c r="AE14" s="2"/>
      <c r="AF14" s="2"/>
      <c r="AG14" s="2"/>
      <c r="AH14" s="2"/>
      <c r="AI14" s="2"/>
      <c r="AJ14" s="2"/>
      <c r="AK14" s="2"/>
      <c r="AL14" s="2"/>
      <c r="AM14" s="2"/>
      <c r="AN14" s="2"/>
      <c r="AO14" s="2"/>
      <c r="AP14" s="2"/>
      <c r="AQ14" s="2">
        <f t="shared" si="8"/>
        <v>0</v>
      </c>
      <c r="AR14" s="2">
        <f t="shared" si="8"/>
        <v>1355</v>
      </c>
      <c r="AS14" s="2">
        <f t="shared" si="9"/>
        <v>1885</v>
      </c>
      <c r="AT14" s="2">
        <f t="shared" si="4"/>
        <v>1680</v>
      </c>
      <c r="AU14" s="2">
        <f t="shared" si="5"/>
        <v>1935</v>
      </c>
      <c r="AV14" s="2">
        <f t="shared" si="6"/>
        <v>3565</v>
      </c>
      <c r="AW14" s="2">
        <f t="shared" si="6"/>
        <v>3870</v>
      </c>
      <c r="AX14" s="2">
        <f t="shared" si="6"/>
        <v>3390</v>
      </c>
      <c r="AY14" s="2">
        <f t="shared" si="6"/>
        <v>3459.8499020173203</v>
      </c>
      <c r="AZ14" s="2">
        <f t="shared" si="6"/>
        <v>3531.9096031129793</v>
      </c>
      <c r="BA14" s="2">
        <f t="shared" si="6"/>
        <v>3595.2667412763949</v>
      </c>
      <c r="BB14" s="2"/>
      <c r="BC14" s="2"/>
      <c r="BD14" s="2"/>
      <c r="BE14" s="2"/>
      <c r="BF14" s="2"/>
      <c r="BG14" s="2"/>
      <c r="BH14" s="2"/>
      <c r="BI14" s="2"/>
      <c r="BJ14" s="2"/>
      <c r="BK14" s="2"/>
      <c r="BL14" s="2"/>
      <c r="BM14" s="2"/>
      <c r="BN14" s="2"/>
      <c r="BO14" s="2"/>
      <c r="BP14">
        <f t="shared" si="7"/>
        <v>0</v>
      </c>
      <c r="BQ14">
        <f t="shared" si="7"/>
        <v>0.11386554621848739</v>
      </c>
      <c r="BR14" s="1035">
        <f t="shared" si="7"/>
        <v>0.15846994535519127</v>
      </c>
      <c r="BS14" s="1035">
        <f t="shared" si="7"/>
        <v>0.14127144298688193</v>
      </c>
      <c r="BT14" s="1035">
        <f t="shared" si="7"/>
        <v>0.16448486909214552</v>
      </c>
      <c r="BU14" s="1035">
        <f t="shared" si="7"/>
        <v>0.30855115111649645</v>
      </c>
      <c r="BV14" s="1035">
        <f t="shared" si="7"/>
        <v>0.3349779278109582</v>
      </c>
      <c r="BW14" s="1035">
        <f t="shared" si="7"/>
        <v>0.29416869142658797</v>
      </c>
      <c r="BX14" s="1035">
        <f t="shared" si="7"/>
        <v>0.30740832011100239</v>
      </c>
      <c r="BY14" s="1035">
        <f t="shared" si="7"/>
        <v>0.31381083822272782</v>
      </c>
      <c r="BZ14" s="1035">
        <f t="shared" si="7"/>
        <v>0.31944013196708942</v>
      </c>
    </row>
    <row r="15" spans="1:78">
      <c r="A15" s="2"/>
      <c r="B15" s="8" t="s">
        <v>1425</v>
      </c>
      <c r="C15" s="2"/>
      <c r="D15" s="2"/>
      <c r="E15" s="2"/>
      <c r="F15" s="2"/>
      <c r="G15" s="2"/>
      <c r="H15" s="2"/>
      <c r="I15" s="2"/>
      <c r="J15" s="2"/>
      <c r="K15" s="2"/>
      <c r="L15" s="2"/>
      <c r="M15" s="2"/>
      <c r="N15" s="2"/>
      <c r="O15" s="2"/>
      <c r="P15" s="2"/>
      <c r="Q15" s="2">
        <f>+'P&amp;L'!W43</f>
        <v>731</v>
      </c>
      <c r="R15" s="2">
        <f>+'P&amp;L'!X43</f>
        <v>820</v>
      </c>
      <c r="S15" s="2">
        <f>+'P&amp;L'!Y43</f>
        <v>860</v>
      </c>
      <c r="T15" s="2">
        <f>+'P&amp;L'!Z43</f>
        <v>1655</v>
      </c>
      <c r="U15" s="2">
        <f>+'P&amp;L'!AA43</f>
        <v>1663</v>
      </c>
      <c r="V15" s="2">
        <f>+'P&amp;L'!AB43</f>
        <v>1759</v>
      </c>
      <c r="W15" s="2">
        <f>+'P&amp;L'!AC43</f>
        <v>1813</v>
      </c>
      <c r="X15" s="2">
        <f>+'P&amp;L'!AD43</f>
        <v>1975.2373321033213</v>
      </c>
      <c r="Y15" s="2">
        <f>+'P&amp;L'!AE43</f>
        <v>1998.0181119557199</v>
      </c>
      <c r="Z15" s="2">
        <f>+'P&amp;L'!AF43</f>
        <v>2021.4823152036904</v>
      </c>
      <c r="AA15" s="2"/>
      <c r="AB15" s="1139">
        <v>15</v>
      </c>
      <c r="AC15" s="21"/>
      <c r="AD15" s="2"/>
      <c r="AE15" s="2"/>
      <c r="AF15" s="2"/>
      <c r="AG15" s="2"/>
      <c r="AH15" s="2"/>
      <c r="AI15" s="2"/>
      <c r="AJ15" s="2"/>
      <c r="AK15" s="2"/>
      <c r="AL15" s="2"/>
      <c r="AM15" s="2"/>
      <c r="AN15" s="2"/>
      <c r="AO15" s="2"/>
      <c r="AP15" s="2"/>
      <c r="AQ15" s="2">
        <f t="shared" si="8"/>
        <v>0</v>
      </c>
      <c r="AR15" s="2">
        <f t="shared" si="8"/>
        <v>10965</v>
      </c>
      <c r="AS15" s="2">
        <f t="shared" si="9"/>
        <v>12300</v>
      </c>
      <c r="AT15" s="2">
        <f t="shared" si="4"/>
        <v>12900</v>
      </c>
      <c r="AU15" s="2">
        <f t="shared" si="5"/>
        <v>24825</v>
      </c>
      <c r="AV15" s="2">
        <f t="shared" si="6"/>
        <v>24945</v>
      </c>
      <c r="AW15" s="2">
        <f t="shared" si="6"/>
        <v>26385</v>
      </c>
      <c r="AX15" s="2">
        <f t="shared" si="6"/>
        <v>27195</v>
      </c>
      <c r="AY15" s="2">
        <f t="shared" si="6"/>
        <v>29628.559981549817</v>
      </c>
      <c r="AZ15" s="2">
        <f t="shared" si="6"/>
        <v>29970.271679335798</v>
      </c>
      <c r="BA15" s="2">
        <f t="shared" si="6"/>
        <v>30322.234728055355</v>
      </c>
      <c r="BB15" s="2"/>
      <c r="BC15" s="2"/>
      <c r="BD15" s="2"/>
      <c r="BE15" s="2"/>
      <c r="BF15" s="2"/>
      <c r="BG15" s="2"/>
      <c r="BH15" s="2"/>
      <c r="BI15" s="2"/>
      <c r="BJ15" s="2"/>
      <c r="BK15" s="2"/>
      <c r="BL15" s="2"/>
      <c r="BM15" s="2"/>
      <c r="BN15" s="2"/>
      <c r="BO15" s="2"/>
      <c r="BP15">
        <f t="shared" si="7"/>
        <v>0</v>
      </c>
      <c r="BQ15">
        <f t="shared" si="7"/>
        <v>0.92142857142857137</v>
      </c>
      <c r="BR15" s="1035">
        <f t="shared" si="7"/>
        <v>1.034047919293821</v>
      </c>
      <c r="BS15" s="1035">
        <f t="shared" si="7"/>
        <v>1.0847628657921291</v>
      </c>
      <c r="BT15" s="1035">
        <f t="shared" si="7"/>
        <v>2.1102516150969057</v>
      </c>
      <c r="BU15" s="1035">
        <f t="shared" si="7"/>
        <v>2.1589925566903236</v>
      </c>
      <c r="BV15" s="1035">
        <f t="shared" si="7"/>
        <v>2.2838223837964167</v>
      </c>
      <c r="BW15" s="1035">
        <f t="shared" si="7"/>
        <v>2.3598576883026725</v>
      </c>
      <c r="BX15" s="1035">
        <f t="shared" si="7"/>
        <v>2.6325031747549796</v>
      </c>
      <c r="BY15" s="1035">
        <f t="shared" si="7"/>
        <v>2.6628643239243175</v>
      </c>
      <c r="BZ15" s="1035">
        <f t="shared" si="7"/>
        <v>2.6941363075687352</v>
      </c>
    </row>
    <row r="16" spans="1:78">
      <c r="A16" s="2"/>
      <c r="B16" s="8" t="s">
        <v>1269</v>
      </c>
      <c r="C16" s="2"/>
      <c r="D16" s="2"/>
      <c r="E16" s="2"/>
      <c r="F16" s="2"/>
      <c r="G16" s="2"/>
      <c r="H16" s="2"/>
      <c r="I16" s="2"/>
      <c r="J16" s="2"/>
      <c r="K16" s="2"/>
      <c r="L16" s="2"/>
      <c r="M16" s="2"/>
      <c r="N16" s="2"/>
      <c r="O16" s="2"/>
      <c r="P16" s="2"/>
      <c r="Q16" s="2">
        <f>+'P&amp;L'!W45</f>
        <v>-5</v>
      </c>
      <c r="R16" s="2">
        <f>+'P&amp;L'!X45</f>
        <v>122</v>
      </c>
      <c r="S16" s="2">
        <f>+'P&amp;L'!Y45</f>
        <v>65</v>
      </c>
      <c r="T16" s="2">
        <f>+'P&amp;L'!Z45</f>
        <v>60</v>
      </c>
      <c r="U16" s="2">
        <f>+'P&amp;L'!AA45</f>
        <v>-9</v>
      </c>
      <c r="V16" s="2">
        <f>+'P&amp;L'!AB45</f>
        <v>-169</v>
      </c>
      <c r="W16" s="2">
        <f>+'P&amp;L'!AC45</f>
        <v>-197</v>
      </c>
      <c r="X16" s="2">
        <f>+'P&amp;L'!AD45</f>
        <v>-200.94000000000003</v>
      </c>
      <c r="Y16" s="2">
        <f>+'P&amp;L'!AE45</f>
        <v>-204.95880000000005</v>
      </c>
      <c r="Z16" s="2">
        <f>+'P&amp;L'!AF45</f>
        <v>-209.05797600000002</v>
      </c>
      <c r="AA16" s="2"/>
      <c r="AB16" s="1139">
        <v>5</v>
      </c>
      <c r="AC16" s="21"/>
      <c r="AD16" s="2"/>
      <c r="AE16" s="2"/>
      <c r="AF16" s="2"/>
      <c r="AG16" s="2"/>
      <c r="AH16" s="2"/>
      <c r="AI16" s="2"/>
      <c r="AJ16" s="2"/>
      <c r="AK16" s="2"/>
      <c r="AL16" s="2"/>
      <c r="AM16" s="2"/>
      <c r="AN16" s="2"/>
      <c r="AO16" s="2"/>
      <c r="AP16" s="2"/>
      <c r="AQ16" s="2">
        <f t="shared" si="8"/>
        <v>0</v>
      </c>
      <c r="AR16" s="2">
        <f t="shared" si="8"/>
        <v>-25</v>
      </c>
      <c r="AS16" s="2">
        <f t="shared" si="9"/>
        <v>610</v>
      </c>
      <c r="AT16" s="2">
        <f t="shared" si="4"/>
        <v>325</v>
      </c>
      <c r="AU16" s="2">
        <f t="shared" si="5"/>
        <v>300</v>
      </c>
      <c r="AV16" s="2">
        <f t="shared" si="6"/>
        <v>-45</v>
      </c>
      <c r="AW16" s="2">
        <f t="shared" si="6"/>
        <v>-845</v>
      </c>
      <c r="AX16" s="2">
        <f t="shared" si="6"/>
        <v>-985</v>
      </c>
      <c r="AY16" s="2">
        <f t="shared" si="6"/>
        <v>-1004.7000000000002</v>
      </c>
      <c r="AZ16" s="2">
        <f t="shared" si="6"/>
        <v>-1024.7940000000003</v>
      </c>
      <c r="BA16" s="2">
        <f t="shared" si="6"/>
        <v>-1045.28988</v>
      </c>
      <c r="BB16" s="2"/>
      <c r="BC16" s="2"/>
      <c r="BD16" s="2"/>
      <c r="BE16" s="2"/>
      <c r="BF16" s="2"/>
      <c r="BG16" s="2"/>
      <c r="BH16" s="2"/>
      <c r="BI16" s="2"/>
      <c r="BJ16" s="2"/>
      <c r="BK16" s="2"/>
      <c r="BL16" s="2"/>
      <c r="BM16" s="2"/>
      <c r="BN16" s="2"/>
      <c r="BO16" s="2"/>
      <c r="BP16">
        <f t="shared" si="7"/>
        <v>0</v>
      </c>
      <c r="BQ16">
        <f t="shared" si="7"/>
        <v>-2.1008403361344537E-3</v>
      </c>
      <c r="BR16" s="1035">
        <f t="shared" si="7"/>
        <v>5.128205128205128E-2</v>
      </c>
      <c r="BS16" s="1035">
        <f t="shared" si="7"/>
        <v>2.7329297006390852E-2</v>
      </c>
      <c r="BT16" s="1035">
        <f t="shared" si="7"/>
        <v>2.5501530091805509E-2</v>
      </c>
      <c r="BU16" s="1035">
        <f t="shared" si="7"/>
        <v>-3.8947550631815821E-3</v>
      </c>
      <c r="BV16" s="1035">
        <f t="shared" si="7"/>
        <v>-7.3141175452263479E-2</v>
      </c>
      <c r="BW16" s="1035">
        <f t="shared" si="7"/>
        <v>-8.5473793821589719E-2</v>
      </c>
      <c r="BX16" s="1035">
        <f t="shared" si="7"/>
        <v>-8.9267785586722243E-2</v>
      </c>
      <c r="BY16" s="1035">
        <f t="shared" si="7"/>
        <v>-9.1053141298456708E-2</v>
      </c>
      <c r="BZ16" s="1035">
        <f t="shared" si="7"/>
        <v>-9.2874204124425819E-2</v>
      </c>
    </row>
    <row r="17" spans="1:80">
      <c r="A17" s="2"/>
      <c r="B17" s="8" t="s">
        <v>1326</v>
      </c>
      <c r="C17" s="2"/>
      <c r="D17" s="2"/>
      <c r="E17" s="2"/>
      <c r="F17" s="2"/>
      <c r="G17" s="2"/>
      <c r="H17" s="2"/>
      <c r="I17" s="2"/>
      <c r="J17" s="2"/>
      <c r="K17" s="2"/>
      <c r="L17" s="2"/>
      <c r="M17" s="2"/>
      <c r="N17" s="2"/>
      <c r="O17" s="2"/>
      <c r="P17" s="2"/>
      <c r="Q17" s="2">
        <f>+'P&amp;L'!W47</f>
        <v>1613</v>
      </c>
      <c r="R17" s="2">
        <f>+'P&amp;L'!X47</f>
        <v>1536</v>
      </c>
      <c r="S17" s="2">
        <f>+'P&amp;L'!Y47</f>
        <v>802</v>
      </c>
      <c r="T17" s="2">
        <f>+'P&amp;L'!Z47</f>
        <v>233</v>
      </c>
      <c r="U17" s="2">
        <f>+'P&amp;L'!AA47</f>
        <v>37</v>
      </c>
      <c r="V17" s="2">
        <f>+'P&amp;L'!AB47</f>
        <v>0</v>
      </c>
      <c r="W17" s="2">
        <f>+'P&amp;L'!AC47</f>
        <v>1</v>
      </c>
      <c r="X17" s="2">
        <f>+'P&amp;L'!AD47</f>
        <v>9.9475983006414026E-14</v>
      </c>
      <c r="Y17" s="2">
        <f>+'P&amp;L'!AE47</f>
        <v>9.9475983006414026E-14</v>
      </c>
      <c r="Z17" s="2">
        <f>+'P&amp;L'!AF47</f>
        <v>9.9475983006414026E-14</v>
      </c>
      <c r="AA17" s="2"/>
      <c r="AB17" s="329" t="str">
        <f>IFERROR(+AW17/V17,"")</f>
        <v/>
      </c>
      <c r="AC17" s="21"/>
      <c r="AD17" s="2"/>
      <c r="AE17" s="2"/>
      <c r="AF17" s="2"/>
      <c r="AG17" s="2"/>
      <c r="AH17" s="2"/>
      <c r="AI17" s="2"/>
      <c r="AJ17" s="2"/>
      <c r="AK17" s="2"/>
      <c r="AL17" s="2"/>
      <c r="AM17" s="2"/>
      <c r="AN17" s="2"/>
      <c r="AO17" s="2"/>
      <c r="AP17" s="2"/>
      <c r="AQ17" s="2">
        <f>+NPV(8%, 'P&amp;L'!W47:AF47)</f>
        <v>3644.0714281873175</v>
      </c>
      <c r="AR17" s="2">
        <f>+NPV(8%, 'P&amp;L'!X47:AG47)</f>
        <v>2322.5971424423037</v>
      </c>
      <c r="AS17" s="2">
        <f>+NPV(8%, 'P&amp;L'!Y47:AH47)</f>
        <v>972.40491383768824</v>
      </c>
      <c r="AT17" s="2">
        <f>+NPV(8%, 'P&amp;L'!Z47:$AH47)</f>
        <v>248.19730694470343</v>
      </c>
      <c r="AU17" s="2">
        <f>+NPV(8%, 'P&amp;L'!AA47:$AH47)</f>
        <v>35.053091500279741</v>
      </c>
      <c r="AV17">
        <f>+NPV(8%, 'P&amp;L'!AB47:$AH47)</f>
        <v>0.85733882030212372</v>
      </c>
      <c r="AW17">
        <f>+NPV(8%, 'P&amp;L'!AC47:$AH47)</f>
        <v>0.92592592592629364</v>
      </c>
      <c r="AX17">
        <f>+NPV(8%, 'P&amp;L'!AD47:$AH47)</f>
        <v>3.971787557979183E-13</v>
      </c>
      <c r="AY17">
        <f>+NPV(8%, 'P&amp;L'!AE47:$AH47)</f>
        <v>3.2947707325533776E-13</v>
      </c>
      <c r="AZ17">
        <f>+NPV(8%, 'P&amp;L'!AF47:$AH47)</f>
        <v>2.5635925610935078E-13</v>
      </c>
      <c r="BA17">
        <f>+NPV(8%, 'P&amp;L'!AG47:$AH47)</f>
        <v>1.7739201359168481E-13</v>
      </c>
      <c r="BB17" s="2"/>
      <c r="BC17" s="2"/>
      <c r="BD17" s="2"/>
      <c r="BE17" s="2"/>
      <c r="BF17" s="2"/>
      <c r="BG17" s="2"/>
      <c r="BH17" s="2"/>
      <c r="BI17" s="2"/>
      <c r="BJ17" s="2"/>
      <c r="BK17" s="2"/>
      <c r="BL17" s="2"/>
      <c r="BM17" s="2"/>
      <c r="BN17" s="2"/>
      <c r="BO17" s="2"/>
      <c r="BP17">
        <f t="shared" si="7"/>
        <v>0.30663677450246696</v>
      </c>
      <c r="BQ17">
        <f t="shared" si="7"/>
        <v>0.19517623045733645</v>
      </c>
      <c r="BR17" s="1035">
        <f t="shared" si="7"/>
        <v>8.1749046980890139E-2</v>
      </c>
      <c r="BS17" s="1035">
        <f t="shared" si="7"/>
        <v>2.0870947439009708E-2</v>
      </c>
      <c r="BT17" s="1035">
        <f t="shared" si="7"/>
        <v>2.979691559017319E-3</v>
      </c>
      <c r="BU17" s="1035">
        <f t="shared" si="7"/>
        <v>7.4202771360751577E-5</v>
      </c>
      <c r="BV17" s="1035">
        <f t="shared" si="7"/>
        <v>8.0145929708845635E-5</v>
      </c>
      <c r="BW17" s="1035">
        <f t="shared" si="7"/>
        <v>3.4465355414605891E-17</v>
      </c>
      <c r="BX17" s="1035">
        <f t="shared" si="7"/>
        <v>2.9274100458941242E-17</v>
      </c>
      <c r="BY17" s="1035">
        <f t="shared" si="7"/>
        <v>2.2777568535424639E-17</v>
      </c>
      <c r="BZ17" s="1035">
        <f t="shared" si="7"/>
        <v>1.5761314058026709E-17</v>
      </c>
    </row>
    <row r="18" spans="1:80">
      <c r="A18" s="55"/>
      <c r="B18" t="s">
        <v>1049</v>
      </c>
      <c r="Q18">
        <f t="shared" ref="Q18:V18" si="10">SUM(Q10:Q17)</f>
        <v>9816</v>
      </c>
      <c r="R18" s="276">
        <f t="shared" si="10"/>
        <v>8945</v>
      </c>
      <c r="S18" s="276">
        <f t="shared" si="10"/>
        <v>7491</v>
      </c>
      <c r="T18" s="276">
        <f t="shared" si="10"/>
        <v>7190</v>
      </c>
      <c r="U18" s="276">
        <f t="shared" si="10"/>
        <v>7669</v>
      </c>
      <c r="V18" s="276">
        <f t="shared" si="10"/>
        <v>7874</v>
      </c>
      <c r="W18" s="276">
        <f>SUM(W10:W17)</f>
        <v>8158</v>
      </c>
      <c r="X18" s="276">
        <f>SUM(X10:X17)</f>
        <v>8580.3524705260606</v>
      </c>
      <c r="Y18" s="276">
        <f>SUM(Y10:Y17)</f>
        <v>8867.6083445247623</v>
      </c>
      <c r="Z18" s="276">
        <f>SUM(Z10:Z17)</f>
        <v>9176.7296004252148</v>
      </c>
      <c r="AA18" s="31"/>
      <c r="AB18" s="330">
        <f>+AY18/X18</f>
        <v>8.5856255516335267</v>
      </c>
      <c r="AC18" s="18"/>
      <c r="AD18" s="30"/>
      <c r="AE18" s="30"/>
      <c r="AF18" s="30"/>
      <c r="AG18" s="30"/>
      <c r="AH18" s="30"/>
      <c r="AI18" s="30"/>
      <c r="AJ18" s="30"/>
      <c r="AK18" s="30"/>
      <c r="AL18" s="30"/>
      <c r="AM18" s="30"/>
      <c r="AN18" s="30"/>
      <c r="AO18" s="30"/>
      <c r="AP18" s="30"/>
      <c r="AQ18" s="30"/>
      <c r="AR18" s="276">
        <f t="shared" ref="AR18:AW18" si="11">SUM(AR10:AR17)</f>
        <v>58161.597142442304</v>
      </c>
      <c r="AS18" s="276">
        <f t="shared" si="11"/>
        <v>53171.404913837687</v>
      </c>
      <c r="AT18" s="276">
        <f t="shared" si="11"/>
        <v>49587.197306944705</v>
      </c>
      <c r="AU18" s="276">
        <f t="shared" si="11"/>
        <v>59332.053091500282</v>
      </c>
      <c r="AV18" s="276">
        <f t="shared" si="11"/>
        <v>63994.8573388203</v>
      </c>
      <c r="AW18" s="276">
        <f t="shared" si="11"/>
        <v>67012.925925925927</v>
      </c>
      <c r="AX18" s="276">
        <f>SUM(AX10:AX17)</f>
        <v>69437</v>
      </c>
      <c r="AY18" s="276">
        <f>SUM(AY10:AY17)</f>
        <v>73667.693412970402</v>
      </c>
      <c r="AZ18" s="276">
        <f>SUM(AZ10:AZ17)</f>
        <v>75832.950023859012</v>
      </c>
      <c r="BA18" s="276">
        <f>SUM(BA10:BA17)</f>
        <v>78149.216119698947</v>
      </c>
      <c r="BB18" s="205"/>
      <c r="BC18" s="1036"/>
      <c r="BD18" s="1036"/>
      <c r="BE18" s="1036"/>
      <c r="BF18" s="1036"/>
      <c r="BG18" s="1036"/>
      <c r="BH18" s="1036"/>
      <c r="BI18" s="1036"/>
      <c r="BJ18" s="1036"/>
      <c r="BK18" s="1036"/>
      <c r="BL18" s="1036"/>
      <c r="BM18" s="1036"/>
      <c r="BN18" s="1036"/>
      <c r="BO18" s="1036"/>
      <c r="BP18">
        <f t="shared" ref="BP18:BU18" si="12">SUM(BP10:BP17)</f>
        <v>0.30663677450246696</v>
      </c>
      <c r="BQ18">
        <f t="shared" si="12"/>
        <v>4.8875291716338074</v>
      </c>
      <c r="BR18" s="1037">
        <f t="shared" si="12"/>
        <v>4.4700634648035038</v>
      </c>
      <c r="BS18" s="1037">
        <f t="shared" si="12"/>
        <v>4.1697945935876817</v>
      </c>
      <c r="BT18" s="1037">
        <f t="shared" si="12"/>
        <v>5.0435271244049877</v>
      </c>
      <c r="BU18" s="1037">
        <f t="shared" si="12"/>
        <v>5.5387621030656318</v>
      </c>
      <c r="BV18" s="1037">
        <f>SUM(BV10:BV17)</f>
        <v>5.8004783109085025</v>
      </c>
      <c r="BW18" s="1037">
        <f>SUM(BW10:BW17)</f>
        <v>6.0254251995834771</v>
      </c>
      <c r="BX18" s="1037">
        <f>SUM(BX10:BX17)</f>
        <v>6.5453885341469409</v>
      </c>
      <c r="BY18" s="1037">
        <f>SUM(BY10:BY17)</f>
        <v>6.7377719947630803</v>
      </c>
      <c r="BZ18" s="1037">
        <f>SUM(BZ10:BZ17)</f>
        <v>6.9435726767629173</v>
      </c>
    </row>
    <row r="19" spans="1:80">
      <c r="A19" s="2"/>
      <c r="B19" s="394" t="s">
        <v>1099</v>
      </c>
      <c r="C19" s="2"/>
      <c r="D19" s="2"/>
      <c r="E19" s="2"/>
      <c r="F19" s="2"/>
      <c r="G19" s="2"/>
      <c r="H19" s="2"/>
      <c r="I19" s="2"/>
      <c r="J19" s="2"/>
      <c r="K19" s="2"/>
      <c r="L19" s="2"/>
      <c r="M19" s="2"/>
      <c r="N19" s="2"/>
      <c r="O19" s="2"/>
      <c r="P19" s="2"/>
      <c r="Q19" s="2"/>
      <c r="R19" s="366">
        <f t="shared" ref="R19:Z19" si="13">+R18/Q18-1</f>
        <v>-8.8732681336593289E-2</v>
      </c>
      <c r="S19" s="366">
        <f t="shared" si="13"/>
        <v>-0.16254891000558969</v>
      </c>
      <c r="T19" s="366">
        <f t="shared" si="13"/>
        <v>-4.0181551194767073E-2</v>
      </c>
      <c r="U19" s="366">
        <f t="shared" si="13"/>
        <v>6.6620305980528594E-2</v>
      </c>
      <c r="V19" s="366">
        <f t="shared" si="13"/>
        <v>2.67309949145913E-2</v>
      </c>
      <c r="W19" s="366">
        <f t="shared" si="13"/>
        <v>3.606807213614438E-2</v>
      </c>
      <c r="X19" s="366">
        <f t="shared" si="13"/>
        <v>5.1771570302287406E-2</v>
      </c>
      <c r="Y19" s="366">
        <f t="shared" si="13"/>
        <v>3.3478330288346569E-2</v>
      </c>
      <c r="Z19" s="366">
        <f t="shared" si="13"/>
        <v>3.4859597299571332E-2</v>
      </c>
      <c r="AA19" s="2"/>
      <c r="AB19" s="21"/>
      <c r="AC19" s="21"/>
      <c r="AD19" s="2"/>
      <c r="AE19" s="2"/>
      <c r="AF19" s="2"/>
      <c r="AG19" s="2"/>
      <c r="AH19" s="2"/>
      <c r="AI19" s="2"/>
      <c r="AJ19" s="2"/>
      <c r="AK19" s="2"/>
      <c r="AL19" s="2"/>
      <c r="AM19" s="2"/>
      <c r="AN19" s="2"/>
      <c r="AO19" s="2"/>
      <c r="AP19" s="2"/>
      <c r="AQ19" s="2"/>
      <c r="AR19" s="2"/>
      <c r="AS19" s="366">
        <f t="shared" ref="AS19:BA19" si="14">+AS18/AR18-1</f>
        <v>-8.5798748208087305E-2</v>
      </c>
      <c r="AT19" s="366">
        <f t="shared" si="14"/>
        <v>-6.7408555645671941E-2</v>
      </c>
      <c r="AU19" s="366">
        <f t="shared" si="14"/>
        <v>0.19651959202765434</v>
      </c>
      <c r="AV19" s="366">
        <f t="shared" si="14"/>
        <v>7.8588284145993947E-2</v>
      </c>
      <c r="AW19" s="366">
        <f t="shared" si="14"/>
        <v>4.7161111261276645E-2</v>
      </c>
      <c r="AX19" s="366">
        <f t="shared" si="14"/>
        <v>3.6173231366640746E-2</v>
      </c>
      <c r="AY19" s="366">
        <f t="shared" si="14"/>
        <v>6.0928516683762313E-2</v>
      </c>
      <c r="AZ19" s="366">
        <f t="shared" si="14"/>
        <v>2.9392214016400686E-2</v>
      </c>
      <c r="BA19" s="366">
        <f t="shared" si="14"/>
        <v>3.0544322687053205E-2</v>
      </c>
      <c r="BB19" s="2"/>
      <c r="BC19" s="2"/>
      <c r="BD19" s="2"/>
      <c r="BE19" s="2"/>
      <c r="BF19" s="2"/>
      <c r="BG19" s="2"/>
      <c r="BH19" s="2"/>
      <c r="BI19" s="2"/>
      <c r="BJ19" s="2"/>
      <c r="BK19" s="2"/>
      <c r="BL19" s="2"/>
      <c r="BM19" s="2"/>
      <c r="BN19" s="2"/>
      <c r="BO19" s="2"/>
      <c r="BP19" s="2"/>
      <c r="BQ19" s="2"/>
      <c r="BR19" s="366">
        <f t="shared" ref="BR19:BZ19" si="15">+BR18/BQ18-1</f>
        <v>-8.5414468573034141E-2</v>
      </c>
      <c r="BS19" s="366">
        <f t="shared" si="15"/>
        <v>-6.7173290397348207E-2</v>
      </c>
      <c r="BT19" s="366">
        <f t="shared" si="15"/>
        <v>0.20953850632377269</v>
      </c>
      <c r="BU19" s="366">
        <f t="shared" si="15"/>
        <v>9.8192190989568662E-2</v>
      </c>
      <c r="BV19" s="366">
        <f t="shared" si="15"/>
        <v>4.7251751018158705E-2</v>
      </c>
      <c r="BW19" s="366">
        <f t="shared" si="15"/>
        <v>3.8780748175876179E-2</v>
      </c>
      <c r="BX19" s="366">
        <f t="shared" si="15"/>
        <v>8.6294878343093018E-2</v>
      </c>
      <c r="BY19" s="366">
        <f t="shared" si="15"/>
        <v>2.9392214016400242E-2</v>
      </c>
      <c r="BZ19" s="366">
        <f t="shared" si="15"/>
        <v>3.0544322687053649E-2</v>
      </c>
    </row>
    <row r="20" spans="1:80">
      <c r="A20" s="2"/>
      <c r="B20" s="8"/>
      <c r="C20" s="2"/>
      <c r="D20" s="2"/>
      <c r="E20" s="2"/>
      <c r="F20" s="2"/>
      <c r="G20" s="2"/>
      <c r="H20" s="2"/>
      <c r="I20" s="2"/>
      <c r="J20" s="2"/>
      <c r="K20" s="2"/>
      <c r="L20" s="2"/>
      <c r="M20" s="2"/>
      <c r="N20" s="2"/>
      <c r="O20" s="2"/>
      <c r="P20" s="2"/>
      <c r="Q20" s="2"/>
      <c r="R20" s="2"/>
      <c r="S20" s="2"/>
      <c r="T20" s="2"/>
      <c r="U20" s="2"/>
      <c r="V20" s="2"/>
      <c r="W20" s="2"/>
      <c r="X20" s="2"/>
      <c r="Y20" s="2"/>
      <c r="Z20" s="2"/>
      <c r="AA20" s="2"/>
      <c r="AB20" s="21"/>
      <c r="AC20" s="21"/>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row>
    <row r="21" spans="1:80">
      <c r="A21" s="55"/>
      <c r="B21" s="1030" t="s">
        <v>71</v>
      </c>
      <c r="C21" s="39"/>
      <c r="D21" s="39"/>
      <c r="E21" s="39"/>
      <c r="F21" s="39"/>
      <c r="G21" s="39"/>
      <c r="H21" s="39"/>
      <c r="I21" s="39"/>
      <c r="J21" s="39"/>
      <c r="K21" s="39"/>
      <c r="L21" s="39"/>
      <c r="M21" s="39"/>
      <c r="N21" s="39"/>
      <c r="O21" s="39"/>
      <c r="P21" s="39"/>
      <c r="Q21" s="39"/>
      <c r="R21" s="39"/>
      <c r="S21" s="39"/>
      <c r="T21" s="39"/>
      <c r="U21" s="39"/>
      <c r="V21" s="39"/>
      <c r="W21" s="39"/>
      <c r="X21" s="39"/>
      <c r="Y21" s="39"/>
      <c r="Z21" s="39"/>
      <c r="AA21" s="39"/>
      <c r="AB21" s="200" t="s">
        <v>496</v>
      </c>
      <c r="AC21" s="25"/>
      <c r="AD21" s="1038"/>
      <c r="AE21" s="1038"/>
      <c r="AF21" s="1038"/>
      <c r="AG21" s="1038"/>
      <c r="AH21" s="1038"/>
      <c r="AI21" s="1038"/>
      <c r="AJ21" s="1038"/>
      <c r="AK21" s="1038"/>
      <c r="AL21" s="1038"/>
      <c r="AM21" s="1038"/>
      <c r="AN21" s="1038"/>
      <c r="AO21" s="1038"/>
      <c r="AP21" s="1038"/>
      <c r="AQ21" s="1038"/>
      <c r="AR21" s="1038"/>
      <c r="AS21" s="1038"/>
      <c r="AT21" s="1038"/>
      <c r="AU21" s="1038"/>
      <c r="AV21" s="1038"/>
      <c r="AW21" s="1038"/>
      <c r="AX21" s="1038"/>
      <c r="AY21" s="1038"/>
      <c r="AZ21" s="1038"/>
      <c r="BA21" s="1038"/>
      <c r="BB21" s="1038"/>
      <c r="BC21" s="1039"/>
      <c r="BD21" s="1039"/>
      <c r="BE21" s="1039"/>
      <c r="BF21" s="1039"/>
      <c r="BG21" s="1039"/>
      <c r="BH21" s="25"/>
      <c r="BI21" s="1039"/>
      <c r="BJ21" s="1039"/>
      <c r="BK21" s="1039"/>
      <c r="BL21" s="1039"/>
      <c r="BM21" s="1039"/>
      <c r="BN21" s="1039"/>
      <c r="BO21" s="1039"/>
      <c r="BP21" s="1039"/>
      <c r="BQ21" s="1039"/>
      <c r="BR21" s="1039"/>
      <c r="BS21" s="1039"/>
      <c r="BT21" s="1039"/>
      <c r="BU21" s="1039"/>
      <c r="BV21" s="1039"/>
      <c r="BW21" s="1039"/>
      <c r="BX21" s="1039"/>
      <c r="BY21" s="1039"/>
      <c r="BZ21" s="1039"/>
      <c r="CB21" s="1035"/>
    </row>
    <row r="22" spans="1:80" ht="16.5" customHeight="1">
      <c r="A22" s="55"/>
      <c r="B22" s="9" t="s">
        <v>497</v>
      </c>
      <c r="C22" s="7"/>
      <c r="D22" s="7"/>
      <c r="E22" s="7"/>
      <c r="F22" s="7"/>
      <c r="G22" s="7"/>
      <c r="H22" s="7"/>
      <c r="I22" s="7"/>
      <c r="J22" s="7"/>
      <c r="K22" s="7"/>
      <c r="L22" s="7"/>
      <c r="M22" s="7"/>
      <c r="N22" s="7"/>
      <c r="O22" s="7"/>
      <c r="P22" s="7"/>
      <c r="Q22" s="7"/>
      <c r="R22" s="7"/>
      <c r="S22" s="7"/>
      <c r="T22" s="7"/>
      <c r="U22" s="7"/>
      <c r="V22" s="7"/>
      <c r="W22" s="7"/>
      <c r="X22" s="7"/>
      <c r="Y22" s="7"/>
      <c r="Z22" s="7"/>
      <c r="AA22" s="7"/>
      <c r="AB22" s="201"/>
      <c r="AC22" s="6"/>
      <c r="AD22" s="204"/>
      <c r="AE22" s="204"/>
      <c r="AF22" s="204"/>
      <c r="AG22" s="204"/>
      <c r="AH22" s="204"/>
      <c r="AI22" s="204"/>
      <c r="AJ22" s="204"/>
      <c r="AK22" s="204"/>
      <c r="AL22" s="204"/>
      <c r="AM22" s="204"/>
      <c r="AN22" s="204"/>
      <c r="AO22" s="204"/>
      <c r="AP22" s="204"/>
      <c r="AQ22" s="204"/>
      <c r="AR22" s="204"/>
      <c r="AS22" s="204"/>
      <c r="AT22" s="204"/>
      <c r="AU22" s="204"/>
      <c r="AV22" s="204"/>
      <c r="AW22" s="204"/>
      <c r="AX22" s="204"/>
      <c r="AY22" s="204"/>
      <c r="AZ22" s="204"/>
      <c r="BA22" s="204"/>
      <c r="BB22" s="204"/>
      <c r="BC22" s="1036"/>
      <c r="BD22" s="1036"/>
      <c r="BE22" s="1036"/>
      <c r="BF22" s="1036"/>
      <c r="BG22" s="1036"/>
      <c r="BH22" s="6"/>
      <c r="BI22" s="1036"/>
      <c r="BJ22" s="1036"/>
      <c r="BK22" s="1036"/>
      <c r="BL22" s="1036"/>
      <c r="BM22" s="1036"/>
      <c r="BN22" s="1036"/>
      <c r="BO22" s="1036"/>
      <c r="BP22" s="1036"/>
      <c r="BQ22" s="1036"/>
      <c r="BR22" s="1036"/>
      <c r="BS22" s="1036"/>
      <c r="BT22" s="1036"/>
      <c r="BU22" s="1036"/>
      <c r="BV22" s="1036"/>
      <c r="BW22" s="1036"/>
      <c r="BX22" s="1036"/>
      <c r="BY22" s="1036"/>
      <c r="BZ22" s="1036"/>
    </row>
    <row r="23" spans="1:80">
      <c r="A23" s="55"/>
      <c r="B23" s="8" t="s">
        <v>1016</v>
      </c>
      <c r="C23" s="7"/>
      <c r="D23" s="7"/>
      <c r="E23" s="7"/>
      <c r="F23" s="7"/>
      <c r="G23" s="7"/>
      <c r="H23" s="7"/>
      <c r="I23" s="2"/>
      <c r="J23" s="2"/>
      <c r="K23" s="7"/>
      <c r="L23" s="7"/>
      <c r="M23" s="7" t="s">
        <v>954</v>
      </c>
      <c r="N23" s="7"/>
      <c r="O23" s="7"/>
      <c r="P23" s="7"/>
      <c r="Q23" s="7"/>
      <c r="R23" s="7"/>
      <c r="S23" s="7"/>
      <c r="T23" s="7"/>
      <c r="U23" s="7"/>
      <c r="V23" s="7"/>
      <c r="W23" s="7"/>
      <c r="X23" s="7"/>
      <c r="Y23" s="7"/>
      <c r="Z23" s="7"/>
      <c r="AA23" s="7"/>
      <c r="AB23" s="1040">
        <v>0</v>
      </c>
      <c r="AC23" s="6"/>
      <c r="AD23" s="204"/>
      <c r="AE23" s="204"/>
      <c r="AF23" s="204"/>
      <c r="AG23" s="204"/>
      <c r="AH23" s="204"/>
      <c r="AI23" s="204"/>
      <c r="AJ23" s="205">
        <f>AB23</f>
        <v>0</v>
      </c>
      <c r="AK23" s="1041">
        <f t="shared" ref="AK23:AS23" si="16">AJ23</f>
        <v>0</v>
      </c>
      <c r="AL23" s="1041">
        <f t="shared" si="16"/>
        <v>0</v>
      </c>
      <c r="AM23" s="1041">
        <f t="shared" si="16"/>
        <v>0</v>
      </c>
      <c r="AN23" s="1041">
        <f t="shared" si="16"/>
        <v>0</v>
      </c>
      <c r="AO23" s="1041">
        <v>1580</v>
      </c>
      <c r="AP23" s="1041">
        <f t="shared" si="16"/>
        <v>1580</v>
      </c>
      <c r="AQ23" s="1041">
        <f t="shared" si="16"/>
        <v>1580</v>
      </c>
      <c r="AR23" s="1041">
        <f t="shared" si="16"/>
        <v>1580</v>
      </c>
      <c r="AS23" s="853">
        <f t="shared" si="16"/>
        <v>1580</v>
      </c>
      <c r="AT23" s="853">
        <f>AB23</f>
        <v>0</v>
      </c>
      <c r="AU23" s="853">
        <f t="shared" ref="AU23:BA23" si="17">AT23</f>
        <v>0</v>
      </c>
      <c r="AV23" s="853">
        <f t="shared" si="17"/>
        <v>0</v>
      </c>
      <c r="AW23" s="853">
        <f t="shared" si="17"/>
        <v>0</v>
      </c>
      <c r="AX23" s="853">
        <f t="shared" si="17"/>
        <v>0</v>
      </c>
      <c r="AY23" s="853">
        <f t="shared" si="17"/>
        <v>0</v>
      </c>
      <c r="AZ23" s="853">
        <f t="shared" si="17"/>
        <v>0</v>
      </c>
      <c r="BA23" s="853">
        <f t="shared" si="17"/>
        <v>0</v>
      </c>
      <c r="BB23" s="205"/>
      <c r="BC23" s="1036"/>
      <c r="BD23" s="1036"/>
      <c r="BE23" s="1036"/>
      <c r="BF23" s="1036"/>
      <c r="BG23" s="1036"/>
      <c r="BH23" s="6"/>
      <c r="BI23" s="92">
        <f>AJ23/I33</f>
        <v>0</v>
      </c>
      <c r="BJ23" s="1042">
        <f>AK23/J33</f>
        <v>0</v>
      </c>
      <c r="BK23" s="1042">
        <f t="shared" ref="BK23:BZ23" si="18">AL23/K$33</f>
        <v>0</v>
      </c>
      <c r="BL23" s="1042">
        <f t="shared" si="18"/>
        <v>0</v>
      </c>
      <c r="BM23" s="1042">
        <f t="shared" si="18"/>
        <v>0</v>
      </c>
      <c r="BN23" s="1042">
        <f t="shared" si="18"/>
        <v>0.12933857236411264</v>
      </c>
      <c r="BO23" s="1042">
        <f t="shared" si="18"/>
        <v>0.1318974872693881</v>
      </c>
      <c r="BP23" s="1042">
        <f t="shared" si="18"/>
        <v>0.13295186805789297</v>
      </c>
      <c r="BQ23" s="1042">
        <f t="shared" si="18"/>
        <v>0.13277310924369748</v>
      </c>
      <c r="BR23" s="1043">
        <f t="shared" si="18"/>
        <v>0.13282891971416561</v>
      </c>
      <c r="BS23" s="1043">
        <f t="shared" si="18"/>
        <v>0</v>
      </c>
      <c r="BT23" s="1043">
        <f t="shared" si="18"/>
        <v>0</v>
      </c>
      <c r="BU23" s="1043">
        <f t="shared" si="18"/>
        <v>0</v>
      </c>
      <c r="BV23" s="1043">
        <f t="shared" si="18"/>
        <v>0</v>
      </c>
      <c r="BW23" s="1043">
        <f t="shared" si="18"/>
        <v>0</v>
      </c>
      <c r="BX23" s="1043">
        <f t="shared" si="18"/>
        <v>0</v>
      </c>
      <c r="BY23" s="1043">
        <f t="shared" si="18"/>
        <v>0</v>
      </c>
      <c r="BZ23" s="1043">
        <f t="shared" si="18"/>
        <v>0</v>
      </c>
    </row>
    <row r="24" spans="1:80">
      <c r="A24" s="55"/>
      <c r="B24" s="8" t="s">
        <v>616</v>
      </c>
      <c r="C24" s="7"/>
      <c r="D24" s="7"/>
      <c r="E24" s="7"/>
      <c r="F24" s="7"/>
      <c r="G24" s="7"/>
      <c r="H24" s="7"/>
      <c r="I24" s="7"/>
      <c r="J24" s="7"/>
      <c r="K24" s="7"/>
      <c r="L24" s="7"/>
      <c r="M24" s="7"/>
      <c r="N24" s="7"/>
      <c r="O24" s="7"/>
      <c r="P24" s="7"/>
      <c r="Q24" s="7"/>
      <c r="R24" s="7"/>
      <c r="S24" s="7"/>
      <c r="T24" s="7"/>
      <c r="U24" s="7"/>
      <c r="V24" s="7"/>
      <c r="W24" s="7"/>
      <c r="X24" s="7"/>
      <c r="Y24" s="7"/>
      <c r="Z24" s="7"/>
      <c r="AA24" s="7"/>
      <c r="AB24" s="201"/>
      <c r="AC24" s="6"/>
      <c r="AD24" s="204"/>
      <c r="AE24" s="204"/>
      <c r="AF24" s="204"/>
      <c r="AG24" s="204"/>
      <c r="AH24" s="204"/>
      <c r="AI24" s="204"/>
      <c r="AJ24" s="204">
        <f t="shared" ref="AJ24:AR24" si="19">AJ23</f>
        <v>0</v>
      </c>
      <c r="AK24" s="204">
        <f t="shared" si="19"/>
        <v>0</v>
      </c>
      <c r="AL24" s="204">
        <f t="shared" si="19"/>
        <v>0</v>
      </c>
      <c r="AM24" s="204">
        <f t="shared" si="19"/>
        <v>0</v>
      </c>
      <c r="AN24" s="204">
        <f t="shared" si="19"/>
        <v>0</v>
      </c>
      <c r="AO24" s="204">
        <f t="shared" si="19"/>
        <v>1580</v>
      </c>
      <c r="AP24" s="204">
        <f t="shared" si="19"/>
        <v>1580</v>
      </c>
      <c r="AQ24" s="204">
        <f t="shared" si="19"/>
        <v>1580</v>
      </c>
      <c r="AR24" s="204">
        <f t="shared" si="19"/>
        <v>1580</v>
      </c>
      <c r="AS24" s="259">
        <f t="shared" ref="AS24:AX24" si="20">AS23</f>
        <v>1580</v>
      </c>
      <c r="AT24" s="259">
        <f t="shared" si="20"/>
        <v>0</v>
      </c>
      <c r="AU24" s="259">
        <f t="shared" si="20"/>
        <v>0</v>
      </c>
      <c r="AV24" s="259">
        <f t="shared" si="20"/>
        <v>0</v>
      </c>
      <c r="AW24" s="259">
        <f t="shared" si="20"/>
        <v>0</v>
      </c>
      <c r="AX24" s="259">
        <f t="shared" si="20"/>
        <v>0</v>
      </c>
      <c r="AY24" s="259">
        <f t="shared" ref="AY24:AZ24" si="21">AY23</f>
        <v>0</v>
      </c>
      <c r="AZ24" s="259">
        <f t="shared" si="21"/>
        <v>0</v>
      </c>
      <c r="BA24" s="259">
        <f t="shared" ref="BA24" si="22">BA23</f>
        <v>0</v>
      </c>
      <c r="BB24" s="204"/>
      <c r="BC24" s="1036"/>
      <c r="BD24" s="1036"/>
      <c r="BE24" s="1036"/>
      <c r="BF24" s="1036"/>
      <c r="BG24" s="1036"/>
      <c r="BH24" s="6"/>
      <c r="BI24" s="1036">
        <f t="shared" ref="BI24:BZ24" si="23">AJ24/I33</f>
        <v>0</v>
      </c>
      <c r="BJ24" s="1036">
        <f t="shared" si="23"/>
        <v>0</v>
      </c>
      <c r="BK24" s="1036">
        <f t="shared" si="23"/>
        <v>0</v>
      </c>
      <c r="BL24" s="1036">
        <f t="shared" si="23"/>
        <v>0</v>
      </c>
      <c r="BM24" s="1036">
        <f t="shared" si="23"/>
        <v>0</v>
      </c>
      <c r="BN24" s="1036">
        <f t="shared" si="23"/>
        <v>0.12933857236411264</v>
      </c>
      <c r="BO24" s="1036">
        <f t="shared" si="23"/>
        <v>0.1318974872693881</v>
      </c>
      <c r="BP24" s="1036">
        <f t="shared" si="23"/>
        <v>0.13295186805789297</v>
      </c>
      <c r="BQ24" s="1036">
        <f t="shared" si="23"/>
        <v>0.13277310924369748</v>
      </c>
      <c r="BR24" s="949">
        <f t="shared" si="23"/>
        <v>0.13282891971416561</v>
      </c>
      <c r="BS24" s="949">
        <f t="shared" si="23"/>
        <v>0</v>
      </c>
      <c r="BT24" s="949">
        <f t="shared" si="23"/>
        <v>0</v>
      </c>
      <c r="BU24" s="949">
        <f t="shared" si="23"/>
        <v>0</v>
      </c>
      <c r="BV24" s="949">
        <f t="shared" si="23"/>
        <v>0</v>
      </c>
      <c r="BW24" s="949">
        <f t="shared" si="23"/>
        <v>0</v>
      </c>
      <c r="BX24" s="949">
        <f t="shared" si="23"/>
        <v>0</v>
      </c>
      <c r="BY24" s="949">
        <f t="shared" si="23"/>
        <v>0</v>
      </c>
      <c r="BZ24" s="949">
        <f t="shared" si="23"/>
        <v>0</v>
      </c>
    </row>
    <row r="25" spans="1:80" ht="6.6" customHeight="1">
      <c r="A25" s="55"/>
      <c r="B25" s="55"/>
      <c r="C25" s="2"/>
      <c r="D25" s="2"/>
      <c r="E25" s="2"/>
      <c r="F25" s="2"/>
      <c r="G25" s="2"/>
      <c r="H25" s="2"/>
      <c r="I25" s="2"/>
      <c r="J25" s="2"/>
      <c r="K25" s="2"/>
      <c r="L25" s="2"/>
      <c r="M25" s="2"/>
      <c r="N25" s="2"/>
      <c r="O25" s="2"/>
      <c r="P25" s="2"/>
      <c r="Q25" s="2"/>
      <c r="R25" s="2"/>
      <c r="S25" s="2"/>
      <c r="T25" s="2"/>
      <c r="U25" s="2"/>
      <c r="V25" s="2"/>
      <c r="W25" s="2"/>
      <c r="X25" s="2"/>
      <c r="Y25" s="2"/>
      <c r="Z25" s="2"/>
      <c r="AA25" s="2"/>
      <c r="AB25" s="202"/>
      <c r="AC25" s="2"/>
      <c r="AD25" s="204"/>
      <c r="AE25" s="204"/>
      <c r="AF25" s="204"/>
      <c r="AG25" s="204"/>
      <c r="AH25" s="204"/>
      <c r="AI25" s="204"/>
      <c r="AJ25" s="204"/>
      <c r="AK25" s="204"/>
      <c r="AL25" s="204"/>
      <c r="AM25" s="204"/>
      <c r="AN25" s="204"/>
      <c r="AO25" s="204"/>
      <c r="AP25" s="204"/>
      <c r="AQ25" s="204"/>
      <c r="AR25" s="204"/>
      <c r="AS25" s="259"/>
      <c r="AT25" s="259"/>
      <c r="AU25" s="259"/>
      <c r="AV25" s="259"/>
      <c r="AW25" s="259"/>
      <c r="AX25" s="259"/>
      <c r="AY25" s="259"/>
      <c r="AZ25" s="259"/>
      <c r="BA25" s="259"/>
      <c r="BB25" s="204"/>
      <c r="BC25" s="1036"/>
      <c r="BD25" s="1036"/>
      <c r="BE25" s="1036"/>
      <c r="BF25" s="1036"/>
      <c r="BG25" s="2"/>
      <c r="BH25" s="6"/>
      <c r="BI25" s="1036"/>
      <c r="BJ25" s="1036"/>
      <c r="BK25" s="1036"/>
      <c r="BL25" s="1036"/>
      <c r="BM25" s="1036"/>
      <c r="BN25" s="1036"/>
      <c r="BO25" s="1036"/>
      <c r="BP25" s="1036"/>
      <c r="BQ25" s="1036"/>
      <c r="BR25" s="949"/>
      <c r="BS25" s="949"/>
      <c r="BT25" s="949"/>
      <c r="BU25" s="949"/>
      <c r="BV25" s="949"/>
      <c r="BW25" s="949"/>
      <c r="BX25" s="949"/>
      <c r="BY25" s="949"/>
      <c r="BZ25" s="949"/>
    </row>
    <row r="26" spans="1:80">
      <c r="A26" s="55"/>
      <c r="B26" s="1030" t="s">
        <v>692</v>
      </c>
      <c r="C26" s="39"/>
      <c r="D26" s="39"/>
      <c r="E26" s="39"/>
      <c r="F26" s="39"/>
      <c r="G26" s="39"/>
      <c r="H26" s="39"/>
      <c r="I26" s="39"/>
      <c r="J26" s="39"/>
      <c r="K26" s="39"/>
      <c r="L26" s="39"/>
      <c r="M26" s="39"/>
      <c r="N26" s="39"/>
      <c r="O26" s="39"/>
      <c r="P26" s="39"/>
      <c r="Q26" s="39"/>
      <c r="R26" s="39"/>
      <c r="S26" s="39"/>
      <c r="T26" s="39"/>
      <c r="U26" s="39"/>
      <c r="V26" s="39"/>
      <c r="W26" s="39"/>
      <c r="X26" s="39"/>
      <c r="Y26" s="39"/>
      <c r="Z26" s="39"/>
      <c r="AA26" s="39"/>
      <c r="AB26" s="200"/>
      <c r="AC26" s="25"/>
      <c r="AD26" s="1038"/>
      <c r="AE26" s="1038"/>
      <c r="AF26" s="1038"/>
      <c r="AG26" s="1038"/>
      <c r="AH26" s="1038"/>
      <c r="AI26" s="1038"/>
      <c r="AJ26" s="1038"/>
      <c r="AK26" s="1038"/>
      <c r="AL26" s="1038"/>
      <c r="AM26" s="1038"/>
      <c r="AN26" s="1038"/>
      <c r="AO26" s="1038"/>
      <c r="AP26" s="1038"/>
      <c r="AQ26" s="1038"/>
      <c r="AR26" s="1038"/>
      <c r="AS26" s="1038"/>
      <c r="AT26" s="1038"/>
      <c r="AU26" s="1038"/>
      <c r="AV26" s="1038"/>
      <c r="AW26" s="1038"/>
      <c r="AX26" s="1038"/>
      <c r="AY26" s="1038"/>
      <c r="AZ26" s="1038"/>
      <c r="BA26" s="1038"/>
      <c r="BB26" s="1038"/>
      <c r="BC26" s="1039"/>
      <c r="BD26" s="1039"/>
      <c r="BE26" s="1039"/>
      <c r="BF26" s="1039"/>
      <c r="BG26" s="1039"/>
      <c r="BH26" s="25"/>
      <c r="BI26" s="1039"/>
      <c r="BJ26" s="1039"/>
      <c r="BK26" s="1039"/>
      <c r="BL26" s="1039"/>
      <c r="BM26" s="1039"/>
      <c r="BN26" s="1039"/>
      <c r="BO26" s="1039"/>
      <c r="BP26" s="1039"/>
      <c r="BQ26" s="1039"/>
      <c r="BR26" s="1044"/>
      <c r="BS26" s="1044"/>
      <c r="BT26" s="1044"/>
      <c r="BU26" s="1044"/>
      <c r="BV26" s="1044"/>
      <c r="BW26" s="1044"/>
      <c r="BX26" s="1044"/>
      <c r="BY26" s="1044"/>
      <c r="BZ26" s="1044"/>
    </row>
    <row r="27" spans="1:80" ht="17.25" customHeight="1">
      <c r="A27" s="55"/>
      <c r="B27" s="6" t="s">
        <v>692</v>
      </c>
      <c r="C27" s="2"/>
      <c r="D27" s="2"/>
      <c r="E27" s="2"/>
      <c r="F27" s="2"/>
      <c r="G27" s="2"/>
      <c r="H27" s="2"/>
      <c r="I27" s="2"/>
      <c r="J27" s="2"/>
      <c r="K27" s="2"/>
      <c r="L27" s="2"/>
      <c r="M27" s="2"/>
      <c r="N27" s="2"/>
      <c r="O27" s="2"/>
      <c r="P27" s="2"/>
      <c r="Q27" s="2"/>
      <c r="R27" s="2"/>
      <c r="S27" s="2"/>
      <c r="T27" s="2"/>
      <c r="U27" s="2"/>
      <c r="V27" s="2"/>
      <c r="W27" s="2"/>
      <c r="X27" s="2"/>
      <c r="Y27" s="2"/>
      <c r="Z27" s="2"/>
      <c r="AA27" s="2"/>
      <c r="AB27" s="2"/>
      <c r="AC27" s="204"/>
      <c r="AD27" s="1045"/>
      <c r="AE27" s="1045"/>
      <c r="AF27" s="1045"/>
      <c r="AG27" s="1045"/>
      <c r="AH27" s="1045"/>
      <c r="AI27" s="1045"/>
      <c r="AJ27" s="1045"/>
      <c r="AK27" s="1045"/>
      <c r="AL27" s="1045"/>
      <c r="AM27" s="1045"/>
      <c r="AN27" s="1045"/>
      <c r="AO27" s="1045"/>
      <c r="AP27" s="1045"/>
      <c r="AQ27" s="1045"/>
      <c r="AR27" s="1045"/>
      <c r="AS27" s="923">
        <f t="shared" ref="AS27:AX27" si="24">AS18+AS24</f>
        <v>54751.404913837687</v>
      </c>
      <c r="AT27" s="923">
        <f t="shared" si="24"/>
        <v>49587.197306944705</v>
      </c>
      <c r="AU27" s="923">
        <f t="shared" si="24"/>
        <v>59332.053091500282</v>
      </c>
      <c r="AV27" s="923">
        <f t="shared" si="24"/>
        <v>63994.8573388203</v>
      </c>
      <c r="AW27" s="923">
        <f t="shared" si="24"/>
        <v>67012.925925925927</v>
      </c>
      <c r="AX27" s="923">
        <f t="shared" si="24"/>
        <v>69437</v>
      </c>
      <c r="AY27" s="923">
        <f t="shared" ref="AY27:AZ27" si="25">AY18+AY24</f>
        <v>73667.693412970402</v>
      </c>
      <c r="AZ27" s="923">
        <f t="shared" si="25"/>
        <v>75832.950023859012</v>
      </c>
      <c r="BA27" s="923">
        <f t="shared" ref="BA27" si="26">BA18+BA24</f>
        <v>78149.216119698947</v>
      </c>
      <c r="BB27" s="204"/>
      <c r="BC27" s="1046" t="s">
        <v>1388</v>
      </c>
      <c r="BD27" s="1046" t="s">
        <v>1389</v>
      </c>
      <c r="BE27" s="1046" t="s">
        <v>1390</v>
      </c>
      <c r="BF27" s="1046" t="s">
        <v>1391</v>
      </c>
      <c r="BG27" s="1046" t="s">
        <v>1392</v>
      </c>
      <c r="BH27" s="1046" t="s">
        <v>1393</v>
      </c>
      <c r="BI27" s="1046" t="s">
        <v>1394</v>
      </c>
      <c r="BJ27" s="1046" t="s">
        <v>1395</v>
      </c>
      <c r="BK27" s="1046" t="s">
        <v>1396</v>
      </c>
      <c r="BL27" s="1046" t="s">
        <v>1397</v>
      </c>
      <c r="BM27" s="1046" t="s">
        <v>1398</v>
      </c>
      <c r="BN27" s="1046" t="s">
        <v>1399</v>
      </c>
      <c r="BO27" s="1046" t="s">
        <v>1400</v>
      </c>
      <c r="BP27" s="1046" t="s">
        <v>1401</v>
      </c>
      <c r="BQ27" s="1046" t="s">
        <v>1402</v>
      </c>
      <c r="BR27" s="1047">
        <f t="shared" ref="BR27:BW27" si="27">BR18+BR24</f>
        <v>4.602892384517669</v>
      </c>
      <c r="BS27" s="1047">
        <f t="shared" si="27"/>
        <v>4.1697945935876817</v>
      </c>
      <c r="BT27" s="1047">
        <f t="shared" si="27"/>
        <v>5.0435271244049877</v>
      </c>
      <c r="BU27" s="1047">
        <f t="shared" si="27"/>
        <v>5.5387621030656318</v>
      </c>
      <c r="BV27" s="1047">
        <f t="shared" si="27"/>
        <v>5.8004783109085025</v>
      </c>
      <c r="BW27" s="1047">
        <f t="shared" si="27"/>
        <v>6.0254251995834771</v>
      </c>
      <c r="BX27" s="1047">
        <f t="shared" ref="BX27:BY27" si="28">BX18+BX24</f>
        <v>6.5453885341469409</v>
      </c>
      <c r="BY27" s="1047">
        <f t="shared" si="28"/>
        <v>6.7377719947630803</v>
      </c>
      <c r="BZ27" s="1047">
        <f t="shared" ref="BZ27" si="29">BZ18+BZ24</f>
        <v>6.9435726767629173</v>
      </c>
    </row>
    <row r="28" spans="1:80">
      <c r="A28" s="55"/>
      <c r="B28" s="55" t="s">
        <v>693</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1048"/>
      <c r="AE28" s="1048"/>
      <c r="AF28" s="1048"/>
      <c r="AG28" s="1048"/>
      <c r="AH28" s="1048"/>
      <c r="AI28" s="1048"/>
      <c r="AJ28" s="1048"/>
      <c r="AK28" s="1048"/>
      <c r="AL28" s="1048"/>
      <c r="AM28" s="1048"/>
      <c r="AN28" s="1048"/>
      <c r="AO28" s="1048"/>
      <c r="AP28" s="1048"/>
      <c r="AQ28" s="1048"/>
      <c r="AR28" s="1048"/>
      <c r="AS28" s="465">
        <f>'Balance Sheet'!X33+'Balance Sheet'!X34+'Balance Sheet'!X42+'Balance Sheet'!X43-'Balance Sheet'!X20-'Balance Sheet'!X12</f>
        <v>14045</v>
      </c>
      <c r="AT28" s="465">
        <f>'Balance Sheet'!Y33+'Balance Sheet'!Y34+'Balance Sheet'!Y42+'Balance Sheet'!Y43-'Balance Sheet'!Y20-'Balance Sheet'!Y12</f>
        <v>13083</v>
      </c>
      <c r="AU28" s="465">
        <f>'Balance Sheet'!Z33+'Balance Sheet'!Z34+'Balance Sheet'!Z42+'Balance Sheet'!Z43-'Balance Sheet'!Z20-'Balance Sheet'!Z12</f>
        <v>10473</v>
      </c>
      <c r="AV28" s="465">
        <f>'Balance Sheet'!AA33+'Balance Sheet'!AA34+'Balance Sheet'!AA42+'Balance Sheet'!AA43-'Balance Sheet'!AA20-'Balance Sheet'!AA12</f>
        <v>12534</v>
      </c>
      <c r="AW28" s="465">
        <f>'Balance Sheet'!AB33+'Balance Sheet'!AB34+'Balance Sheet'!AB42+'Balance Sheet'!AB43-'Balance Sheet'!AB20-'Balance Sheet'!AB12</f>
        <v>14123</v>
      </c>
      <c r="AX28" s="465">
        <f>'Balance Sheet'!AC33+'Balance Sheet'!AC34+'Balance Sheet'!AC42+'Balance Sheet'!AC43-'Balance Sheet'!AC20-'Balance Sheet'!AC12</f>
        <v>14778</v>
      </c>
      <c r="AY28" s="465">
        <f>'Balance Sheet'!AD33+'Balance Sheet'!AD34+'Balance Sheet'!AD42+'Balance Sheet'!AD43-'Balance Sheet'!AD20-'Balance Sheet'!AD12</f>
        <v>15378</v>
      </c>
      <c r="AZ28" s="465">
        <f>'Balance Sheet'!AE33+'Balance Sheet'!AE34+'Balance Sheet'!AE42+'Balance Sheet'!AE43-'Balance Sheet'!AE20-'Balance Sheet'!AE12</f>
        <v>15978</v>
      </c>
      <c r="BA28" s="465">
        <f>'Balance Sheet'!AF33+'Balance Sheet'!AF34+'Balance Sheet'!AF42+'Balance Sheet'!AF43-'Balance Sheet'!AF20-'Balance Sheet'!AF12</f>
        <v>16578</v>
      </c>
      <c r="BB28" s="205"/>
      <c r="BC28" s="92">
        <f t="shared" ref="BC28:BL29" si="30">AD28/C$33</f>
        <v>0</v>
      </c>
      <c r="BD28" s="92">
        <f t="shared" si="30"/>
        <v>0</v>
      </c>
      <c r="BE28" s="92">
        <f t="shared" si="30"/>
        <v>0</v>
      </c>
      <c r="BF28" s="92">
        <f t="shared" si="30"/>
        <v>0</v>
      </c>
      <c r="BG28" s="92">
        <f t="shared" si="30"/>
        <v>0</v>
      </c>
      <c r="BH28" s="92">
        <f t="shared" si="30"/>
        <v>0</v>
      </c>
      <c r="BI28" s="92">
        <f t="shared" si="30"/>
        <v>0</v>
      </c>
      <c r="BJ28" s="92">
        <f t="shared" si="30"/>
        <v>0</v>
      </c>
      <c r="BK28" s="92">
        <f t="shared" si="30"/>
        <v>0</v>
      </c>
      <c r="BL28" s="92">
        <f t="shared" si="30"/>
        <v>0</v>
      </c>
      <c r="BM28" s="92">
        <f t="shared" ref="BM28:BV29" si="31">AN28/M$33</f>
        <v>0</v>
      </c>
      <c r="BN28" s="92">
        <f t="shared" si="31"/>
        <v>0</v>
      </c>
      <c r="BO28" s="92">
        <f t="shared" si="31"/>
        <v>0</v>
      </c>
      <c r="BP28" s="92">
        <f t="shared" si="31"/>
        <v>0</v>
      </c>
      <c r="BQ28" s="92">
        <f t="shared" si="31"/>
        <v>0</v>
      </c>
      <c r="BR28" s="360">
        <f t="shared" si="31"/>
        <v>1.1807482135350988</v>
      </c>
      <c r="BS28" s="360">
        <f t="shared" si="31"/>
        <v>1.1001513622603432</v>
      </c>
      <c r="BT28" s="360">
        <f t="shared" si="31"/>
        <v>0.89025841550493034</v>
      </c>
      <c r="BU28" s="360">
        <f t="shared" si="31"/>
        <v>1.0848191102648432</v>
      </c>
      <c r="BV28" s="360">
        <f t="shared" si="31"/>
        <v>1.2224530424997837</v>
      </c>
      <c r="BW28" s="360">
        <f t="shared" ref="BW28:BZ29" si="32">AX28/W$33</f>
        <v>1.2823672335994447</v>
      </c>
      <c r="BX28" s="360">
        <f t="shared" si="32"/>
        <v>1.3663382171320937</v>
      </c>
      <c r="BY28" s="360">
        <f t="shared" si="32"/>
        <v>1.4196483309491865</v>
      </c>
      <c r="BZ28" s="360">
        <f t="shared" si="32"/>
        <v>1.4729584447662796</v>
      </c>
    </row>
    <row r="29" spans="1:80">
      <c r="A29" s="55"/>
      <c r="B29" s="55" t="s">
        <v>694</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1049"/>
      <c r="AE29" s="1049"/>
      <c r="AF29" s="1049"/>
      <c r="AG29" s="1049"/>
      <c r="AH29" s="1049"/>
      <c r="AI29" s="1049"/>
      <c r="AJ29" s="1049"/>
      <c r="AK29" s="1049"/>
      <c r="AL29" s="1049"/>
      <c r="AM29" s="1049"/>
      <c r="AN29" s="1049"/>
      <c r="AO29" s="1049"/>
      <c r="AP29" s="1049"/>
      <c r="AQ29" s="1049"/>
      <c r="AR29" s="1049"/>
      <c r="AS29" s="854">
        <f>'Balance Sheet'!X9</f>
        <v>499</v>
      </c>
      <c r="AT29" s="854">
        <f>'Balance Sheet'!Y9</f>
        <v>1125</v>
      </c>
      <c r="AU29" s="854">
        <f>'Balance Sheet'!Z9</f>
        <v>1040</v>
      </c>
      <c r="AV29" s="854">
        <f>'Balance Sheet'!AA9</f>
        <v>932</v>
      </c>
      <c r="AW29" s="854">
        <f>'Balance Sheet'!AB9</f>
        <v>1046</v>
      </c>
      <c r="AX29" s="854">
        <f>'Balance Sheet'!AC9</f>
        <v>1012</v>
      </c>
      <c r="AY29" s="854">
        <f>'Balance Sheet'!AD9</f>
        <v>632.96558696242846</v>
      </c>
      <c r="AZ29" s="854">
        <f>'Balance Sheet'!AE9</f>
        <v>883.79089773726491</v>
      </c>
      <c r="BA29" s="854">
        <f>'Balance Sheet'!AF9</f>
        <v>1395.5879761601977</v>
      </c>
      <c r="BB29" s="205"/>
      <c r="BC29" s="1042">
        <f t="shared" si="30"/>
        <v>0</v>
      </c>
      <c r="BD29" s="1042">
        <f t="shared" si="30"/>
        <v>0</v>
      </c>
      <c r="BE29" s="1042">
        <f t="shared" si="30"/>
        <v>0</v>
      </c>
      <c r="BF29" s="1042">
        <f t="shared" si="30"/>
        <v>0</v>
      </c>
      <c r="BG29" s="1042">
        <f t="shared" si="30"/>
        <v>0</v>
      </c>
      <c r="BH29" s="1042">
        <f t="shared" si="30"/>
        <v>0</v>
      </c>
      <c r="BI29" s="1042">
        <f t="shared" si="30"/>
        <v>0</v>
      </c>
      <c r="BJ29" s="1042">
        <f t="shared" si="30"/>
        <v>0</v>
      </c>
      <c r="BK29" s="1042">
        <f t="shared" si="30"/>
        <v>0</v>
      </c>
      <c r="BL29" s="1042">
        <f t="shared" si="30"/>
        <v>0</v>
      </c>
      <c r="BM29" s="1042">
        <f t="shared" si="31"/>
        <v>0</v>
      </c>
      <c r="BN29" s="1042">
        <f t="shared" si="31"/>
        <v>0</v>
      </c>
      <c r="BO29" s="1042">
        <f t="shared" si="31"/>
        <v>0</v>
      </c>
      <c r="BP29" s="1042">
        <f t="shared" si="31"/>
        <v>0</v>
      </c>
      <c r="BQ29" s="1042">
        <f t="shared" si="31"/>
        <v>0</v>
      </c>
      <c r="BR29" s="1043">
        <f t="shared" si="31"/>
        <v>4.1950399327448505E-2</v>
      </c>
      <c r="BS29" s="1043">
        <f t="shared" si="31"/>
        <v>9.4601412714429872E-2</v>
      </c>
      <c r="BT29" s="1043">
        <f t="shared" si="31"/>
        <v>8.840530431825909E-2</v>
      </c>
      <c r="BU29" s="1043">
        <f t="shared" si="31"/>
        <v>8.0664704864116324E-2</v>
      </c>
      <c r="BV29" s="1043">
        <f t="shared" si="31"/>
        <v>9.0539253873452782E-2</v>
      </c>
      <c r="BW29" s="1043">
        <f t="shared" si="32"/>
        <v>8.781673030197848E-2</v>
      </c>
      <c r="BX29" s="1043">
        <f t="shared" si="32"/>
        <v>5.6239112472116902E-2</v>
      </c>
      <c r="BY29" s="1043">
        <f t="shared" si="32"/>
        <v>7.8524988914807317E-2</v>
      </c>
      <c r="BZ29" s="1043">
        <f t="shared" si="32"/>
        <v>0.12399825641811102</v>
      </c>
    </row>
    <row r="30" spans="1:80">
      <c r="A30" s="55"/>
      <c r="B30" s="6" t="s">
        <v>673</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04"/>
      <c r="AE30" s="204"/>
      <c r="AF30" s="204"/>
      <c r="AG30" s="204"/>
      <c r="AH30" s="204"/>
      <c r="AI30" s="204"/>
      <c r="AJ30" s="204"/>
      <c r="AK30" s="204"/>
      <c r="AL30" s="204"/>
      <c r="AM30" s="204"/>
      <c r="AN30" s="204"/>
      <c r="AO30" s="204"/>
      <c r="AP30" s="204"/>
      <c r="AQ30" s="204"/>
      <c r="AR30" s="204"/>
      <c r="AS30" s="259">
        <f t="shared" ref="AS30:AX30" si="33">AS27-AS28+AS29</f>
        <v>41205.404913837687</v>
      </c>
      <c r="AT30" s="259">
        <f t="shared" si="33"/>
        <v>37629.197306944705</v>
      </c>
      <c r="AU30" s="259">
        <f t="shared" si="33"/>
        <v>49899.053091500282</v>
      </c>
      <c r="AV30" s="259">
        <f t="shared" si="33"/>
        <v>52392.8573388203</v>
      </c>
      <c r="AW30" s="259">
        <f t="shared" si="33"/>
        <v>53935.925925925927</v>
      </c>
      <c r="AX30" s="259">
        <f t="shared" si="33"/>
        <v>55671</v>
      </c>
      <c r="AY30" s="259">
        <f t="shared" ref="AY30:AZ30" si="34">AY27-AY28+AY29</f>
        <v>58922.658999932828</v>
      </c>
      <c r="AZ30" s="259">
        <f t="shared" si="34"/>
        <v>60738.740921596276</v>
      </c>
      <c r="BA30" s="259">
        <f t="shared" ref="BA30" si="35">BA27-BA28+BA29</f>
        <v>62966.804095859145</v>
      </c>
      <c r="BB30" s="204"/>
      <c r="BC30" s="1036" t="e">
        <f t="shared" ref="BC30:BQ30" si="36">BC27-BC28+BC29</f>
        <v>#VALUE!</v>
      </c>
      <c r="BD30" s="1036" t="e">
        <f t="shared" si="36"/>
        <v>#VALUE!</v>
      </c>
      <c r="BE30" s="1036" t="e">
        <f t="shared" si="36"/>
        <v>#VALUE!</v>
      </c>
      <c r="BF30" s="1036" t="e">
        <f t="shared" si="36"/>
        <v>#VALUE!</v>
      </c>
      <c r="BG30" s="1036" t="e">
        <f t="shared" si="36"/>
        <v>#VALUE!</v>
      </c>
      <c r="BH30" s="1036" t="e">
        <f t="shared" si="36"/>
        <v>#VALUE!</v>
      </c>
      <c r="BI30" s="1036" t="e">
        <f t="shared" si="36"/>
        <v>#VALUE!</v>
      </c>
      <c r="BJ30" s="1036" t="e">
        <f t="shared" si="36"/>
        <v>#VALUE!</v>
      </c>
      <c r="BK30" s="1036" t="e">
        <f t="shared" si="36"/>
        <v>#VALUE!</v>
      </c>
      <c r="BL30" s="1036" t="e">
        <f t="shared" si="36"/>
        <v>#VALUE!</v>
      </c>
      <c r="BM30" s="1036" t="e">
        <f t="shared" si="36"/>
        <v>#VALUE!</v>
      </c>
      <c r="BN30" s="1036" t="e">
        <f t="shared" si="36"/>
        <v>#VALUE!</v>
      </c>
      <c r="BO30" s="1036" t="e">
        <f t="shared" si="36"/>
        <v>#VALUE!</v>
      </c>
      <c r="BP30" s="1036" t="e">
        <f t="shared" si="36"/>
        <v>#VALUE!</v>
      </c>
      <c r="BQ30" s="1036" t="e">
        <f t="shared" si="36"/>
        <v>#VALUE!</v>
      </c>
      <c r="BR30" s="949">
        <f t="shared" ref="BR30:BW30" si="37">BR27-BR28+BR29</f>
        <v>3.4640945703100186</v>
      </c>
      <c r="BS30" s="949">
        <f t="shared" si="37"/>
        <v>3.1642446440417684</v>
      </c>
      <c r="BT30" s="949">
        <f t="shared" si="37"/>
        <v>4.2416740132183168</v>
      </c>
      <c r="BU30" s="949">
        <f t="shared" si="37"/>
        <v>4.5346076976649048</v>
      </c>
      <c r="BV30" s="949">
        <f t="shared" si="37"/>
        <v>4.6685645222821712</v>
      </c>
      <c r="BW30" s="949">
        <f t="shared" si="37"/>
        <v>4.8308746962860107</v>
      </c>
      <c r="BX30" s="949">
        <f t="shared" ref="BX30:BY30" si="38">BX27-BX28+BX29</f>
        <v>5.2352894294869641</v>
      </c>
      <c r="BY30" s="949">
        <f t="shared" si="38"/>
        <v>5.3966486527287012</v>
      </c>
      <c r="BZ30" s="949">
        <f t="shared" ref="BZ30" si="39">BZ27-BZ28+BZ29</f>
        <v>5.5946124884147492</v>
      </c>
    </row>
    <row r="31" spans="1:80">
      <c r="A31" s="2"/>
      <c r="B31" s="6"/>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05"/>
      <c r="AE31" s="205"/>
      <c r="AF31" s="205"/>
      <c r="AG31" s="205"/>
      <c r="AH31" s="205"/>
      <c r="AI31" s="205"/>
      <c r="AJ31" s="205"/>
      <c r="AK31" s="205"/>
      <c r="AL31" s="205"/>
      <c r="AM31" s="205"/>
      <c r="AN31" s="205"/>
      <c r="AO31" s="205"/>
      <c r="AP31" s="205"/>
      <c r="AQ31" s="205"/>
      <c r="AR31" s="205"/>
      <c r="AS31" s="205"/>
      <c r="AT31" s="205"/>
      <c r="AU31" s="205"/>
      <c r="AV31" s="205"/>
      <c r="AW31" s="205"/>
      <c r="AX31" s="205"/>
      <c r="AY31" s="205"/>
      <c r="AZ31" s="205"/>
      <c r="BA31" s="205"/>
      <c r="BB31" s="205"/>
      <c r="BC31" s="2"/>
      <c r="BD31" s="2"/>
      <c r="BE31" s="2"/>
      <c r="BF31" s="2"/>
      <c r="BG31" s="2"/>
      <c r="BH31" s="80"/>
      <c r="BI31" s="2"/>
      <c r="BJ31" s="2"/>
      <c r="BK31" s="2"/>
      <c r="BL31" s="2"/>
      <c r="BM31" s="2"/>
      <c r="BN31" s="2"/>
      <c r="BO31" s="2"/>
      <c r="BP31" s="2"/>
      <c r="BQ31" s="2"/>
      <c r="BR31" s="2"/>
      <c r="BS31" s="2"/>
      <c r="BT31" s="2"/>
      <c r="BU31" s="2"/>
      <c r="BV31" s="2"/>
      <c r="BW31" s="2"/>
      <c r="BX31" s="2"/>
      <c r="BY31" s="2"/>
      <c r="BZ31" s="2"/>
    </row>
    <row r="32" spans="1:80">
      <c r="A32" s="2"/>
      <c r="B32" s="122"/>
      <c r="C32" s="721"/>
      <c r="D32" s="721"/>
      <c r="E32" s="721"/>
      <c r="F32" s="721"/>
      <c r="G32" s="721"/>
      <c r="H32" s="721"/>
      <c r="I32" s="721"/>
      <c r="J32" s="721"/>
      <c r="K32" s="721"/>
      <c r="L32" s="721"/>
      <c r="M32" s="721"/>
      <c r="N32" s="721"/>
      <c r="O32" s="721"/>
      <c r="P32" s="721"/>
      <c r="Q32" s="721"/>
      <c r="R32" s="721"/>
      <c r="S32" s="721"/>
      <c r="T32" s="721"/>
      <c r="U32" s="721"/>
      <c r="V32" s="721"/>
      <c r="W32" s="721"/>
      <c r="X32" s="721"/>
      <c r="Y32" s="721"/>
      <c r="Z32" s="721"/>
      <c r="AA32" s="721"/>
      <c r="AB32" s="721"/>
      <c r="AC32" s="721"/>
      <c r="AD32" s="721"/>
      <c r="AE32" s="721"/>
      <c r="AF32" s="721"/>
      <c r="AG32" s="721"/>
      <c r="AH32" s="721"/>
      <c r="AI32" s="721"/>
      <c r="AJ32" s="721"/>
      <c r="AK32" s="721"/>
      <c r="AL32" s="721"/>
      <c r="AM32" s="721"/>
      <c r="AN32" s="721"/>
      <c r="AO32" s="721"/>
      <c r="AP32" s="721"/>
      <c r="AQ32" s="721"/>
      <c r="AR32" s="721"/>
      <c r="AS32" s="721"/>
      <c r="AT32" s="721"/>
      <c r="AU32" s="721"/>
      <c r="AV32" s="721"/>
      <c r="AW32" s="721"/>
      <c r="AX32" s="721"/>
      <c r="AY32" s="721"/>
      <c r="AZ32" s="721"/>
      <c r="BA32" s="721"/>
      <c r="BB32" s="721"/>
      <c r="BC32" s="721"/>
      <c r="BD32" s="721"/>
      <c r="BE32" s="721"/>
      <c r="BF32" s="721"/>
      <c r="BG32" s="721"/>
      <c r="BH32" s="721"/>
      <c r="BI32" s="721"/>
      <c r="BJ32" s="721"/>
      <c r="BK32" s="721"/>
      <c r="BL32" s="721"/>
      <c r="BM32" s="721"/>
      <c r="BN32" s="721"/>
      <c r="BO32" s="721"/>
      <c r="BP32" s="721"/>
      <c r="BQ32" s="721"/>
      <c r="BR32" s="721"/>
      <c r="BS32" s="721"/>
      <c r="BT32" s="721"/>
      <c r="BU32" s="721"/>
      <c r="BV32" s="721"/>
      <c r="BW32" s="721"/>
      <c r="BX32" s="721"/>
      <c r="BY32" s="721"/>
      <c r="BZ32" s="1050"/>
    </row>
    <row r="33" spans="1:86">
      <c r="A33" s="2"/>
      <c r="B33" s="1051" t="s">
        <v>476</v>
      </c>
      <c r="C33" s="1052">
        <f>'P&amp;L'!I100</f>
        <v>12513</v>
      </c>
      <c r="D33" s="1052">
        <f>'P&amp;L'!J100</f>
        <v>12366</v>
      </c>
      <c r="E33" s="1052">
        <f>'P&amp;L'!K100</f>
        <v>12375</v>
      </c>
      <c r="F33" s="1052">
        <f>'P&amp;L'!L100</f>
        <v>12365</v>
      </c>
      <c r="G33" s="1052">
        <f>'P&amp;L'!M100</f>
        <v>12368</v>
      </c>
      <c r="H33" s="1052">
        <f>'P&amp;L'!N100</f>
        <v>12373</v>
      </c>
      <c r="I33" s="1052">
        <f>'P&amp;L'!O100</f>
        <v>12382</v>
      </c>
      <c r="J33" s="1052">
        <f>'P&amp;L'!P100</f>
        <v>12398</v>
      </c>
      <c r="K33" s="1052">
        <f>'P&amp;L'!Q100</f>
        <v>12406</v>
      </c>
      <c r="L33" s="1052">
        <f>'P&amp;L'!R101</f>
        <v>12445</v>
      </c>
      <c r="M33" s="1052">
        <f>'P&amp;L'!S101</f>
        <v>12280</v>
      </c>
      <c r="N33" s="1052">
        <f>'P&amp;L'!T101</f>
        <v>12216</v>
      </c>
      <c r="O33" s="1052">
        <f>'P&amp;L'!U101</f>
        <v>11979</v>
      </c>
      <c r="P33" s="1052">
        <f>'P&amp;L'!V101</f>
        <v>11884</v>
      </c>
      <c r="Q33" s="1052">
        <f>'P&amp;L'!W101</f>
        <v>11900</v>
      </c>
      <c r="R33" s="1053">
        <f>'P&amp;L'!X101</f>
        <v>11895</v>
      </c>
      <c r="S33" s="1053">
        <f>'P&amp;L'!Y101</f>
        <v>11892</v>
      </c>
      <c r="T33" s="1053">
        <f>'P&amp;L'!Z101</f>
        <v>11764</v>
      </c>
      <c r="U33" s="1053">
        <f>'P&amp;L'!AA101</f>
        <v>11554</v>
      </c>
      <c r="V33" s="1053">
        <f>'P&amp;L'!AB101</f>
        <v>11553</v>
      </c>
      <c r="W33" s="1053">
        <f>'P&amp;L'!AC101</f>
        <v>11524</v>
      </c>
      <c r="X33" s="1053">
        <f>'P&amp;L'!AD101</f>
        <v>11254.9</v>
      </c>
      <c r="Y33" s="1053">
        <f>'P&amp;L'!AE101</f>
        <v>11254.9</v>
      </c>
      <c r="Z33" s="1053">
        <f>'P&amp;L'!AF101</f>
        <v>11254.9</v>
      </c>
      <c r="AA33" s="1054"/>
      <c r="AB33" s="1054"/>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1055" t="e">
        <f t="shared" ref="BC33:BN33" si="40">BC30</f>
        <v>#VALUE!</v>
      </c>
      <c r="BD33" s="1055" t="e">
        <f t="shared" si="40"/>
        <v>#VALUE!</v>
      </c>
      <c r="BE33" s="1055" t="e">
        <f t="shared" si="40"/>
        <v>#VALUE!</v>
      </c>
      <c r="BF33" s="1055" t="e">
        <f t="shared" si="40"/>
        <v>#VALUE!</v>
      </c>
      <c r="BG33" s="1055" t="e">
        <f t="shared" si="40"/>
        <v>#VALUE!</v>
      </c>
      <c r="BH33" s="1055" t="e">
        <f t="shared" si="40"/>
        <v>#VALUE!</v>
      </c>
      <c r="BI33" s="1055" t="e">
        <f t="shared" si="40"/>
        <v>#VALUE!</v>
      </c>
      <c r="BJ33" s="1055" t="e">
        <f t="shared" si="40"/>
        <v>#VALUE!</v>
      </c>
      <c r="BK33" s="1055" t="e">
        <f t="shared" si="40"/>
        <v>#VALUE!</v>
      </c>
      <c r="BL33" s="1055" t="e">
        <f t="shared" si="40"/>
        <v>#VALUE!</v>
      </c>
      <c r="BM33" s="701" t="e">
        <f t="shared" si="40"/>
        <v>#VALUE!</v>
      </c>
      <c r="BN33" s="701" t="e">
        <f t="shared" si="40"/>
        <v>#VALUE!</v>
      </c>
      <c r="BO33" s="701" t="e">
        <f t="shared" ref="BO33:BU33" si="41">BO30</f>
        <v>#VALUE!</v>
      </c>
      <c r="BP33" s="701" t="e">
        <f t="shared" si="41"/>
        <v>#VALUE!</v>
      </c>
      <c r="BQ33" s="701" t="e">
        <f t="shared" si="41"/>
        <v>#VALUE!</v>
      </c>
      <c r="BR33" s="701">
        <f t="shared" si="41"/>
        <v>3.4640945703100186</v>
      </c>
      <c r="BS33" s="701">
        <f t="shared" si="41"/>
        <v>3.1642446440417684</v>
      </c>
      <c r="BT33" s="701">
        <f t="shared" si="41"/>
        <v>4.2416740132183168</v>
      </c>
      <c r="BU33" s="701">
        <f t="shared" si="41"/>
        <v>4.5346076976649048</v>
      </c>
      <c r="BV33" s="701">
        <f>BV30</f>
        <v>4.6685645222821712</v>
      </c>
      <c r="BW33" s="701">
        <f>BW30</f>
        <v>4.8308746962860107</v>
      </c>
      <c r="BX33" s="701">
        <f>BX30</f>
        <v>5.2352894294869641</v>
      </c>
      <c r="BY33" s="701">
        <f>BY30</f>
        <v>5.3966486527287012</v>
      </c>
      <c r="BZ33" s="1146">
        <f>BZ30</f>
        <v>5.5946124884147492</v>
      </c>
    </row>
    <row r="34" spans="1:86">
      <c r="A34" s="2"/>
      <c r="B34" s="1056"/>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1057"/>
      <c r="AE34" s="1057"/>
      <c r="AF34" s="1057"/>
      <c r="AG34" s="1057"/>
      <c r="AH34" s="1057"/>
      <c r="AI34" s="1057"/>
      <c r="AJ34" s="1057"/>
      <c r="AK34" s="1057"/>
      <c r="AL34" s="1057"/>
      <c r="AM34" s="1057"/>
      <c r="AN34" s="1057"/>
      <c r="AO34" s="1057"/>
      <c r="AP34" s="1057"/>
      <c r="AQ34" s="1057"/>
      <c r="AR34" s="1057"/>
      <c r="AS34" s="1057"/>
      <c r="AT34" s="1057"/>
      <c r="AU34" s="1057"/>
      <c r="AV34" s="1057"/>
      <c r="AW34" s="1057"/>
      <c r="AX34" s="1057"/>
      <c r="AY34" s="1057"/>
      <c r="AZ34" s="1057"/>
      <c r="BA34" s="1057"/>
      <c r="BB34" s="1057"/>
      <c r="BC34" s="1042"/>
      <c r="BD34" s="1042"/>
      <c r="BE34" s="1042"/>
      <c r="BF34" s="1042"/>
      <c r="BG34" s="1042"/>
      <c r="BH34" s="1042"/>
      <c r="BI34" s="1042"/>
      <c r="BJ34" s="1042"/>
      <c r="BK34" s="1042"/>
      <c r="BL34" s="1042"/>
      <c r="BM34" s="1042"/>
      <c r="BN34" s="1042"/>
      <c r="BO34" s="1042"/>
      <c r="BP34" s="1042"/>
      <c r="BQ34" s="1042"/>
      <c r="BR34" s="1042"/>
      <c r="BS34" s="1042"/>
      <c r="BT34" s="1042"/>
      <c r="BU34" s="1042"/>
      <c r="BV34" s="1042"/>
      <c r="BW34" s="1042"/>
      <c r="BX34" s="1042"/>
      <c r="BY34" s="1042"/>
      <c r="BZ34" s="1058"/>
    </row>
    <row r="35" spans="1:86">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1059"/>
      <c r="AE35" s="1059"/>
      <c r="AF35" s="1059"/>
      <c r="AG35" s="1059"/>
      <c r="AH35" s="1059"/>
      <c r="AI35" s="1059"/>
      <c r="AJ35" s="1059"/>
      <c r="AK35" s="1059"/>
      <c r="AL35" s="1059"/>
      <c r="AM35" s="1059"/>
      <c r="AN35" s="1059"/>
      <c r="AO35" s="1059"/>
      <c r="AP35" s="1059"/>
      <c r="AQ35" s="1059"/>
      <c r="AR35" s="1059"/>
      <c r="AS35" s="1059"/>
      <c r="AT35" s="1059"/>
      <c r="AU35" s="1059"/>
      <c r="AV35" s="1059"/>
      <c r="AW35" s="1059"/>
      <c r="AX35" s="1059"/>
      <c r="AY35" s="1059"/>
      <c r="AZ35" s="1059"/>
      <c r="BA35" s="1059"/>
      <c r="BB35" s="1059"/>
      <c r="BC35" s="2"/>
      <c r="BD35" s="2"/>
      <c r="BE35" s="2"/>
      <c r="BF35" s="2"/>
      <c r="BG35" s="2"/>
      <c r="BH35" s="2"/>
      <c r="BI35" s="2"/>
      <c r="BJ35" s="2"/>
      <c r="BK35" s="2"/>
      <c r="BL35" s="2"/>
      <c r="BM35" s="2"/>
      <c r="BN35" s="2"/>
      <c r="BO35" s="2"/>
      <c r="BP35" s="2"/>
      <c r="BQ35" s="2"/>
      <c r="BR35" s="2"/>
      <c r="BS35" s="2"/>
      <c r="BT35" s="2"/>
      <c r="BU35" s="2"/>
      <c r="BV35" s="2"/>
      <c r="BW35" s="2"/>
      <c r="BX35" s="2"/>
      <c r="BY35" s="2"/>
      <c r="BZ35" s="2"/>
    </row>
    <row r="36" spans="1:86">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1059"/>
      <c r="AE36" s="1059"/>
      <c r="AF36" s="1059"/>
      <c r="AG36" s="1059"/>
      <c r="AH36" s="1059"/>
      <c r="AI36" s="1059"/>
      <c r="AJ36" s="1059"/>
      <c r="AK36" s="1059"/>
      <c r="AL36" s="1059"/>
      <c r="AM36" s="1059"/>
      <c r="AN36" s="1059"/>
      <c r="AO36" s="1059"/>
      <c r="AP36" s="1059"/>
      <c r="AQ36" s="1059"/>
      <c r="AR36" s="1059"/>
      <c r="AS36" s="1059"/>
      <c r="AT36" s="1059"/>
      <c r="AU36" s="1059"/>
      <c r="AV36" s="1059"/>
      <c r="AW36" s="1059"/>
      <c r="AX36" s="1059"/>
      <c r="AY36" s="1059"/>
      <c r="AZ36" s="1059"/>
      <c r="BA36" s="1059"/>
      <c r="BB36" s="1059"/>
      <c r="BC36" s="2"/>
      <c r="BD36" s="2"/>
      <c r="BE36" s="2"/>
      <c r="BF36" s="2"/>
      <c r="BG36" s="2"/>
      <c r="BH36" s="2"/>
      <c r="BI36" s="2"/>
      <c r="BJ36" s="2"/>
      <c r="BK36" s="2"/>
      <c r="BL36" s="2"/>
      <c r="BM36" s="2"/>
      <c r="BN36" s="2"/>
      <c r="BO36" s="2"/>
      <c r="BP36" s="2"/>
      <c r="BQ36" s="2"/>
      <c r="BR36" s="2"/>
      <c r="BS36" s="2"/>
      <c r="BT36" s="2"/>
      <c r="BU36" s="2"/>
      <c r="BV36" s="2"/>
      <c r="BW36" s="2"/>
      <c r="BX36" s="2"/>
      <c r="BY36" s="2"/>
      <c r="BZ36" s="2"/>
      <c r="CH36" s="1164"/>
    </row>
    <row r="37" spans="1:86">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6"/>
      <c r="AE37" s="6"/>
      <c r="AF37" s="6"/>
      <c r="AG37" s="6"/>
      <c r="AH37" s="6"/>
      <c r="AI37" s="6"/>
      <c r="AJ37" s="6"/>
      <c r="AK37" s="6"/>
      <c r="AL37" s="6"/>
      <c r="AM37" s="6"/>
      <c r="AN37" s="6"/>
      <c r="AO37" s="6"/>
      <c r="AP37" s="6"/>
      <c r="AQ37" s="6"/>
      <c r="AR37" s="6"/>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379" t="s">
        <v>1203</v>
      </c>
      <c r="BS37" s="1135" t="s">
        <v>1431</v>
      </c>
      <c r="BT37" s="379"/>
      <c r="BU37" s="379"/>
      <c r="BV37" s="379"/>
      <c r="BW37" s="379"/>
      <c r="BX37" s="379"/>
      <c r="BY37" s="379"/>
      <c r="BZ37" s="379"/>
    </row>
    <row r="38" spans="1:86" ht="18.75" customHeight="1">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18"/>
      <c r="AE38" s="2"/>
      <c r="AF38" s="2"/>
      <c r="AG38" s="2"/>
      <c r="AH38" s="2"/>
      <c r="AI38" s="18"/>
      <c r="AJ38" s="2"/>
      <c r="AK38" s="2"/>
      <c r="AL38" s="2"/>
      <c r="AM38" s="18"/>
      <c r="AN38" s="2"/>
      <c r="AO38" s="2"/>
      <c r="AP38" s="2"/>
      <c r="AQ38" s="2"/>
      <c r="AR38" s="18"/>
      <c r="AS38" s="1060"/>
      <c r="AT38" s="1060"/>
      <c r="AU38" s="1060"/>
      <c r="AV38" s="1060"/>
      <c r="AW38" s="1060"/>
      <c r="AX38" s="1060"/>
      <c r="AY38" s="1060"/>
      <c r="AZ38" s="1060"/>
      <c r="BA38" s="1060"/>
      <c r="BB38" s="1060"/>
      <c r="BC38" s="1060" t="str">
        <f t="shared" ref="BC38:BH38" si="42">BC8</f>
        <v>F2005</v>
      </c>
      <c r="BD38" s="1060" t="str">
        <f t="shared" si="42"/>
        <v>F2006</v>
      </c>
      <c r="BE38" s="1060" t="str">
        <f t="shared" si="42"/>
        <v>F2007</v>
      </c>
      <c r="BF38" s="1060" t="str">
        <f t="shared" si="42"/>
        <v>F2008</v>
      </c>
      <c r="BG38" s="1060" t="str">
        <f t="shared" si="42"/>
        <v>F2009</v>
      </c>
      <c r="BH38" s="1060" t="str">
        <f t="shared" si="42"/>
        <v>F2010</v>
      </c>
      <c r="BI38" s="1031" t="s">
        <v>191</v>
      </c>
      <c r="BJ38" s="1031" t="str">
        <f t="shared" ref="BJ38:BU38" si="43">BJ8</f>
        <v>F2012</v>
      </c>
      <c r="BK38" s="1031" t="str">
        <f t="shared" si="43"/>
        <v>F2013</v>
      </c>
      <c r="BL38" s="1031" t="str">
        <f t="shared" si="43"/>
        <v>F2014</v>
      </c>
      <c r="BM38" s="1031" t="str">
        <f t="shared" si="43"/>
        <v>F2015</v>
      </c>
      <c r="BN38" s="1031" t="str">
        <f t="shared" si="43"/>
        <v>F2016</v>
      </c>
      <c r="BO38" s="1031" t="str">
        <f t="shared" si="43"/>
        <v>F2017</v>
      </c>
      <c r="BP38" s="1031" t="str">
        <f t="shared" si="43"/>
        <v>FY18</v>
      </c>
      <c r="BQ38" s="1031" t="str">
        <f t="shared" si="43"/>
        <v>FY19</v>
      </c>
      <c r="BR38" s="1034" t="str">
        <f t="shared" si="43"/>
        <v>FY20</v>
      </c>
      <c r="BS38" s="1034" t="str">
        <f t="shared" si="43"/>
        <v>FY21</v>
      </c>
      <c r="BT38" s="1034" t="str">
        <f t="shared" si="43"/>
        <v>FY22</v>
      </c>
      <c r="BU38" s="1034" t="str">
        <f t="shared" si="43"/>
        <v>FY23</v>
      </c>
      <c r="BV38" s="1034" t="str">
        <f>BV8</f>
        <v>FY24</v>
      </c>
      <c r="BW38" s="1034" t="str">
        <f>BW8</f>
        <v>FY25</v>
      </c>
      <c r="BX38" s="1034" t="str">
        <f>BX8</f>
        <v>FY26E</v>
      </c>
      <c r="BY38" s="1034" t="str">
        <f>BY8</f>
        <v>FY27E</v>
      </c>
      <c r="BZ38" s="1034" t="str">
        <f>BZ8</f>
        <v>FY28E</v>
      </c>
    </row>
    <row r="39" spans="1:86">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1059"/>
      <c r="AE39" s="2"/>
      <c r="AF39" s="2"/>
      <c r="AG39" s="2"/>
      <c r="AH39" s="2"/>
      <c r="AI39" s="1059"/>
      <c r="AJ39" s="2"/>
      <c r="AK39" s="2"/>
      <c r="AL39" s="2"/>
      <c r="AM39" s="1059"/>
      <c r="AN39" s="2"/>
      <c r="AO39" s="2"/>
      <c r="AP39" s="2"/>
      <c r="AQ39" s="2"/>
      <c r="AR39" s="1059"/>
      <c r="AV39" s="2"/>
      <c r="AW39" s="2" t="s">
        <v>231</v>
      </c>
      <c r="AX39" s="1199"/>
      <c r="AY39" s="1214">
        <f>B4</f>
        <v>4.8499999999999996</v>
      </c>
      <c r="AZ39" s="1214"/>
      <c r="BA39" s="1206"/>
      <c r="BB39" s="18"/>
      <c r="BC39" s="205">
        <f t="shared" ref="BC39:BZ39" si="44">C33*$B$4</f>
        <v>60688.049999999996</v>
      </c>
      <c r="BD39" s="205">
        <f t="shared" si="44"/>
        <v>59975.1</v>
      </c>
      <c r="BE39" s="205">
        <f t="shared" si="44"/>
        <v>60018.749999999993</v>
      </c>
      <c r="BF39" s="205">
        <f t="shared" si="44"/>
        <v>59970.249999999993</v>
      </c>
      <c r="BG39" s="205">
        <f t="shared" si="44"/>
        <v>59984.799999999996</v>
      </c>
      <c r="BH39" s="205">
        <f t="shared" si="44"/>
        <v>60009.049999999996</v>
      </c>
      <c r="BI39" s="205">
        <f t="shared" si="44"/>
        <v>60052.7</v>
      </c>
      <c r="BJ39" s="205">
        <f t="shared" si="44"/>
        <v>60130.299999999996</v>
      </c>
      <c r="BK39" s="205">
        <f t="shared" si="44"/>
        <v>60169.1</v>
      </c>
      <c r="BL39" s="205">
        <f t="shared" si="44"/>
        <v>60358.249999999993</v>
      </c>
      <c r="BM39" s="205">
        <f t="shared" si="44"/>
        <v>59557.999999999993</v>
      </c>
      <c r="BN39" s="205">
        <f t="shared" si="44"/>
        <v>59247.6</v>
      </c>
      <c r="BO39" s="205">
        <f t="shared" si="44"/>
        <v>58098.149999999994</v>
      </c>
      <c r="BP39" s="205">
        <f t="shared" si="44"/>
        <v>57637.399999999994</v>
      </c>
      <c r="BQ39" s="205">
        <f t="shared" si="44"/>
        <v>57714.999999999993</v>
      </c>
      <c r="BR39" s="254">
        <f t="shared" si="44"/>
        <v>57690.749999999993</v>
      </c>
      <c r="BS39" s="254">
        <f t="shared" si="44"/>
        <v>57676.2</v>
      </c>
      <c r="BT39" s="254">
        <f t="shared" si="44"/>
        <v>57055.399999999994</v>
      </c>
      <c r="BU39" s="254">
        <f t="shared" si="44"/>
        <v>56036.899999999994</v>
      </c>
      <c r="BV39" s="254">
        <f t="shared" si="44"/>
        <v>56032.049999999996</v>
      </c>
      <c r="BW39" s="254">
        <f t="shared" si="44"/>
        <v>55891.399999999994</v>
      </c>
      <c r="BX39" s="254">
        <f t="shared" si="44"/>
        <v>54586.264999999992</v>
      </c>
      <c r="BY39" s="254">
        <f t="shared" si="44"/>
        <v>54586.264999999992</v>
      </c>
      <c r="BZ39" s="254">
        <f t="shared" si="44"/>
        <v>54586.264999999992</v>
      </c>
    </row>
    <row r="40" spans="1:86">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1059"/>
      <c r="AE40" s="2"/>
      <c r="AF40" s="2"/>
      <c r="AG40" s="2"/>
      <c r="AH40" s="2"/>
      <c r="AI40" s="1059"/>
      <c r="AJ40" s="2"/>
      <c r="AK40" s="2"/>
      <c r="AL40" s="2"/>
      <c r="AM40" s="1059"/>
      <c r="AN40" s="2"/>
      <c r="AO40" s="2"/>
      <c r="AP40" s="2"/>
      <c r="AQ40" s="2"/>
      <c r="AR40" s="1059"/>
      <c r="AV40" s="2"/>
      <c r="AW40" s="2" t="s">
        <v>346</v>
      </c>
      <c r="AX40" s="1059"/>
      <c r="AY40" s="1059"/>
      <c r="AZ40" s="1059"/>
      <c r="BA40" s="1059"/>
      <c r="BB40" s="1059"/>
      <c r="BC40" s="205">
        <f t="shared" ref="BC40:BZ40" si="45">AD28-AD29</f>
        <v>0</v>
      </c>
      <c r="BD40" s="205">
        <f t="shared" si="45"/>
        <v>0</v>
      </c>
      <c r="BE40" s="205">
        <f t="shared" si="45"/>
        <v>0</v>
      </c>
      <c r="BF40" s="205">
        <f t="shared" si="45"/>
        <v>0</v>
      </c>
      <c r="BG40" s="205">
        <f t="shared" si="45"/>
        <v>0</v>
      </c>
      <c r="BH40" s="205">
        <f t="shared" si="45"/>
        <v>0</v>
      </c>
      <c r="BI40" s="205">
        <f t="shared" si="45"/>
        <v>0</v>
      </c>
      <c r="BJ40" s="205">
        <f t="shared" si="45"/>
        <v>0</v>
      </c>
      <c r="BK40" s="205">
        <f t="shared" si="45"/>
        <v>0</v>
      </c>
      <c r="BL40" s="205">
        <f t="shared" si="45"/>
        <v>0</v>
      </c>
      <c r="BM40" s="205">
        <f t="shared" si="45"/>
        <v>0</v>
      </c>
      <c r="BN40" s="205">
        <f t="shared" si="45"/>
        <v>0</v>
      </c>
      <c r="BO40" s="205">
        <f t="shared" si="45"/>
        <v>0</v>
      </c>
      <c r="BP40" s="205">
        <f t="shared" si="45"/>
        <v>0</v>
      </c>
      <c r="BQ40" s="205">
        <f t="shared" si="45"/>
        <v>0</v>
      </c>
      <c r="BR40" s="254">
        <f t="shared" si="45"/>
        <v>13546</v>
      </c>
      <c r="BS40" s="254">
        <f t="shared" si="45"/>
        <v>11958</v>
      </c>
      <c r="BT40" s="254">
        <f t="shared" si="45"/>
        <v>9433</v>
      </c>
      <c r="BU40" s="254">
        <f t="shared" si="45"/>
        <v>11602</v>
      </c>
      <c r="BV40" s="254">
        <f t="shared" si="45"/>
        <v>13077</v>
      </c>
      <c r="BW40" s="254">
        <f t="shared" si="45"/>
        <v>13766</v>
      </c>
      <c r="BX40" s="254">
        <f t="shared" si="45"/>
        <v>14745.034413037571</v>
      </c>
      <c r="BY40" s="254">
        <f t="shared" si="45"/>
        <v>15094.209102262736</v>
      </c>
      <c r="BZ40" s="254">
        <f t="shared" si="45"/>
        <v>15182.412023839803</v>
      </c>
    </row>
    <row r="41" spans="1:86">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1059"/>
      <c r="AE41" s="2"/>
      <c r="AF41" s="2"/>
      <c r="AG41" s="2"/>
      <c r="AH41" s="2"/>
      <c r="AI41" s="1059"/>
      <c r="AJ41" s="2"/>
      <c r="AK41" s="2"/>
      <c r="AL41" s="2"/>
      <c r="AM41" s="1059"/>
      <c r="AN41" s="2"/>
      <c r="AO41" s="2"/>
      <c r="AP41" s="2"/>
      <c r="AQ41" s="2"/>
      <c r="AR41" s="1059"/>
      <c r="AV41" s="9"/>
      <c r="AW41" s="9" t="s">
        <v>232</v>
      </c>
      <c r="AX41" s="1061"/>
      <c r="AY41" s="1061"/>
      <c r="AZ41" s="1061"/>
      <c r="BA41" s="1061"/>
      <c r="BB41" s="1061"/>
      <c r="BC41" s="986">
        <f t="shared" ref="BC41:BO41" si="46">BC39+BC40</f>
        <v>60688.049999999996</v>
      </c>
      <c r="BD41" s="986">
        <f t="shared" si="46"/>
        <v>59975.1</v>
      </c>
      <c r="BE41" s="986">
        <f t="shared" si="46"/>
        <v>60018.749999999993</v>
      </c>
      <c r="BF41" s="986">
        <f t="shared" si="46"/>
        <v>59970.249999999993</v>
      </c>
      <c r="BG41" s="986">
        <f t="shared" si="46"/>
        <v>59984.799999999996</v>
      </c>
      <c r="BH41" s="986">
        <f t="shared" si="46"/>
        <v>60009.049999999996</v>
      </c>
      <c r="BI41" s="986">
        <f t="shared" si="46"/>
        <v>60052.7</v>
      </c>
      <c r="BJ41" s="986">
        <f t="shared" si="46"/>
        <v>60130.299999999996</v>
      </c>
      <c r="BK41" s="986">
        <f t="shared" si="46"/>
        <v>60169.1</v>
      </c>
      <c r="BL41" s="986">
        <f t="shared" si="46"/>
        <v>60358.249999999993</v>
      </c>
      <c r="BM41" s="986">
        <f t="shared" si="46"/>
        <v>59557.999999999993</v>
      </c>
      <c r="BN41" s="986">
        <f t="shared" si="46"/>
        <v>59247.6</v>
      </c>
      <c r="BO41" s="986">
        <f t="shared" si="46"/>
        <v>58098.149999999994</v>
      </c>
      <c r="BP41" s="986">
        <f t="shared" ref="BP41:BU41" si="47">BP39+BP40</f>
        <v>57637.399999999994</v>
      </c>
      <c r="BQ41" s="986">
        <f t="shared" si="47"/>
        <v>57714.999999999993</v>
      </c>
      <c r="BR41" s="404">
        <f t="shared" si="47"/>
        <v>71236.75</v>
      </c>
      <c r="BS41" s="404">
        <f t="shared" si="47"/>
        <v>69634.2</v>
      </c>
      <c r="BT41" s="404">
        <f t="shared" si="47"/>
        <v>66488.399999999994</v>
      </c>
      <c r="BU41" s="404">
        <f t="shared" si="47"/>
        <v>67638.899999999994</v>
      </c>
      <c r="BV41" s="404">
        <f>BV39+BV40</f>
        <v>69109.049999999988</v>
      </c>
      <c r="BW41" s="404">
        <f>BW39+BW40</f>
        <v>69657.399999999994</v>
      </c>
      <c r="BX41" s="404">
        <f>BX39+BX40</f>
        <v>69331.299413037559</v>
      </c>
      <c r="BY41" s="404">
        <f>BY39+BY40</f>
        <v>69680.474102262728</v>
      </c>
      <c r="BZ41" s="404">
        <f>BZ39+BZ40</f>
        <v>69768.677023839788</v>
      </c>
    </row>
    <row r="42" spans="1:86">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1059"/>
      <c r="AE42" s="2"/>
      <c r="AF42" s="2"/>
      <c r="AG42" s="2"/>
      <c r="AH42" s="2"/>
      <c r="AI42" s="1059"/>
      <c r="AJ42" s="2"/>
      <c r="AK42" s="2"/>
      <c r="AL42" s="2"/>
      <c r="AM42" s="1059"/>
      <c r="AN42" s="2"/>
      <c r="AO42" s="2"/>
      <c r="AP42" s="2"/>
      <c r="AQ42" s="2"/>
      <c r="AR42" s="1059"/>
      <c r="AV42" s="2"/>
      <c r="AW42" s="2" t="s">
        <v>734</v>
      </c>
      <c r="AX42" s="1059"/>
      <c r="AY42" s="1059"/>
      <c r="AZ42" s="1059"/>
      <c r="BA42" s="1059"/>
      <c r="BB42" s="1059"/>
      <c r="BC42" s="205"/>
      <c r="BD42" s="1048">
        <f>'P&amp;L'!J186</f>
        <v>9575</v>
      </c>
      <c r="BE42" s="1048">
        <f>'P&amp;L'!K186</f>
        <v>9860.9999999999982</v>
      </c>
      <c r="BF42" s="1048">
        <f>'P&amp;L'!L186</f>
        <v>10416</v>
      </c>
      <c r="BG42" s="1048">
        <f>'P&amp;L'!M186</f>
        <v>10948</v>
      </c>
      <c r="BH42" s="1048">
        <f>'P&amp;L'!N186</f>
        <v>10847</v>
      </c>
      <c r="BI42" s="1048">
        <f>'P&amp;L'!O186</f>
        <v>10151</v>
      </c>
      <c r="BJ42" s="1048">
        <f>'P&amp;L'!P186</f>
        <v>10320.817287899999</v>
      </c>
      <c r="BK42" s="1048">
        <f>'P&amp;L'!Q186</f>
        <v>10735.105465133809</v>
      </c>
      <c r="BL42" s="1048">
        <f>'P&amp;L'!R186</f>
        <v>11135</v>
      </c>
      <c r="BM42" s="1048">
        <f>'P&amp;L'!S186</f>
        <v>10533</v>
      </c>
      <c r="BN42" s="1048">
        <f>'P&amp;L'!T186</f>
        <v>10704.8976</v>
      </c>
      <c r="BO42" s="1048">
        <f>'P&amp;L'!U186</f>
        <v>10750.637000000001</v>
      </c>
      <c r="BP42" s="1048">
        <f>'P&amp;L'!V186</f>
        <v>10568</v>
      </c>
      <c r="BQ42" s="1048">
        <f>'P&amp;L'!W186</f>
        <v>9816</v>
      </c>
      <c r="BR42" s="254">
        <f t="shared" ref="BR42:BZ42" si="48">+R18</f>
        <v>8945</v>
      </c>
      <c r="BS42" s="254">
        <f t="shared" si="48"/>
        <v>7491</v>
      </c>
      <c r="BT42" s="254">
        <f t="shared" si="48"/>
        <v>7190</v>
      </c>
      <c r="BU42" s="254">
        <f t="shared" si="48"/>
        <v>7669</v>
      </c>
      <c r="BV42" s="254">
        <f t="shared" si="48"/>
        <v>7874</v>
      </c>
      <c r="BW42" s="254">
        <f t="shared" si="48"/>
        <v>8158</v>
      </c>
      <c r="BX42" s="254">
        <f t="shared" si="48"/>
        <v>8580.3524705260606</v>
      </c>
      <c r="BY42" s="254">
        <f t="shared" si="48"/>
        <v>8867.6083445247623</v>
      </c>
      <c r="BZ42" s="254">
        <f t="shared" si="48"/>
        <v>9176.7296004252148</v>
      </c>
    </row>
    <row r="43" spans="1:86">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1059"/>
      <c r="AE43" s="2"/>
      <c r="AF43" s="2"/>
      <c r="AG43" s="2"/>
      <c r="AH43" s="2"/>
      <c r="AI43" s="1059"/>
      <c r="AJ43" s="2"/>
      <c r="AK43" s="2"/>
      <c r="AL43" s="2"/>
      <c r="AM43" s="1059"/>
      <c r="AN43" s="2"/>
      <c r="AO43" s="2"/>
      <c r="AP43" s="2"/>
      <c r="AQ43" s="2"/>
      <c r="AR43" s="1059"/>
      <c r="AV43" s="1140"/>
      <c r="AW43" s="1140" t="s">
        <v>212</v>
      </c>
      <c r="AX43" s="1141"/>
      <c r="AY43" s="1141"/>
      <c r="AZ43" s="1141"/>
      <c r="BA43" s="1141"/>
      <c r="BB43" s="1141"/>
      <c r="BC43" s="1142"/>
      <c r="BD43" s="1142">
        <f t="shared" ref="BD43:BO43" si="49">BD41/BD42</f>
        <v>6.2637180156657966</v>
      </c>
      <c r="BE43" s="1142">
        <f t="shared" si="49"/>
        <v>6.0864770307271074</v>
      </c>
      <c r="BF43" s="1142">
        <f t="shared" si="49"/>
        <v>5.7575124807987708</v>
      </c>
      <c r="BG43" s="1142">
        <f t="shared" si="49"/>
        <v>5.4790646693459992</v>
      </c>
      <c r="BH43" s="1142">
        <f t="shared" si="49"/>
        <v>5.5323176915276111</v>
      </c>
      <c r="BI43" s="1142">
        <f t="shared" si="49"/>
        <v>5.9159393163235148</v>
      </c>
      <c r="BJ43" s="1142">
        <f t="shared" si="49"/>
        <v>5.8261180604849994</v>
      </c>
      <c r="BK43" s="1142">
        <f>BK41/BK42</f>
        <v>5.604891372089563</v>
      </c>
      <c r="BL43" s="1142">
        <f t="shared" si="49"/>
        <v>5.420588235294117</v>
      </c>
      <c r="BM43" s="1142">
        <f t="shared" si="49"/>
        <v>5.6544194436532793</v>
      </c>
      <c r="BN43" s="1142">
        <f>BN41/BN42</f>
        <v>5.5346255717569868</v>
      </c>
      <c r="BO43" s="1142">
        <f t="shared" si="49"/>
        <v>5.4041588419365283</v>
      </c>
      <c r="BP43" s="1142">
        <f t="shared" ref="BP43:BU43" si="50">BP41/BP42</f>
        <v>5.4539553368660103</v>
      </c>
      <c r="BQ43" s="1142">
        <f t="shared" si="50"/>
        <v>5.8796862265688663</v>
      </c>
      <c r="BR43" s="1143">
        <f t="shared" si="50"/>
        <v>7.9638624930128561</v>
      </c>
      <c r="BS43" s="1143">
        <f t="shared" si="50"/>
        <v>9.2957148578293953</v>
      </c>
      <c r="BT43" s="1143">
        <f t="shared" si="50"/>
        <v>9.2473435326842832</v>
      </c>
      <c r="BU43" s="1143">
        <f t="shared" si="50"/>
        <v>8.8197809362367963</v>
      </c>
      <c r="BV43" s="1143">
        <f>BV41/BV42</f>
        <v>8.7768669037338061</v>
      </c>
      <c r="BW43" s="1143">
        <f>BW41/BW42</f>
        <v>8.5385388575631271</v>
      </c>
      <c r="BX43" s="1143">
        <f>BX41/BX42</f>
        <v>8.0802390870531298</v>
      </c>
      <c r="BY43" s="1143">
        <f>BY41/BY42</f>
        <v>7.8578655478493715</v>
      </c>
      <c r="BZ43" s="1143">
        <f>BZ41/BZ42</f>
        <v>7.6027822614068272</v>
      </c>
    </row>
    <row r="44" spans="1:86">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1059"/>
      <c r="AE44" s="1059"/>
      <c r="AF44" s="1059"/>
      <c r="AG44" s="2"/>
      <c r="AH44" s="2"/>
      <c r="AI44" s="1059"/>
      <c r="AJ44" s="2"/>
      <c r="AK44" s="2"/>
      <c r="AL44" s="2"/>
      <c r="AM44" s="1059"/>
      <c r="AN44" s="2"/>
      <c r="AO44" s="2"/>
      <c r="AP44" s="2"/>
      <c r="AQ44" s="2"/>
      <c r="AR44" s="1059"/>
      <c r="AV44" s="1059"/>
      <c r="AW44" s="1059"/>
      <c r="AX44" s="1059"/>
      <c r="AY44" s="1059"/>
      <c r="AZ44" s="1059"/>
      <c r="BA44" s="1059"/>
      <c r="BB44" s="1059"/>
      <c r="BC44" s="203"/>
      <c r="BD44" s="203"/>
      <c r="BE44" s="203"/>
      <c r="BF44" s="203"/>
      <c r="BG44" s="203"/>
      <c r="BH44" s="203"/>
      <c r="BI44" s="203"/>
      <c r="BJ44" s="203"/>
      <c r="BK44" s="203"/>
      <c r="BL44" s="203"/>
      <c r="BM44" s="203"/>
      <c r="BN44" s="203"/>
      <c r="BO44" s="203"/>
      <c r="BP44" s="203"/>
      <c r="BQ44" s="203"/>
      <c r="BR44" s="203"/>
      <c r="BS44" s="203"/>
      <c r="BT44" s="203"/>
      <c r="BU44" s="203"/>
      <c r="BV44" s="203"/>
      <c r="BW44" s="203"/>
      <c r="BX44" s="203"/>
      <c r="BY44" s="203"/>
      <c r="BZ44" s="203"/>
    </row>
    <row r="45" spans="1:86">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1059"/>
      <c r="AF45" s="1059"/>
      <c r="AG45" s="2"/>
      <c r="AH45" s="2"/>
      <c r="AI45" s="1059"/>
      <c r="AJ45" s="2"/>
      <c r="AK45" s="2"/>
      <c r="AL45" s="2"/>
      <c r="AM45" s="1059"/>
      <c r="AN45" s="2"/>
      <c r="AO45" s="2"/>
      <c r="AP45" s="2"/>
      <c r="AQ45" s="2"/>
      <c r="AR45" s="1059"/>
      <c r="AV45" s="2"/>
      <c r="AW45" s="2" t="s">
        <v>239</v>
      </c>
      <c r="AX45" s="1059"/>
      <c r="AY45" s="1059"/>
      <c r="AZ45" s="1059"/>
      <c r="BA45" s="1059"/>
      <c r="BB45" s="1059"/>
      <c r="BC45" s="457">
        <f>'P&amp;L'!I80</f>
        <v>6934.9999999999982</v>
      </c>
      <c r="BD45" s="457">
        <f>'P&amp;L'!J80</f>
        <v>5497</v>
      </c>
      <c r="BE45" s="457">
        <f>'P&amp;L'!K80</f>
        <v>5778.9999999999982</v>
      </c>
      <c r="BF45" s="457">
        <f>'P&amp;L'!L80</f>
        <v>6226</v>
      </c>
      <c r="BG45" s="457">
        <f>'P&amp;L'!M80</f>
        <v>6558</v>
      </c>
      <c r="BH45" s="457">
        <f>'P&amp;L'!N80</f>
        <v>6501</v>
      </c>
      <c r="BI45" s="457">
        <f>'P&amp;L'!O80</f>
        <v>5692</v>
      </c>
      <c r="BJ45" s="457">
        <f>'P&amp;L'!P80</f>
        <v>5908.8172878999994</v>
      </c>
      <c r="BK45" s="457">
        <f>'P&amp;L'!Q80</f>
        <v>6497.105465133809</v>
      </c>
      <c r="BL45" s="457">
        <f>'P&amp;L'!R80</f>
        <v>7195</v>
      </c>
      <c r="BM45" s="457">
        <f>'P&amp;L'!S80</f>
        <v>6559</v>
      </c>
      <c r="BN45" s="457">
        <f>'P&amp;L'!T80</f>
        <v>6303.8976000000002</v>
      </c>
      <c r="BO45" s="457">
        <f>'P&amp;L'!U80</f>
        <v>5793.6370000000006</v>
      </c>
      <c r="BP45" s="457">
        <f>'P&amp;L'!V80</f>
        <v>6098</v>
      </c>
      <c r="BQ45" s="457">
        <f>'P&amp;L'!W80</f>
        <v>3702</v>
      </c>
      <c r="BR45" s="465">
        <f>'P&amp;L'!X80</f>
        <v>3567</v>
      </c>
      <c r="BS45" s="465">
        <f>'P&amp;L'!Y80</f>
        <v>2992</v>
      </c>
      <c r="BT45" s="465">
        <f>'P&amp;L'!Z80</f>
        <v>2898</v>
      </c>
      <c r="BU45" s="465">
        <f>'P&amp;L'!AA80</f>
        <v>3392</v>
      </c>
      <c r="BV45" s="465">
        <f>'P&amp;L'!AB80</f>
        <v>3049</v>
      </c>
      <c r="BW45" s="465">
        <f>'P&amp;L'!AC80</f>
        <v>3917</v>
      </c>
      <c r="BX45" s="465">
        <f>'P&amp;L'!AD80</f>
        <v>4267.3859784593424</v>
      </c>
      <c r="BY45" s="465">
        <f>'P&amp;L'!AE80</f>
        <v>4439.9689245662348</v>
      </c>
      <c r="BZ45" s="465">
        <f>'P&amp;L'!AF80</f>
        <v>4617.1439583173405</v>
      </c>
    </row>
    <row r="46" spans="1:86">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6"/>
      <c r="AD46" s="6"/>
      <c r="AE46" s="1059"/>
      <c r="AF46" s="1059"/>
      <c r="AG46" s="2"/>
      <c r="AH46" s="2"/>
      <c r="AI46" s="1059"/>
      <c r="AJ46" s="2"/>
      <c r="AK46" s="2"/>
      <c r="AL46" s="2"/>
      <c r="AM46" s="1059"/>
      <c r="AN46" s="2"/>
      <c r="AO46" s="2"/>
      <c r="AP46" s="2"/>
      <c r="AQ46" s="2"/>
      <c r="AR46" s="1059"/>
      <c r="AV46" s="32"/>
      <c r="AW46" s="32" t="s">
        <v>517</v>
      </c>
      <c r="AX46" s="1062"/>
      <c r="AY46" s="1062"/>
      <c r="AZ46" s="1062"/>
      <c r="BA46" s="1062"/>
      <c r="BB46" s="1062"/>
      <c r="BC46" s="1063">
        <f t="shared" ref="BC46:BO46" si="51">BC41/BC45</f>
        <v>8.7509805335255972</v>
      </c>
      <c r="BD46" s="1063">
        <f t="shared" si="51"/>
        <v>10.910514826268873</v>
      </c>
      <c r="BE46" s="1063">
        <f t="shared" si="51"/>
        <v>10.385663609621044</v>
      </c>
      <c r="BF46" s="1063">
        <f t="shared" si="51"/>
        <v>9.6322277545775759</v>
      </c>
      <c r="BG46" s="1063">
        <f t="shared" si="51"/>
        <v>9.1468130527599865</v>
      </c>
      <c r="BH46" s="1063">
        <f t="shared" si="51"/>
        <v>9.2307414243962462</v>
      </c>
      <c r="BI46" s="1063">
        <f t="shared" si="51"/>
        <v>10.55036893886156</v>
      </c>
      <c r="BJ46" s="1063">
        <f t="shared" si="51"/>
        <v>10.176368141071828</v>
      </c>
      <c r="BK46" s="1063">
        <f t="shared" si="51"/>
        <v>9.2609086189061589</v>
      </c>
      <c r="BL46" s="1063">
        <f t="shared" si="51"/>
        <v>8.388915913829047</v>
      </c>
      <c r="BM46" s="1063">
        <f t="shared" si="51"/>
        <v>9.080347613965543</v>
      </c>
      <c r="BN46" s="1063">
        <f t="shared" si="51"/>
        <v>9.3985663726517377</v>
      </c>
      <c r="BO46" s="1063">
        <f t="shared" si="51"/>
        <v>10.027923737714321</v>
      </c>
      <c r="BP46" s="1063">
        <f t="shared" ref="BP46:BU46" si="52">BP41/BP45</f>
        <v>9.451853066579206</v>
      </c>
      <c r="BQ46" s="1063">
        <f t="shared" si="52"/>
        <v>15.590221501890868</v>
      </c>
      <c r="BR46" s="1064">
        <f t="shared" si="52"/>
        <v>19.971054107092794</v>
      </c>
      <c r="BS46" s="1064">
        <f t="shared" si="52"/>
        <v>23.27346256684492</v>
      </c>
      <c r="BT46" s="1064">
        <f t="shared" si="52"/>
        <v>22.94285714285714</v>
      </c>
      <c r="BU46" s="1064">
        <f t="shared" si="52"/>
        <v>19.940713443396223</v>
      </c>
      <c r="BV46" s="1064">
        <f>BV41/BV45</f>
        <v>22.666136438176448</v>
      </c>
      <c r="BW46" s="1064">
        <f>BW41/BW45</f>
        <v>17.783354608118458</v>
      </c>
      <c r="BX46" s="1064">
        <f>BX41/BX45</f>
        <v>16.246784275667583</v>
      </c>
      <c r="BY46" s="1064">
        <f>BY41/BY45</f>
        <v>15.693910314714691</v>
      </c>
      <c r="BZ46" s="1064">
        <f>BZ41/BZ45</f>
        <v>15.110786593118508</v>
      </c>
    </row>
    <row r="47" spans="1:86">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6"/>
      <c r="AD47" s="6"/>
      <c r="AE47" s="1059"/>
      <c r="AF47" s="1059"/>
      <c r="AG47" s="2"/>
      <c r="AH47" s="2"/>
      <c r="AI47" s="1059"/>
      <c r="AJ47" s="2"/>
      <c r="AK47" s="2"/>
      <c r="AL47" s="2"/>
      <c r="AM47" s="1059"/>
      <c r="AN47" s="2"/>
      <c r="AO47" s="2"/>
      <c r="AP47" s="2"/>
      <c r="AQ47" s="2"/>
      <c r="AR47" s="1059"/>
      <c r="AV47" s="6"/>
      <c r="AW47" s="6"/>
      <c r="AX47" s="1059"/>
      <c r="AY47" s="1059"/>
      <c r="AZ47" s="1059"/>
      <c r="BA47" s="1059"/>
      <c r="BB47" s="1059"/>
      <c r="BC47" s="2"/>
      <c r="BD47" s="2"/>
      <c r="BE47" s="2"/>
      <c r="BF47" s="1065"/>
      <c r="BG47" s="1065"/>
      <c r="BH47" s="1065"/>
      <c r="BI47" s="1065"/>
      <c r="BJ47" s="1065"/>
      <c r="BK47" s="1065"/>
      <c r="BL47" s="1065"/>
      <c r="BM47" s="1065"/>
      <c r="BN47" s="1065"/>
      <c r="BO47" s="1065"/>
      <c r="BP47" s="1065"/>
      <c r="BQ47" s="1065"/>
      <c r="BR47" s="1065"/>
      <c r="BS47" s="1065"/>
      <c r="BT47" s="1065"/>
      <c r="BU47" s="1065"/>
      <c r="BV47" s="1065"/>
      <c r="BW47" s="1065"/>
      <c r="BX47" s="1065"/>
      <c r="BY47" s="1065"/>
      <c r="BZ47" s="1065"/>
    </row>
    <row r="48" spans="1:86">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6"/>
      <c r="AD48" s="6"/>
      <c r="AE48" s="1059"/>
      <c r="AF48" s="1059"/>
      <c r="AG48" s="2"/>
      <c r="AH48" s="2"/>
      <c r="AI48" s="1059"/>
      <c r="AJ48" s="2"/>
      <c r="AK48" s="2"/>
      <c r="AL48" s="2"/>
      <c r="AM48" s="1059"/>
      <c r="AN48" s="2"/>
      <c r="AO48" s="2"/>
      <c r="AP48" s="2"/>
      <c r="AQ48" s="2"/>
      <c r="AR48" s="1059"/>
      <c r="AV48" s="2"/>
      <c r="AW48" s="2" t="s">
        <v>731</v>
      </c>
      <c r="AX48" s="1059"/>
      <c r="AY48" s="1059"/>
      <c r="AZ48" s="1059"/>
      <c r="BA48" s="1059"/>
      <c r="BB48" s="1059"/>
      <c r="BC48" s="457">
        <f>'P&amp;L'!I168</f>
        <v>22161</v>
      </c>
      <c r="BD48" s="457">
        <f>'P&amp;L'!J168</f>
        <v>22712</v>
      </c>
      <c r="BE48" s="457">
        <f>'P&amp;L'!K168</f>
        <v>23673</v>
      </c>
      <c r="BF48" s="457">
        <f>'P&amp;L'!L168</f>
        <v>24649.799183579176</v>
      </c>
      <c r="BG48" s="457">
        <f>'P&amp;L'!M168</f>
        <v>25372.252541340669</v>
      </c>
      <c r="BH48" s="457">
        <f>'P&amp;L'!N168</f>
        <v>24811.852789869408</v>
      </c>
      <c r="BI48" s="457">
        <f>'P&amp;L'!O168</f>
        <v>24982.968841907401</v>
      </c>
      <c r="BJ48" s="457">
        <f>'P&amp;L'!P168</f>
        <v>25231.817287899998</v>
      </c>
      <c r="BK48" s="457">
        <f>'P&amp;L'!Q168</f>
        <v>25489.698279505068</v>
      </c>
      <c r="BL48" s="457">
        <f>'P&amp;L'!R168</f>
        <v>25003.711331428571</v>
      </c>
      <c r="BM48" s="457">
        <f>'P&amp;L'!S168</f>
        <v>25353.490991014121</v>
      </c>
      <c r="BN48" s="457">
        <f>'P&amp;L'!T168</f>
        <v>25821.074800000002</v>
      </c>
      <c r="BO48" s="457">
        <f>'P&amp;L'!U168</f>
        <v>25895.996751576444</v>
      </c>
      <c r="BP48" s="457">
        <f>'P&amp;L'!V21</f>
        <v>28841</v>
      </c>
      <c r="BQ48" s="457">
        <f>'P&amp;L'!W21</f>
        <v>27807</v>
      </c>
      <c r="BR48" s="465">
        <f>'P&amp;L'!X21</f>
        <v>25937</v>
      </c>
      <c r="BS48" s="465">
        <f>'P&amp;L'!Y21</f>
        <v>23132</v>
      </c>
      <c r="BT48" s="465">
        <f>'P&amp;L'!Z21</f>
        <v>22045</v>
      </c>
      <c r="BU48" s="465">
        <f>'P&amp;L'!AA21</f>
        <v>23245.009539999999</v>
      </c>
      <c r="BV48" s="465">
        <f>'P&amp;L'!AB21</f>
        <v>23482</v>
      </c>
      <c r="BW48" s="465">
        <f>'P&amp;L'!AC21</f>
        <v>23610</v>
      </c>
      <c r="BX48" s="465">
        <f>'P&amp;L'!AD21</f>
        <v>24510.678474448981</v>
      </c>
      <c r="BY48" s="465">
        <f>'P&amp;L'!AE21</f>
        <v>25177.184787169535</v>
      </c>
      <c r="BZ48" s="465">
        <f>'P&amp;L'!AF21</f>
        <v>25947.12399963582</v>
      </c>
    </row>
    <row r="49" spans="1:78">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6"/>
      <c r="AD49" s="6"/>
      <c r="AE49" s="1059"/>
      <c r="AF49" s="1059"/>
      <c r="AG49" s="2"/>
      <c r="AH49" s="2"/>
      <c r="AI49" s="1059"/>
      <c r="AJ49" s="2"/>
      <c r="AK49" s="2"/>
      <c r="AL49" s="6"/>
      <c r="AM49" s="1059"/>
      <c r="AN49" s="1059"/>
      <c r="AO49" s="1059"/>
      <c r="AP49" s="1059"/>
      <c r="AQ49" s="1059"/>
      <c r="AR49" s="1059"/>
      <c r="AV49" s="32"/>
      <c r="AW49" s="32" t="s">
        <v>518</v>
      </c>
      <c r="AX49" s="1062"/>
      <c r="AY49" s="1062"/>
      <c r="AZ49" s="1062"/>
      <c r="BA49" s="1062"/>
      <c r="BB49" s="1062"/>
      <c r="BC49" s="1063">
        <f t="shared" ref="BC49:BO49" si="53">BC41/BC48</f>
        <v>2.7385068363341003</v>
      </c>
      <c r="BD49" s="1063">
        <f t="shared" si="53"/>
        <v>2.6406789362451568</v>
      </c>
      <c r="BE49" s="1063">
        <f t="shared" si="53"/>
        <v>2.5353250538588261</v>
      </c>
      <c r="BF49" s="1063">
        <f t="shared" si="53"/>
        <v>2.4328900026070008</v>
      </c>
      <c r="BG49" s="1063">
        <f t="shared" si="53"/>
        <v>2.3641889856749154</v>
      </c>
      <c r="BH49" s="1063">
        <f t="shared" si="53"/>
        <v>2.4185638415725843</v>
      </c>
      <c r="BI49" s="1063">
        <f t="shared" si="53"/>
        <v>2.4037455428141619</v>
      </c>
      <c r="BJ49" s="1063">
        <f t="shared" si="53"/>
        <v>2.3831141179369464</v>
      </c>
      <c r="BK49" s="1063">
        <f t="shared" si="53"/>
        <v>2.3605261757209117</v>
      </c>
      <c r="BL49" s="1063">
        <f t="shared" si="53"/>
        <v>2.413971638047681</v>
      </c>
      <c r="BM49" s="1063">
        <f t="shared" si="53"/>
        <v>2.349104508767994</v>
      </c>
      <c r="BN49" s="1063">
        <f t="shared" si="53"/>
        <v>2.29454429991427</v>
      </c>
      <c r="BO49" s="1063">
        <f t="shared" si="53"/>
        <v>2.2435185854146824</v>
      </c>
      <c r="BP49" s="1063">
        <f t="shared" ref="BP49:BU49" si="54">BP41/BP48</f>
        <v>1.9984535903748135</v>
      </c>
      <c r="BQ49" s="1063">
        <f t="shared" si="54"/>
        <v>2.0755565145466965</v>
      </c>
      <c r="BR49" s="1064">
        <f t="shared" si="54"/>
        <v>2.7465300535913943</v>
      </c>
      <c r="BS49" s="1064">
        <f t="shared" si="54"/>
        <v>3.0102974234826214</v>
      </c>
      <c r="BT49" s="1064">
        <f t="shared" si="54"/>
        <v>3.0160308459968244</v>
      </c>
      <c r="BU49" s="1064">
        <f t="shared" si="54"/>
        <v>2.9098245747590257</v>
      </c>
      <c r="BV49" s="1064">
        <f>BV41/BV48</f>
        <v>2.9430649007750613</v>
      </c>
      <c r="BW49" s="1064">
        <f>BW41/BW48</f>
        <v>2.9503346039813634</v>
      </c>
      <c r="BX49" s="1064">
        <f>BX41/BX48</f>
        <v>2.8286160860586369</v>
      </c>
      <c r="BY49" s="1064">
        <f>BY41/BY48</f>
        <v>2.7676038719695288</v>
      </c>
      <c r="BZ49" s="1064">
        <f>BZ41/BZ48</f>
        <v>2.6888790073543034</v>
      </c>
    </row>
    <row r="50" spans="1:78" ht="8.4" customHeight="1">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1059"/>
      <c r="AI50" s="1059"/>
      <c r="AJ50" s="1059"/>
      <c r="AK50" s="1059"/>
      <c r="AL50" s="1059"/>
      <c r="AM50" s="1059"/>
      <c r="AN50" s="1059"/>
      <c r="AO50" s="1059"/>
      <c r="AP50" s="1059"/>
      <c r="AQ50" s="1059"/>
      <c r="AR50" s="1059"/>
      <c r="AS50" s="1059"/>
      <c r="AT50" s="1059"/>
      <c r="AU50" s="1059"/>
      <c r="AV50" s="1059"/>
      <c r="AW50" s="1059"/>
      <c r="AX50" s="1059"/>
      <c r="AY50" s="1059"/>
      <c r="AZ50" s="1059"/>
      <c r="BA50" s="1059"/>
      <c r="BB50" s="1059"/>
      <c r="BC50" s="2"/>
      <c r="BD50" s="2"/>
      <c r="BE50" s="2"/>
      <c r="BF50" s="2"/>
      <c r="BG50" s="2"/>
      <c r="BH50" s="2"/>
      <c r="BI50" s="2"/>
      <c r="BJ50" s="2"/>
      <c r="BK50" s="2"/>
      <c r="BL50" s="2"/>
      <c r="BM50" s="2"/>
      <c r="BN50" s="2"/>
      <c r="BO50" s="2"/>
      <c r="BP50" s="2"/>
      <c r="BQ50" s="2"/>
      <c r="BR50" s="2"/>
      <c r="BS50" s="2"/>
      <c r="BT50" s="2"/>
      <c r="BU50" s="2"/>
      <c r="BV50" s="2"/>
    </row>
    <row r="51" spans="1:78">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row>
    <row r="52" spans="1:78">
      <c r="A52" s="2"/>
      <c r="B52" s="6"/>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row>
    <row r="53" spans="1:78">
      <c r="A53" s="2"/>
      <c r="B53" s="6"/>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row>
    <row r="54" spans="1:78">
      <c r="A54" s="2"/>
      <c r="B54" s="6"/>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8">
      <c r="A55" s="2"/>
      <c r="B55" s="6"/>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row>
    <row r="56" spans="1:78">
      <c r="A56" s="2"/>
      <c r="B56" s="6"/>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row>
    <row r="57" spans="1:78">
      <c r="A57" s="2"/>
      <c r="B57" s="6"/>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row>
    <row r="58" spans="1:78">
      <c r="A58" s="2"/>
      <c r="B58" s="6"/>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1059"/>
      <c r="AI58" s="1059"/>
      <c r="AJ58" s="1059"/>
      <c r="AK58" s="1059"/>
      <c r="AL58" s="1059"/>
      <c r="AM58" s="1059"/>
      <c r="AN58" s="1059"/>
      <c r="AO58" s="1059"/>
      <c r="AP58" s="1059"/>
      <c r="AQ58" s="1059"/>
      <c r="AR58" s="1059"/>
      <c r="AS58" s="1059"/>
      <c r="AT58" s="1059"/>
      <c r="AU58" s="1059"/>
      <c r="AV58" s="1059"/>
      <c r="AW58" s="1059"/>
      <c r="AX58" s="1059"/>
      <c r="AY58" s="1059"/>
      <c r="AZ58" s="1059"/>
      <c r="BA58" s="1059"/>
      <c r="BB58" s="1059"/>
      <c r="BC58" s="2"/>
      <c r="BD58" s="2"/>
      <c r="BE58" s="2"/>
      <c r="BF58" s="2"/>
      <c r="BG58" s="2"/>
      <c r="BH58" s="2"/>
      <c r="BI58" s="2"/>
      <c r="BJ58" s="2"/>
      <c r="BK58" s="2"/>
      <c r="BL58" s="2"/>
      <c r="BM58" s="2"/>
      <c r="BN58" s="2"/>
      <c r="BO58" s="2"/>
      <c r="BP58" s="2"/>
      <c r="BQ58" s="2"/>
      <c r="BR58" s="2"/>
      <c r="BS58" s="2"/>
      <c r="BT58" s="2"/>
      <c r="BU58" s="2"/>
      <c r="BV58" s="2"/>
    </row>
    <row r="59" spans="1:78" ht="13.5" customHeight="1">
      <c r="A59" s="2"/>
      <c r="B59" s="6"/>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1059"/>
      <c r="AE59" s="1059"/>
      <c r="AF59" s="1059"/>
      <c r="AG59" s="1059"/>
      <c r="AH59" s="1059"/>
      <c r="AI59" s="1059"/>
      <c r="AJ59" s="1059"/>
      <c r="AK59" s="1059"/>
      <c r="AL59" s="1059"/>
      <c r="AM59" s="1059"/>
      <c r="AN59" s="1059"/>
      <c r="AO59" s="1059"/>
      <c r="AP59" s="1059"/>
      <c r="AQ59" s="1059"/>
      <c r="AR59" s="1059"/>
      <c r="AS59" s="1059"/>
      <c r="AT59" s="1059"/>
      <c r="AU59" s="1059"/>
      <c r="AV59" s="1059"/>
      <c r="AW59" s="1059"/>
      <c r="AX59" s="1059"/>
      <c r="AY59" s="1059"/>
      <c r="AZ59" s="1059"/>
      <c r="BA59" s="1059"/>
      <c r="BB59" s="1059"/>
      <c r="BC59" s="2"/>
      <c r="BD59" s="2"/>
      <c r="BE59" s="2"/>
      <c r="BF59" s="2"/>
      <c r="BG59" s="2"/>
      <c r="BH59" s="2"/>
      <c r="BI59" s="2"/>
      <c r="BJ59" s="2"/>
      <c r="BK59" s="2"/>
      <c r="BL59" s="2"/>
      <c r="BM59" s="2"/>
      <c r="BN59" s="2"/>
      <c r="BO59" s="2"/>
      <c r="BP59" s="2"/>
      <c r="BQ59" s="2"/>
      <c r="BR59" s="2"/>
      <c r="BS59" s="2"/>
      <c r="BT59" s="2"/>
      <c r="BU59" s="2"/>
      <c r="BV59" s="2"/>
    </row>
    <row r="60" spans="1:78" ht="11.4" customHeight="1">
      <c r="A60" s="2"/>
      <c r="B60" s="6"/>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1059"/>
      <c r="AE60" s="1059"/>
      <c r="AF60" s="1059"/>
      <c r="AG60" s="1059"/>
      <c r="AH60" s="1059"/>
      <c r="AI60" s="1059"/>
      <c r="AJ60" s="1059"/>
      <c r="AK60" s="1059"/>
      <c r="AL60" s="1059"/>
      <c r="AM60" s="1059"/>
      <c r="AN60" s="1059"/>
      <c r="AO60" s="1059"/>
      <c r="AP60" s="1059"/>
      <c r="AQ60" s="1059"/>
      <c r="AR60" s="1059"/>
      <c r="AS60" s="1059"/>
      <c r="AT60" s="1059"/>
      <c r="AU60" s="1059"/>
      <c r="AV60" s="1059"/>
      <c r="AW60" s="1059"/>
      <c r="AX60" s="1059"/>
      <c r="AY60" s="1059"/>
      <c r="AZ60" s="1059"/>
      <c r="BA60" s="1059"/>
      <c r="BB60" s="1059"/>
      <c r="BC60" s="2"/>
      <c r="BD60" s="2"/>
      <c r="BE60" s="2"/>
      <c r="BF60" s="2"/>
      <c r="BG60" s="2"/>
      <c r="BH60" s="2"/>
      <c r="BI60" s="2"/>
      <c r="BJ60" s="2"/>
      <c r="BK60" s="2"/>
      <c r="BL60" s="2"/>
      <c r="BM60" s="2"/>
      <c r="BN60" s="2"/>
      <c r="BO60" s="2"/>
      <c r="BP60" s="2"/>
      <c r="BQ60" s="2"/>
      <c r="BR60" s="2"/>
      <c r="BS60" s="2"/>
      <c r="BT60" s="2"/>
      <c r="BU60" s="2"/>
      <c r="BV60" s="2"/>
    </row>
    <row r="61" spans="1:78">
      <c r="A61" s="2"/>
      <c r="B61" s="6"/>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1059"/>
      <c r="AE61" s="1059"/>
      <c r="AF61" s="1059"/>
      <c r="AG61" s="1059"/>
      <c r="AH61" s="1059"/>
      <c r="AI61" s="1059"/>
      <c r="AJ61" s="1059"/>
      <c r="AK61" s="1059"/>
      <c r="AL61" s="1059"/>
      <c r="AM61" s="1059"/>
      <c r="AN61" s="1059"/>
      <c r="AO61" s="1059"/>
      <c r="AP61" s="1059"/>
      <c r="AQ61" s="1059"/>
      <c r="AR61" s="1059"/>
      <c r="AS61" s="1059"/>
      <c r="AT61" s="1059"/>
      <c r="AU61" s="1059"/>
      <c r="AV61" s="1059"/>
      <c r="AW61" s="1059"/>
      <c r="AX61" s="1059"/>
      <c r="AY61" s="1059"/>
      <c r="AZ61" s="1059"/>
      <c r="BA61" s="1059"/>
      <c r="BB61" s="1059"/>
      <c r="BC61" s="2"/>
      <c r="BD61" s="2"/>
      <c r="BE61" s="2"/>
      <c r="BF61" s="2"/>
      <c r="BG61" s="2"/>
      <c r="BH61" s="2"/>
      <c r="BI61" s="2"/>
      <c r="BJ61" s="2"/>
      <c r="BK61" s="2"/>
      <c r="BL61" s="2"/>
      <c r="BM61" s="2"/>
      <c r="BN61" s="2"/>
      <c r="BO61" s="2"/>
      <c r="BP61" s="2"/>
      <c r="BQ61" s="2"/>
      <c r="BR61" s="2"/>
      <c r="BS61" s="2"/>
      <c r="BT61" s="2"/>
      <c r="BU61" s="2"/>
      <c r="BV61" s="2"/>
    </row>
    <row r="62" spans="1:78" ht="9.75" customHeight="1">
      <c r="A62" s="2"/>
      <c r="B62" s="6"/>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1059"/>
      <c r="AE62" s="1059"/>
      <c r="AF62" s="1059"/>
      <c r="AG62" s="1059"/>
      <c r="AH62" s="1059"/>
      <c r="AI62" s="1059"/>
      <c r="AJ62" s="1059"/>
      <c r="AK62" s="1059"/>
      <c r="AL62" s="1059"/>
      <c r="AM62" s="1059"/>
      <c r="AN62" s="1059"/>
      <c r="AO62" s="1059"/>
      <c r="AP62" s="1059"/>
      <c r="AQ62" s="1059"/>
      <c r="AR62" s="1059"/>
      <c r="AS62" s="1059"/>
      <c r="AT62" s="1059"/>
      <c r="AU62" s="1059"/>
      <c r="AV62" s="1059"/>
      <c r="AW62" s="1059"/>
      <c r="AX62" s="1059"/>
      <c r="AY62" s="1059"/>
      <c r="AZ62" s="1059"/>
      <c r="BA62" s="1059"/>
      <c r="BB62" s="1059"/>
      <c r="BC62" s="2"/>
      <c r="BD62" s="2"/>
      <c r="BE62" s="2"/>
      <c r="BF62" s="2"/>
      <c r="BG62" s="2"/>
      <c r="BH62" s="2"/>
      <c r="BI62" s="2"/>
      <c r="BJ62" s="2"/>
      <c r="BK62" s="2"/>
      <c r="BL62" s="2"/>
      <c r="BM62" s="2"/>
      <c r="BN62" s="2"/>
      <c r="BO62" s="2"/>
      <c r="BP62" s="2"/>
      <c r="BQ62" s="2"/>
      <c r="BR62" s="2"/>
      <c r="BS62" s="2"/>
      <c r="BT62" s="2"/>
      <c r="BU62" s="2"/>
      <c r="BV62" s="2"/>
    </row>
    <row r="63" spans="1:78" ht="6" customHeight="1">
      <c r="A63" s="2"/>
      <c r="B63" s="6"/>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1059"/>
      <c r="AE63" s="1059"/>
      <c r="AF63" s="1059"/>
      <c r="AG63" s="1059"/>
      <c r="AH63" s="1059"/>
      <c r="AI63" s="1059"/>
      <c r="AJ63" s="1059"/>
      <c r="AK63" s="1059"/>
      <c r="AL63" s="1059"/>
      <c r="AM63" s="1059"/>
      <c r="AN63" s="1059"/>
      <c r="AO63" s="1059"/>
      <c r="AP63" s="1059"/>
      <c r="AQ63" s="1059"/>
      <c r="AR63" s="1059"/>
      <c r="AS63" s="1059"/>
      <c r="AT63" s="1059"/>
      <c r="AU63" s="1059"/>
      <c r="AV63" s="1059"/>
      <c r="AW63" s="1059"/>
      <c r="AX63" s="1059"/>
      <c r="AY63" s="1059"/>
      <c r="AZ63" s="1059"/>
      <c r="BA63" s="1059"/>
      <c r="BB63" s="1059"/>
      <c r="BC63" s="2"/>
      <c r="BD63" s="2"/>
      <c r="BE63" s="2"/>
      <c r="BF63" s="2"/>
      <c r="BG63" s="2"/>
      <c r="BH63" s="2"/>
      <c r="BI63" s="2"/>
      <c r="BJ63" s="2"/>
      <c r="BK63" s="2"/>
      <c r="BL63" s="2"/>
      <c r="BM63" s="2"/>
      <c r="BN63" s="2"/>
      <c r="BO63" s="2"/>
      <c r="BP63" s="2"/>
      <c r="BQ63" s="2"/>
      <c r="BR63" s="2"/>
      <c r="BS63" s="2"/>
      <c r="BT63" s="2"/>
      <c r="BU63" s="2"/>
      <c r="BV63" s="2"/>
    </row>
    <row r="64" spans="1:78">
      <c r="A64" s="2"/>
      <c r="B64" s="6"/>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1059"/>
      <c r="AE64" s="1059"/>
      <c r="AF64" s="1059"/>
      <c r="AG64" s="1059"/>
      <c r="AH64" s="1059"/>
      <c r="AI64" s="1059"/>
      <c r="AJ64" s="1059"/>
      <c r="AK64" s="1059"/>
      <c r="AL64" s="1059"/>
      <c r="AM64" s="1059"/>
      <c r="AN64" s="1059"/>
      <c r="AO64" s="1059"/>
      <c r="AP64" s="1059"/>
      <c r="AQ64" s="1059"/>
      <c r="AR64" s="1059"/>
      <c r="AS64" s="1059"/>
      <c r="AT64" s="1059"/>
      <c r="AU64" s="1059"/>
      <c r="AV64" s="1059"/>
      <c r="AW64" s="1059"/>
      <c r="AX64" s="1059"/>
      <c r="AY64" s="1059"/>
      <c r="AZ64" s="1059"/>
      <c r="BA64" s="1059"/>
      <c r="BB64" s="1059"/>
      <c r="BC64" s="2"/>
      <c r="BD64" s="2"/>
      <c r="BE64" s="2"/>
      <c r="BF64" s="2"/>
      <c r="BG64" s="2"/>
      <c r="BH64" s="2"/>
      <c r="BI64" s="2"/>
      <c r="BJ64" s="2"/>
      <c r="BK64" s="2"/>
      <c r="BL64" s="2"/>
      <c r="BM64" s="2"/>
      <c r="BN64" s="2"/>
      <c r="BO64" s="2"/>
      <c r="BP64" s="2"/>
      <c r="BQ64" s="2"/>
      <c r="BR64" s="2"/>
      <c r="BS64" s="2"/>
      <c r="BT64" s="2"/>
      <c r="BU64" s="2"/>
      <c r="BV64" s="2"/>
    </row>
    <row r="65" spans="1:74">
      <c r="A65" s="2"/>
      <c r="B65" s="6"/>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1059"/>
      <c r="AE65" s="1059"/>
      <c r="AF65" s="1059"/>
      <c r="AG65" s="1059"/>
      <c r="AH65" s="1059"/>
      <c r="AI65" s="1059"/>
      <c r="AJ65" s="1059"/>
      <c r="AK65" s="1059"/>
      <c r="AL65" s="1059"/>
      <c r="AM65" s="1059"/>
      <c r="AN65" s="1059"/>
      <c r="AO65" s="1059"/>
      <c r="AP65" s="1059"/>
      <c r="AQ65" s="1059"/>
      <c r="AR65" s="1059"/>
      <c r="AS65" s="1059"/>
      <c r="AT65" s="1059"/>
      <c r="AU65" s="1059"/>
      <c r="AV65" s="1059"/>
      <c r="AW65" s="1059"/>
      <c r="AX65" s="1059"/>
      <c r="AY65" s="1059"/>
      <c r="AZ65" s="1059"/>
      <c r="BA65" s="1059"/>
      <c r="BB65" s="1059"/>
      <c r="BC65" s="2"/>
      <c r="BD65" s="2"/>
      <c r="BE65" s="2"/>
      <c r="BF65" s="2"/>
      <c r="BG65" s="2"/>
      <c r="BH65" s="2"/>
      <c r="BI65" s="2"/>
      <c r="BJ65" s="2"/>
      <c r="BK65" s="2"/>
      <c r="BL65" s="2"/>
      <c r="BM65" s="2"/>
      <c r="BN65" s="2"/>
      <c r="BO65" s="2"/>
      <c r="BP65" s="2"/>
      <c r="BQ65" s="2"/>
      <c r="BR65" s="2"/>
      <c r="BS65" s="2"/>
      <c r="BT65" s="2"/>
      <c r="BU65" s="2"/>
      <c r="BV65" s="2"/>
    </row>
    <row r="66" spans="1:74">
      <c r="A66" s="2"/>
      <c r="B66" s="6"/>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1059"/>
      <c r="AE66" s="1059"/>
      <c r="AF66" s="1059"/>
      <c r="AG66" s="1059"/>
      <c r="AH66" s="1059"/>
      <c r="AI66" s="1059"/>
      <c r="AJ66" s="1059"/>
      <c r="AK66" s="1059"/>
      <c r="AL66" s="1059"/>
      <c r="AM66" s="1059"/>
      <c r="AN66" s="1059"/>
      <c r="AO66" s="1059"/>
      <c r="AP66" s="1059"/>
      <c r="AQ66" s="1059"/>
      <c r="AR66" s="1059"/>
      <c r="AS66" s="1059"/>
      <c r="AT66" s="1059"/>
      <c r="AU66" s="1059"/>
      <c r="AV66" s="1059"/>
      <c r="AW66" s="1059"/>
      <c r="AX66" s="1059"/>
      <c r="AY66" s="1059"/>
      <c r="AZ66" s="1059"/>
      <c r="BA66" s="1059"/>
      <c r="BB66" s="1059"/>
      <c r="BC66" s="2"/>
      <c r="BD66" s="2"/>
      <c r="BE66" s="2"/>
      <c r="BF66" s="2"/>
      <c r="BG66" s="2"/>
      <c r="BH66" s="2"/>
      <c r="BI66" s="2"/>
      <c r="BJ66" s="2"/>
      <c r="BK66" s="2"/>
      <c r="BL66" s="2"/>
      <c r="BM66" s="2"/>
      <c r="BN66" s="2"/>
      <c r="BO66" s="2"/>
      <c r="BP66" s="2"/>
      <c r="BQ66" s="2"/>
      <c r="BR66" s="2"/>
      <c r="BS66" s="2"/>
      <c r="BT66" s="2"/>
      <c r="BU66" s="2"/>
      <c r="BV66" s="2"/>
    </row>
    <row r="67" spans="1:74" ht="16.5" customHeight="1">
      <c r="A67" s="2"/>
      <c r="B67" s="6"/>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1059"/>
      <c r="AE67" s="1059"/>
      <c r="AF67" s="1059"/>
      <c r="AG67" s="1059"/>
      <c r="AH67" s="1059"/>
      <c r="AI67" s="1059"/>
      <c r="AJ67" s="1059"/>
      <c r="AK67" s="1059"/>
      <c r="AL67" s="1059"/>
      <c r="AM67" s="1059"/>
      <c r="AN67" s="1059"/>
      <c r="AO67" s="1059"/>
      <c r="AP67" s="1059"/>
      <c r="AQ67" s="1059"/>
      <c r="AR67" s="1059"/>
      <c r="AS67" s="1059"/>
      <c r="AT67" s="1059"/>
      <c r="AU67" s="1059"/>
      <c r="AV67" s="1059"/>
      <c r="AW67" s="1059"/>
      <c r="AX67" s="1059"/>
      <c r="AY67" s="1059"/>
      <c r="AZ67" s="1059"/>
      <c r="BA67" s="1059"/>
      <c r="BB67" s="1059"/>
      <c r="BC67" s="2"/>
      <c r="BD67" s="2"/>
      <c r="BE67" s="2"/>
      <c r="BF67" s="2"/>
      <c r="BG67" s="2"/>
      <c r="BH67" s="2"/>
      <c r="BI67" s="2"/>
      <c r="BJ67" s="2"/>
      <c r="BK67" s="2"/>
      <c r="BL67" s="2"/>
      <c r="BM67" s="2"/>
      <c r="BN67" s="2"/>
      <c r="BO67" s="2"/>
      <c r="BP67" s="2"/>
      <c r="BQ67" s="2"/>
      <c r="BR67" s="2"/>
      <c r="BS67" s="2"/>
      <c r="BT67" s="2"/>
      <c r="BU67" s="2"/>
      <c r="BV67" s="2"/>
    </row>
    <row r="68" spans="1:74">
      <c r="A68" s="2"/>
      <c r="B68" s="6"/>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1059"/>
      <c r="AE68" s="1059"/>
      <c r="AF68" s="1059"/>
      <c r="AG68" s="1059"/>
      <c r="AH68" s="1059"/>
      <c r="AI68" s="1059"/>
      <c r="AJ68" s="1059"/>
      <c r="AK68" s="1059"/>
      <c r="AL68" s="1059"/>
      <c r="AM68" s="1059"/>
      <c r="AN68" s="1059"/>
      <c r="AO68" s="1059"/>
      <c r="AP68" s="1059"/>
      <c r="AQ68" s="1059"/>
      <c r="AR68" s="1059"/>
      <c r="AS68" s="1059"/>
      <c r="AT68" s="1059"/>
      <c r="AU68" s="1059"/>
      <c r="AV68" s="1059"/>
      <c r="AW68" s="1059"/>
      <c r="AX68" s="1059"/>
      <c r="AY68" s="1059"/>
      <c r="AZ68" s="1059"/>
      <c r="BA68" s="1059"/>
      <c r="BB68" s="1059"/>
      <c r="BC68" s="2"/>
      <c r="BD68" s="2"/>
      <c r="BE68" s="2"/>
      <c r="BF68" s="2"/>
      <c r="BG68" s="2"/>
      <c r="BH68" s="2"/>
      <c r="BI68" s="2"/>
      <c r="BJ68" s="2"/>
      <c r="BK68" s="2"/>
      <c r="BL68" s="2"/>
      <c r="BM68" s="2"/>
      <c r="BN68" s="2"/>
      <c r="BO68" s="2"/>
      <c r="BP68" s="2"/>
      <c r="BQ68" s="2"/>
      <c r="BR68" s="2"/>
      <c r="BS68" s="2"/>
      <c r="BT68" s="2"/>
      <c r="BU68" s="2"/>
      <c r="BV68" s="2"/>
    </row>
    <row r="69" spans="1:74">
      <c r="A69" s="2"/>
      <c r="B69" s="6"/>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1059"/>
      <c r="AE69" s="1059"/>
      <c r="AF69" s="1059"/>
      <c r="AG69" s="1059"/>
      <c r="AH69" s="1059"/>
      <c r="AI69" s="1059"/>
      <c r="AJ69" s="1059"/>
      <c r="AK69" s="1059"/>
      <c r="AL69" s="1059"/>
      <c r="AM69" s="1059"/>
      <c r="AN69" s="1059"/>
      <c r="AO69" s="1059"/>
      <c r="AP69" s="1059"/>
      <c r="AQ69" s="1059"/>
      <c r="AR69" s="1059"/>
      <c r="AS69" s="1059"/>
      <c r="AT69" s="1059"/>
      <c r="AU69" s="1059"/>
      <c r="AV69" s="1059"/>
      <c r="AW69" s="1059"/>
      <c r="AX69" s="1059"/>
      <c r="AY69" s="1059"/>
      <c r="AZ69" s="1059"/>
      <c r="BA69" s="1059"/>
      <c r="BB69" s="2"/>
      <c r="BC69" s="2"/>
      <c r="BD69" s="2"/>
      <c r="BE69" s="2"/>
      <c r="BF69" s="2"/>
      <c r="BG69" s="2"/>
      <c r="BH69" s="2"/>
      <c r="BI69" s="2"/>
      <c r="BJ69" s="2"/>
      <c r="BK69" s="2"/>
      <c r="BL69" s="2"/>
      <c r="BM69" s="2"/>
      <c r="BN69" s="2"/>
      <c r="BO69" s="2"/>
      <c r="BP69" s="2"/>
      <c r="BQ69" s="2"/>
      <c r="BR69" s="2"/>
      <c r="BS69" s="2"/>
      <c r="BT69" s="2"/>
      <c r="BU69" s="2"/>
      <c r="BV69" s="2"/>
    </row>
    <row r="70" spans="1:74">
      <c r="A70" s="2"/>
      <c r="B70" s="6"/>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1059"/>
      <c r="AE70" s="1059"/>
      <c r="AF70" s="1059"/>
      <c r="AG70" s="1059"/>
      <c r="AH70" s="1059"/>
      <c r="AI70" s="1059"/>
      <c r="AJ70" s="1059"/>
      <c r="AK70" s="1059"/>
      <c r="AL70" s="1059"/>
      <c r="AM70" s="1059"/>
      <c r="AN70" s="1059"/>
      <c r="AO70" s="1059"/>
      <c r="AP70" s="1059"/>
      <c r="AQ70" s="1059"/>
      <c r="AR70" s="1059"/>
      <c r="AS70" s="1059"/>
      <c r="AT70" s="1059"/>
      <c r="AU70" s="1059"/>
      <c r="AV70" s="1059"/>
      <c r="AW70" s="1059"/>
      <c r="AX70" s="1059"/>
      <c r="AY70" s="1059"/>
      <c r="AZ70" s="1059"/>
      <c r="BA70" s="1059"/>
      <c r="BB70" s="1059"/>
      <c r="BC70" s="2"/>
      <c r="BD70" s="2"/>
      <c r="BE70" s="2"/>
      <c r="BF70" s="2"/>
      <c r="BG70" s="2"/>
      <c r="BH70" s="2"/>
      <c r="BI70" s="2"/>
      <c r="BJ70" s="2"/>
      <c r="BK70" s="2"/>
      <c r="BL70" s="2"/>
      <c r="BM70" s="2"/>
      <c r="BN70" s="2"/>
      <c r="BO70" s="2"/>
      <c r="BP70" s="2"/>
      <c r="BQ70" s="2"/>
      <c r="BR70" s="2"/>
      <c r="BS70" s="2"/>
      <c r="BT70" s="2"/>
      <c r="BU70" s="2"/>
      <c r="BV70" s="2"/>
    </row>
    <row r="71" spans="1:74" ht="15" customHeight="1">
      <c r="A71" s="2"/>
      <c r="B71" s="6"/>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1059"/>
      <c r="AE71" s="1059"/>
      <c r="AF71" s="1059"/>
      <c r="AG71" s="1059"/>
      <c r="AH71" s="1059"/>
      <c r="AI71" s="1059"/>
      <c r="AJ71" s="1059"/>
      <c r="AK71" s="1059"/>
      <c r="AL71" s="1059"/>
      <c r="AM71" s="1059"/>
      <c r="AN71" s="1059"/>
      <c r="AO71" s="1059"/>
      <c r="AP71" s="1059"/>
      <c r="AQ71" s="1059"/>
      <c r="AR71" s="1059"/>
      <c r="AS71" s="1059"/>
      <c r="AT71" s="1059"/>
      <c r="AU71" s="1059"/>
      <c r="AV71" s="1059"/>
      <c r="AW71" s="1059"/>
      <c r="AX71" s="1059"/>
      <c r="AY71" s="1059"/>
      <c r="AZ71" s="1059"/>
      <c r="BA71" s="1059"/>
      <c r="BB71" s="1059"/>
      <c r="BC71" s="2"/>
      <c r="BD71" s="2"/>
      <c r="BE71" s="2"/>
      <c r="BF71" s="2"/>
      <c r="BG71" s="2"/>
      <c r="BH71" s="2"/>
      <c r="BI71" s="2"/>
      <c r="BJ71" s="2"/>
      <c r="BK71" s="2"/>
      <c r="BL71" s="2"/>
      <c r="BM71" s="2"/>
      <c r="BN71" s="2"/>
      <c r="BO71" s="2"/>
      <c r="BP71" s="2"/>
      <c r="BQ71" s="2"/>
      <c r="BR71" s="2"/>
      <c r="BS71" s="2"/>
      <c r="BT71" s="2"/>
      <c r="BU71" s="2"/>
      <c r="BV71" s="2"/>
    </row>
    <row r="72" spans="1:74">
      <c r="A72" s="2"/>
      <c r="B72" s="55"/>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1059"/>
      <c r="AE72" s="1059"/>
      <c r="AF72" s="1059"/>
      <c r="AG72" s="1059"/>
      <c r="AH72" s="1059"/>
      <c r="AI72" s="1059"/>
      <c r="AJ72" s="1059"/>
      <c r="AK72" s="1059"/>
      <c r="AL72" s="1059"/>
      <c r="AM72" s="1059"/>
      <c r="AN72" s="1059"/>
      <c r="AO72" s="1059"/>
      <c r="AP72" s="1059"/>
      <c r="AQ72" s="1059"/>
      <c r="AR72" s="1059"/>
      <c r="AS72" s="1059"/>
      <c r="AT72" s="1059"/>
      <c r="AU72" s="1059"/>
      <c r="AV72" s="1059"/>
      <c r="AW72" s="1059"/>
      <c r="AX72" s="1059"/>
      <c r="AY72" s="1059"/>
      <c r="AZ72" s="1059"/>
      <c r="BA72" s="1059"/>
      <c r="BB72" s="1059"/>
      <c r="BC72" s="2"/>
      <c r="BD72" s="2"/>
      <c r="BE72" s="2"/>
      <c r="BF72" s="2"/>
      <c r="BG72" s="2"/>
      <c r="BH72" s="2"/>
      <c r="BI72" s="2"/>
      <c r="BJ72" s="2"/>
      <c r="BK72" s="2"/>
      <c r="BL72" s="2"/>
      <c r="BM72" s="2"/>
      <c r="BN72" s="2"/>
      <c r="BO72" s="2"/>
      <c r="BP72" s="2"/>
      <c r="BQ72" s="2"/>
      <c r="BR72" s="2"/>
      <c r="BS72" s="2"/>
      <c r="BT72" s="2"/>
      <c r="BU72" s="2"/>
      <c r="BV72" s="2"/>
    </row>
    <row r="73" spans="1:74">
      <c r="A73" s="2"/>
      <c r="B73" s="55"/>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1059"/>
      <c r="AE73" s="1059"/>
      <c r="AF73" s="1059"/>
      <c r="AG73" s="1059"/>
      <c r="AH73" s="1059"/>
      <c r="AI73" s="1059"/>
      <c r="AJ73" s="1059"/>
      <c r="AK73" s="1059"/>
      <c r="AL73" s="1059"/>
      <c r="AM73" s="1059"/>
      <c r="AN73" s="1059"/>
      <c r="AO73" s="1059"/>
      <c r="AP73" s="1059"/>
      <c r="AQ73" s="1059"/>
      <c r="AR73" s="1059"/>
      <c r="AS73" s="1059"/>
      <c r="AT73" s="1059"/>
      <c r="AU73" s="1059"/>
      <c r="AV73" s="1059"/>
      <c r="AW73" s="1059"/>
      <c r="AX73" s="1059"/>
      <c r="AY73" s="1059"/>
      <c r="AZ73" s="1059"/>
      <c r="BA73" s="1059"/>
      <c r="BB73" s="1059"/>
      <c r="BC73" s="2"/>
      <c r="BD73" s="2"/>
      <c r="BE73" s="2"/>
      <c r="BF73" s="2"/>
      <c r="BG73" s="2"/>
      <c r="BH73" s="2"/>
      <c r="BI73" s="2"/>
      <c r="BJ73" s="2"/>
      <c r="BK73" s="2"/>
      <c r="BL73" s="2"/>
      <c r="BM73" s="2"/>
      <c r="BN73" s="2"/>
      <c r="BO73" s="2"/>
      <c r="BP73" s="2"/>
      <c r="BQ73" s="2"/>
      <c r="BR73" s="2"/>
      <c r="BS73" s="2"/>
      <c r="BT73" s="2"/>
      <c r="BU73" s="2"/>
      <c r="BV73" s="2"/>
    </row>
    <row r="74" spans="1:74" ht="15.6" customHeight="1">
      <c r="A74" s="2"/>
      <c r="B74" s="55"/>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1059"/>
      <c r="AE74" s="1059"/>
      <c r="AF74" s="1059"/>
      <c r="AG74" s="1059"/>
      <c r="AH74" s="1059"/>
      <c r="AI74" s="1059"/>
      <c r="AJ74" s="1059"/>
      <c r="AK74" s="1059"/>
      <c r="AL74" s="1059"/>
      <c r="AM74" s="1059"/>
      <c r="AN74" s="1059"/>
      <c r="AO74" s="1059"/>
      <c r="AP74" s="1059"/>
      <c r="AQ74" s="1059"/>
      <c r="AR74" s="1059"/>
      <c r="AS74" s="1059"/>
      <c r="AT74" s="1059"/>
      <c r="AU74" s="1059"/>
      <c r="AV74" s="1059"/>
      <c r="AW74" s="1059"/>
      <c r="AX74" s="1059"/>
      <c r="AY74" s="1059"/>
      <c r="AZ74" s="1059"/>
      <c r="BA74" s="1059"/>
      <c r="BB74" s="1059"/>
      <c r="BC74" s="2"/>
      <c r="BD74" s="2"/>
      <c r="BE74" s="2"/>
      <c r="BF74" s="2"/>
      <c r="BG74" s="2"/>
      <c r="BH74" s="2"/>
      <c r="BI74" s="2"/>
      <c r="BJ74" s="2"/>
      <c r="BK74" s="2"/>
      <c r="BL74" s="2"/>
      <c r="BM74" s="2"/>
      <c r="BN74" s="2"/>
      <c r="BO74" s="2"/>
      <c r="BP74" s="2"/>
      <c r="BQ74" s="2"/>
      <c r="BR74" s="2"/>
      <c r="BS74" s="2"/>
      <c r="BT74" s="2"/>
      <c r="BU74" s="2"/>
      <c r="BV74" s="2"/>
    </row>
    <row r="75" spans="1:74">
      <c r="A75" s="2"/>
      <c r="B75" s="55"/>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1059"/>
      <c r="AE75" s="1059"/>
      <c r="AF75" s="1059"/>
      <c r="AG75" s="1059"/>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row>
    <row r="76" spans="1:74">
      <c r="A76" s="2"/>
      <c r="B76" s="55"/>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row>
    <row r="77" spans="1:74" ht="12" customHeight="1">
      <c r="A77" s="2"/>
      <c r="B77" s="55"/>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row>
    <row r="78" spans="1:74" ht="13.5" customHeight="1">
      <c r="A78" s="2"/>
      <c r="B78" s="55"/>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row>
    <row r="79" spans="1:74" ht="13.5" customHeight="1">
      <c r="A79" s="2"/>
      <c r="B79" s="55"/>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1059"/>
      <c r="AI79" s="1059"/>
      <c r="AJ79" s="1059"/>
      <c r="AK79" s="1059"/>
      <c r="AL79" s="1059"/>
      <c r="AM79" s="1059"/>
      <c r="AN79" s="1059"/>
      <c r="AO79" s="1059"/>
      <c r="AP79" s="1059"/>
      <c r="AQ79" s="1059"/>
      <c r="AR79" s="1059"/>
      <c r="AS79" s="1059"/>
      <c r="AT79" s="1059"/>
      <c r="AU79" s="1059"/>
      <c r="AV79" s="1059"/>
      <c r="AW79" s="1059"/>
      <c r="AX79" s="1059"/>
      <c r="AY79" s="1059"/>
      <c r="AZ79" s="1059"/>
      <c r="BA79" s="1059"/>
      <c r="BB79" s="1059"/>
      <c r="BC79" s="2"/>
      <c r="BD79" s="2"/>
      <c r="BE79" s="2"/>
      <c r="BF79" s="2"/>
      <c r="BG79" s="2"/>
      <c r="BH79" s="2"/>
      <c r="BI79" s="2"/>
      <c r="BJ79" s="2"/>
      <c r="BK79" s="2"/>
      <c r="BL79" s="2"/>
      <c r="BM79" s="2"/>
      <c r="BN79" s="2"/>
      <c r="BO79" s="2"/>
      <c r="BP79" s="2"/>
      <c r="BQ79" s="2"/>
      <c r="BR79" s="2"/>
      <c r="BS79" s="2"/>
      <c r="BT79" s="2"/>
      <c r="BU79" s="2"/>
      <c r="BV79" s="2"/>
    </row>
    <row r="80" spans="1:74" ht="13.5" customHeight="1">
      <c r="A80" s="2"/>
      <c r="B80" s="55"/>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1059"/>
      <c r="AE80" s="1059"/>
      <c r="AF80" s="1059"/>
      <c r="AG80" s="1059"/>
      <c r="AH80" s="1059"/>
      <c r="AI80" s="1059"/>
      <c r="AJ80" s="1059"/>
      <c r="AK80" s="1059"/>
      <c r="AL80" s="1059"/>
      <c r="AM80" s="1059"/>
      <c r="AN80" s="1059"/>
      <c r="AO80" s="1059"/>
      <c r="AP80" s="1059"/>
      <c r="AQ80" s="1059"/>
      <c r="AR80" s="1059"/>
      <c r="AS80" s="1059"/>
      <c r="AT80" s="1059"/>
      <c r="AU80" s="1059"/>
      <c r="AV80" s="1059"/>
      <c r="AW80" s="1059"/>
      <c r="AX80" s="1059"/>
      <c r="AY80" s="1059"/>
      <c r="AZ80" s="1059"/>
      <c r="BA80" s="1059"/>
      <c r="BB80" s="1059"/>
      <c r="BC80" s="2"/>
      <c r="BD80" s="2"/>
      <c r="BE80" s="2"/>
      <c r="BF80" s="2"/>
      <c r="BG80" s="2"/>
      <c r="BH80" s="2"/>
      <c r="BI80" s="2"/>
      <c r="BJ80" s="2"/>
      <c r="BK80" s="2"/>
      <c r="BL80" s="2"/>
      <c r="BM80" s="2"/>
      <c r="BN80" s="2"/>
      <c r="BO80" s="2"/>
      <c r="BP80" s="2"/>
      <c r="BQ80" s="2"/>
      <c r="BR80" s="2"/>
      <c r="BS80" s="2"/>
      <c r="BT80" s="2"/>
      <c r="BU80" s="2"/>
      <c r="BV80" s="2"/>
    </row>
    <row r="81" spans="1:74" ht="13.5" customHeight="1">
      <c r="A81" s="2"/>
      <c r="B81" s="55"/>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1059"/>
      <c r="AE81" s="1059"/>
      <c r="AF81" s="1059"/>
      <c r="AG81" s="1059"/>
      <c r="AH81" s="1059"/>
      <c r="AI81" s="1059"/>
      <c r="AJ81" s="1059"/>
      <c r="AK81" s="1059"/>
      <c r="AL81" s="1059"/>
      <c r="AM81" s="1059"/>
      <c r="AN81" s="1059"/>
      <c r="AO81" s="1059"/>
      <c r="AP81" s="1059"/>
      <c r="AQ81" s="1059"/>
      <c r="AR81" s="1059"/>
      <c r="AS81" s="1059"/>
      <c r="AT81" s="1059"/>
      <c r="AU81" s="1059"/>
      <c r="AV81" s="1059"/>
      <c r="AW81" s="1059"/>
      <c r="AX81" s="1059"/>
      <c r="AY81" s="1059"/>
      <c r="AZ81" s="1059"/>
      <c r="BA81" s="1059"/>
      <c r="BB81" s="1059"/>
      <c r="BC81" s="2"/>
      <c r="BD81" s="2"/>
      <c r="BE81" s="2"/>
      <c r="BF81" s="2"/>
      <c r="BG81" s="2"/>
      <c r="BH81" s="2"/>
      <c r="BI81" s="2"/>
      <c r="BJ81" s="2"/>
      <c r="BK81" s="2"/>
      <c r="BL81" s="2"/>
      <c r="BM81" s="2"/>
      <c r="BN81" s="2"/>
      <c r="BO81" s="2"/>
      <c r="BP81" s="2"/>
      <c r="BQ81" s="2"/>
      <c r="BR81" s="2"/>
      <c r="BS81" s="2"/>
      <c r="BT81" s="2"/>
      <c r="BU81" s="2"/>
      <c r="BV81" s="2"/>
    </row>
    <row r="82" spans="1:74" ht="13.5" customHeight="1">
      <c r="A82" s="2"/>
      <c r="B82" s="55"/>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1059"/>
      <c r="AE82" s="1059"/>
      <c r="AF82" s="1059"/>
      <c r="AG82" s="1059"/>
      <c r="AH82" s="1059"/>
      <c r="AI82" s="1059"/>
      <c r="AJ82" s="1059"/>
      <c r="AK82" s="1059"/>
      <c r="AL82" s="1059"/>
      <c r="AM82" s="1059"/>
      <c r="AN82" s="1059"/>
      <c r="AO82" s="1059"/>
      <c r="AP82" s="1059"/>
      <c r="AQ82" s="1059"/>
      <c r="AR82" s="1059"/>
      <c r="AS82" s="1059"/>
      <c r="AT82" s="1059"/>
      <c r="AU82" s="1059"/>
      <c r="AV82" s="1059"/>
      <c r="AW82" s="1059"/>
      <c r="AX82" s="1059"/>
      <c r="AY82" s="1059"/>
      <c r="AZ82" s="1059"/>
      <c r="BA82" s="1059"/>
      <c r="BB82" s="1059"/>
      <c r="BC82" s="2"/>
      <c r="BD82" s="2"/>
      <c r="BE82" s="2"/>
      <c r="BF82" s="2"/>
      <c r="BG82" s="2"/>
      <c r="BH82" s="2"/>
      <c r="BI82" s="2"/>
      <c r="BJ82" s="2"/>
      <c r="BK82" s="2"/>
      <c r="BL82" s="2"/>
      <c r="BM82" s="2"/>
      <c r="BN82" s="2"/>
      <c r="BO82" s="2"/>
      <c r="BP82" s="2"/>
      <c r="BQ82" s="2"/>
      <c r="BR82" s="2"/>
      <c r="BS82" s="2"/>
      <c r="BT82" s="2"/>
      <c r="BU82" s="2"/>
      <c r="BV82" s="2"/>
    </row>
    <row r="83" spans="1:74" ht="13.5" customHeight="1">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1059"/>
      <c r="AE83" s="1059"/>
      <c r="AF83" s="1059"/>
      <c r="AG83" s="1059"/>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row>
    <row r="84" spans="1:74" ht="13.5" customHeight="1">
      <c r="A84" s="2"/>
      <c r="B84" s="55"/>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1059"/>
      <c r="AI84" s="1059"/>
      <c r="AJ84" s="1059"/>
      <c r="AK84" s="1059"/>
      <c r="AL84" s="1059"/>
      <c r="AM84" s="1059"/>
      <c r="AN84" s="1059"/>
      <c r="AO84" s="1059"/>
      <c r="AP84" s="1059"/>
      <c r="AQ84" s="1059"/>
      <c r="AR84" s="1059"/>
      <c r="AS84" s="1059"/>
      <c r="AT84" s="1059"/>
      <c r="AU84" s="1059"/>
      <c r="AV84" s="1059"/>
      <c r="AW84" s="1059"/>
      <c r="AX84" s="1059"/>
      <c r="AY84" s="1059"/>
      <c r="AZ84" s="1059"/>
      <c r="BA84" s="1059"/>
      <c r="BB84" s="1059"/>
      <c r="BC84" s="2"/>
      <c r="BD84" s="2"/>
      <c r="BE84" s="2"/>
      <c r="BF84" s="2"/>
      <c r="BG84" s="2"/>
      <c r="BH84" s="2"/>
      <c r="BI84" s="2"/>
      <c r="BJ84" s="2"/>
      <c r="BK84" s="2"/>
      <c r="BL84" s="2"/>
      <c r="BM84" s="2"/>
      <c r="BN84" s="2"/>
      <c r="BO84" s="2"/>
      <c r="BP84" s="2"/>
      <c r="BQ84" s="2"/>
      <c r="BR84" s="2"/>
      <c r="BS84" s="2"/>
      <c r="BT84" s="2"/>
      <c r="BU84" s="2"/>
      <c r="BV84" s="2"/>
    </row>
    <row r="85" spans="1:74" ht="13.5" customHeight="1">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1059"/>
      <c r="AE85" s="1059"/>
      <c r="AF85" s="1059"/>
      <c r="AG85" s="1059"/>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row>
    <row r="86" spans="1:74" ht="13.5" customHeight="1">
      <c r="A86" s="2"/>
      <c r="B86" s="55"/>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1059"/>
      <c r="AI86" s="1059"/>
      <c r="AJ86" s="1059"/>
      <c r="AK86" s="1059"/>
      <c r="AL86" s="1059"/>
      <c r="AM86" s="1059"/>
      <c r="AN86" s="1059"/>
      <c r="AO86" s="1059"/>
      <c r="AP86" s="1059"/>
      <c r="AQ86" s="1059"/>
      <c r="AR86" s="1059"/>
      <c r="AS86" s="1059"/>
      <c r="AT86" s="1059"/>
      <c r="AU86" s="1059"/>
      <c r="AV86" s="1059"/>
      <c r="AW86" s="1059"/>
      <c r="AX86" s="1059"/>
      <c r="AY86" s="1059"/>
      <c r="AZ86" s="1059"/>
      <c r="BA86" s="1059"/>
      <c r="BB86" s="1059"/>
      <c r="BC86" s="2"/>
      <c r="BD86" s="2"/>
      <c r="BE86" s="2"/>
      <c r="BF86" s="2"/>
      <c r="BG86" s="2"/>
      <c r="BH86" s="2"/>
      <c r="BI86" s="2"/>
      <c r="BJ86" s="2"/>
      <c r="BK86" s="2"/>
      <c r="BL86" s="2"/>
      <c r="BM86" s="2"/>
      <c r="BN86" s="2"/>
      <c r="BO86" s="2"/>
      <c r="BP86" s="2"/>
      <c r="BQ86" s="2"/>
      <c r="BR86" s="2"/>
      <c r="BS86" s="2"/>
      <c r="BT86" s="2"/>
      <c r="BU86" s="2"/>
      <c r="BV86" s="2"/>
    </row>
    <row r="87" spans="1:74" ht="13.5" customHeight="1">
      <c r="A87" s="2"/>
      <c r="B87" s="55"/>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1059"/>
      <c r="AE87" s="1059"/>
      <c r="AF87" s="1059"/>
      <c r="AG87" s="1059"/>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row>
    <row r="88" spans="1:74" ht="13.5" customHeight="1">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1059"/>
      <c r="AI88" s="1059"/>
      <c r="AJ88" s="1059"/>
      <c r="AK88" s="1059"/>
      <c r="AL88" s="1059"/>
      <c r="AM88" s="1059"/>
      <c r="AN88" s="1059"/>
      <c r="AO88" s="1059"/>
      <c r="AP88" s="1059"/>
      <c r="AQ88" s="1059"/>
      <c r="AR88" s="1059"/>
      <c r="AS88" s="1059"/>
      <c r="AT88" s="1059"/>
      <c r="AU88" s="1059"/>
      <c r="AV88" s="1059"/>
      <c r="AW88" s="1059"/>
      <c r="AX88" s="1059"/>
      <c r="AY88" s="1059"/>
      <c r="AZ88" s="1059"/>
      <c r="BA88" s="1059"/>
      <c r="BB88" s="1059"/>
      <c r="BC88" s="2"/>
      <c r="BD88" s="2"/>
      <c r="BE88" s="2"/>
      <c r="BF88" s="2"/>
      <c r="BG88" s="2"/>
      <c r="BH88" s="2"/>
      <c r="BI88" s="2"/>
      <c r="BJ88" s="2"/>
      <c r="BK88" s="2"/>
      <c r="BL88" s="2"/>
      <c r="BM88" s="2"/>
      <c r="BN88" s="2"/>
      <c r="BO88" s="2"/>
      <c r="BP88" s="2"/>
      <c r="BQ88" s="2"/>
      <c r="BR88" s="2"/>
      <c r="BS88" s="2"/>
      <c r="BT88" s="2"/>
      <c r="BU88" s="2"/>
      <c r="BV88" s="2"/>
    </row>
    <row r="89" spans="1:74" ht="13.5" customHeight="1">
      <c r="A89" s="2"/>
      <c r="B89" s="1066"/>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1059"/>
      <c r="AE89" s="1059"/>
      <c r="AF89" s="1059"/>
      <c r="AG89" s="1059"/>
      <c r="AH89" s="1059"/>
      <c r="AI89" s="1059"/>
      <c r="AJ89" s="1059"/>
      <c r="AK89" s="1059"/>
      <c r="AL89" s="1059"/>
      <c r="AM89" s="1059"/>
      <c r="AN89" s="1059"/>
      <c r="AO89" s="1059"/>
      <c r="AP89" s="1059"/>
      <c r="AQ89" s="1059"/>
      <c r="AR89" s="1059"/>
      <c r="AS89" s="1059"/>
      <c r="AT89" s="1059"/>
      <c r="AU89" s="1059"/>
      <c r="AV89" s="1059"/>
      <c r="AW89" s="1059"/>
      <c r="AX89" s="1059"/>
      <c r="AY89" s="1059"/>
      <c r="AZ89" s="1059"/>
      <c r="BA89" s="1059"/>
      <c r="BB89" s="1059"/>
      <c r="BC89" s="2"/>
      <c r="BD89" s="2"/>
      <c r="BE89" s="2"/>
      <c r="BF89" s="2"/>
      <c r="BG89" s="2"/>
      <c r="BH89" s="2"/>
      <c r="BI89" s="2"/>
      <c r="BJ89" s="2"/>
      <c r="BK89" s="2"/>
      <c r="BL89" s="2"/>
      <c r="BM89" s="2"/>
      <c r="BN89" s="2"/>
      <c r="BO89" s="2"/>
      <c r="BP89" s="2"/>
      <c r="BQ89" s="2"/>
      <c r="BR89" s="2"/>
      <c r="BS89" s="2"/>
      <c r="BT89" s="2"/>
      <c r="BU89" s="2"/>
      <c r="BV89" s="2"/>
    </row>
    <row r="90" spans="1:74" ht="13.5" customHeight="1">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1059"/>
      <c r="AE90" s="1059"/>
      <c r="AF90" s="1059"/>
      <c r="AG90" s="1059"/>
      <c r="AH90" s="1059"/>
      <c r="AI90" s="1059"/>
      <c r="AJ90" s="1059"/>
      <c r="AK90" s="1059"/>
      <c r="AL90" s="1059"/>
      <c r="AM90" s="1059"/>
      <c r="AN90" s="1059"/>
      <c r="AO90" s="1059"/>
      <c r="AP90" s="1059"/>
      <c r="AQ90" s="1059"/>
      <c r="AR90" s="1059"/>
      <c r="AS90" s="1059"/>
      <c r="AT90" s="1059"/>
      <c r="AU90" s="1059"/>
      <c r="AV90" s="1059"/>
      <c r="AW90" s="1059"/>
      <c r="AX90" s="1059"/>
      <c r="AY90" s="1059"/>
      <c r="AZ90" s="1059"/>
      <c r="BA90" s="1059"/>
      <c r="BB90" s="1059"/>
      <c r="BC90" s="2"/>
      <c r="BD90" s="2"/>
      <c r="BE90" s="2"/>
      <c r="BF90" s="2"/>
      <c r="BG90" s="2"/>
      <c r="BH90" s="2"/>
      <c r="BI90" s="2"/>
      <c r="BJ90" s="2"/>
      <c r="BK90" s="2"/>
      <c r="BL90" s="2"/>
      <c r="BM90" s="2"/>
      <c r="BN90" s="2"/>
      <c r="BO90" s="2"/>
      <c r="BP90" s="2"/>
      <c r="BQ90" s="2"/>
      <c r="BR90" s="2"/>
      <c r="BS90" s="2"/>
      <c r="BT90" s="2"/>
      <c r="BU90" s="2"/>
      <c r="BV90" s="2"/>
    </row>
    <row r="91" spans="1:74" ht="13.5" customHeight="1">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1059"/>
      <c r="AE91" s="1059"/>
      <c r="AF91" s="1059"/>
      <c r="AG91" s="1059"/>
      <c r="AH91" s="1059"/>
      <c r="AI91" s="1059"/>
      <c r="AJ91" s="1059"/>
      <c r="AK91" s="1059"/>
      <c r="AL91" s="1059"/>
      <c r="AM91" s="1059"/>
      <c r="AN91" s="1059"/>
      <c r="AO91" s="1059"/>
      <c r="AP91" s="1059"/>
      <c r="AQ91" s="1059"/>
      <c r="AR91" s="1059"/>
      <c r="AS91" s="1059"/>
      <c r="AT91" s="1059"/>
      <c r="AU91" s="1059"/>
      <c r="AV91" s="1059"/>
      <c r="AW91" s="1059"/>
      <c r="AX91" s="1059"/>
      <c r="AY91" s="1059"/>
      <c r="AZ91" s="1059"/>
      <c r="BA91" s="1059"/>
      <c r="BB91" s="1059"/>
      <c r="BC91" s="2"/>
      <c r="BD91" s="2"/>
      <c r="BE91" s="2"/>
      <c r="BF91" s="2"/>
      <c r="BG91" s="2"/>
      <c r="BH91" s="2"/>
      <c r="BI91" s="2"/>
      <c r="BJ91" s="2"/>
      <c r="BK91" s="2"/>
      <c r="BL91" s="2"/>
      <c r="BM91" s="2"/>
      <c r="BN91" s="2"/>
      <c r="BO91" s="2"/>
      <c r="BP91" s="2"/>
      <c r="BQ91" s="2"/>
      <c r="BR91" s="2"/>
      <c r="BS91" s="2"/>
      <c r="BT91" s="2"/>
      <c r="BU91" s="2"/>
      <c r="BV91" s="2"/>
    </row>
    <row r="92" spans="1:74" ht="13.5" customHeight="1">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1059"/>
      <c r="AE92" s="1059"/>
      <c r="AF92" s="1059"/>
      <c r="AG92" s="1059"/>
      <c r="AH92" s="1059"/>
      <c r="AI92" s="1059"/>
      <c r="AJ92" s="1059"/>
      <c r="AK92" s="1059"/>
      <c r="AL92" s="1059"/>
      <c r="AM92" s="1059"/>
      <c r="AN92" s="1059"/>
      <c r="AO92" s="1059"/>
      <c r="AP92" s="1059"/>
      <c r="AQ92" s="1059"/>
      <c r="AR92" s="1059"/>
      <c r="AS92" s="1059"/>
      <c r="AT92" s="1059"/>
      <c r="AU92" s="1059"/>
      <c r="AV92" s="1059"/>
      <c r="AW92" s="1059"/>
      <c r="AX92" s="1059"/>
      <c r="AY92" s="1059"/>
      <c r="AZ92" s="1059"/>
      <c r="BA92" s="1059"/>
      <c r="BB92" s="1059"/>
      <c r="BC92" s="2"/>
      <c r="BD92" s="2"/>
      <c r="BE92" s="2"/>
      <c r="BF92" s="2"/>
      <c r="BG92" s="2"/>
      <c r="BH92" s="2"/>
      <c r="BI92" s="2"/>
      <c r="BJ92" s="2"/>
      <c r="BK92" s="2"/>
      <c r="BL92" s="2"/>
      <c r="BM92" s="2"/>
      <c r="BN92" s="2"/>
      <c r="BO92" s="2"/>
      <c r="BP92" s="2"/>
      <c r="BQ92" s="2"/>
      <c r="BR92" s="2"/>
      <c r="BS92" s="2"/>
      <c r="BT92" s="2"/>
      <c r="BU92" s="2"/>
      <c r="BV92" s="2"/>
    </row>
    <row r="93" spans="1:74" ht="13.5" customHeight="1">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1059"/>
      <c r="AE93" s="1059"/>
      <c r="AF93" s="1059"/>
      <c r="AG93" s="1059"/>
      <c r="AH93" s="1059"/>
      <c r="AI93" s="1059"/>
      <c r="AJ93" s="1059"/>
      <c r="AK93" s="1059"/>
      <c r="AL93" s="1059"/>
      <c r="AM93" s="1059"/>
      <c r="AN93" s="1059"/>
      <c r="AO93" s="1059"/>
      <c r="AP93" s="1059"/>
      <c r="AQ93" s="1059"/>
      <c r="AR93" s="1059"/>
      <c r="AS93" s="1059"/>
      <c r="AT93" s="1059"/>
      <c r="AU93" s="1059"/>
      <c r="AV93" s="1059"/>
      <c r="AW93" s="1059"/>
      <c r="AX93" s="1059"/>
      <c r="AY93" s="1059"/>
      <c r="AZ93" s="1059"/>
      <c r="BA93" s="1059"/>
      <c r="BB93" s="1059"/>
      <c r="BC93" s="2"/>
      <c r="BD93" s="2"/>
      <c r="BE93" s="2"/>
      <c r="BF93" s="2"/>
      <c r="BG93" s="2"/>
      <c r="BH93" s="2"/>
      <c r="BI93" s="2"/>
      <c r="BJ93" s="2"/>
      <c r="BK93" s="2"/>
      <c r="BL93" s="2"/>
      <c r="BM93" s="2"/>
      <c r="BN93" s="2"/>
      <c r="BO93" s="2"/>
      <c r="BP93" s="2"/>
      <c r="BQ93" s="2"/>
      <c r="BR93" s="2"/>
      <c r="BS93" s="2"/>
      <c r="BT93" s="2"/>
      <c r="BU93" s="2"/>
      <c r="BV93" s="2"/>
    </row>
    <row r="94" spans="1:74" ht="13.5" customHeight="1">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1059"/>
      <c r="AE94" s="1059"/>
      <c r="AF94" s="1059"/>
      <c r="AG94" s="1059"/>
      <c r="AH94" s="1059"/>
      <c r="AI94" s="1059"/>
      <c r="AJ94" s="1059"/>
      <c r="AK94" s="1059"/>
      <c r="AL94" s="1059"/>
      <c r="AM94" s="1059"/>
      <c r="AN94" s="1059"/>
      <c r="AO94" s="1059"/>
      <c r="AP94" s="1059"/>
      <c r="AQ94" s="1059"/>
      <c r="AR94" s="1059"/>
      <c r="AS94" s="1059"/>
      <c r="AT94" s="1059"/>
      <c r="AU94" s="1059"/>
      <c r="AV94" s="1059"/>
      <c r="AW94" s="1059"/>
      <c r="AX94" s="1059"/>
      <c r="AY94" s="1059"/>
      <c r="AZ94" s="1059"/>
      <c r="BA94" s="1059"/>
      <c r="BB94" s="1059"/>
      <c r="BC94" s="2"/>
      <c r="BD94" s="2"/>
      <c r="BE94" s="2"/>
      <c r="BF94" s="2"/>
      <c r="BG94" s="2"/>
      <c r="BH94" s="2"/>
      <c r="BI94" s="2"/>
      <c r="BJ94" s="2"/>
      <c r="BK94" s="2"/>
      <c r="BL94" s="2"/>
      <c r="BM94" s="2"/>
      <c r="BN94" s="2"/>
      <c r="BO94" s="2"/>
      <c r="BP94" s="2"/>
      <c r="BQ94" s="2"/>
      <c r="BR94" s="2"/>
      <c r="BS94" s="2"/>
      <c r="BT94" s="2"/>
      <c r="BU94" s="2"/>
      <c r="BV94" s="2"/>
    </row>
    <row r="95" spans="1:74" ht="13.5" customHeight="1">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1059"/>
      <c r="AE95" s="1059"/>
      <c r="AF95" s="1059"/>
      <c r="AG95" s="1059"/>
      <c r="AH95" s="1059"/>
      <c r="AI95" s="1059"/>
      <c r="AJ95" s="1059"/>
      <c r="AK95" s="1059"/>
      <c r="AL95" s="1059"/>
      <c r="AM95" s="1059"/>
      <c r="AN95" s="1059"/>
      <c r="AO95" s="1059"/>
      <c r="AP95" s="1059"/>
      <c r="AQ95" s="1059"/>
      <c r="AR95" s="1059"/>
      <c r="AS95" s="1059"/>
      <c r="AT95" s="1059"/>
      <c r="AU95" s="1059"/>
      <c r="AV95" s="1059"/>
      <c r="AW95" s="1059"/>
      <c r="AX95" s="1059"/>
      <c r="AY95" s="1059"/>
      <c r="AZ95" s="1059"/>
      <c r="BA95" s="1059"/>
      <c r="BB95" s="1059"/>
      <c r="BC95" s="2"/>
      <c r="BD95" s="2"/>
      <c r="BE95" s="2"/>
      <c r="BF95" s="2"/>
      <c r="BG95" s="2"/>
      <c r="BH95" s="2"/>
      <c r="BI95" s="2"/>
      <c r="BJ95" s="2"/>
      <c r="BK95" s="2"/>
      <c r="BL95" s="2"/>
      <c r="BM95" s="2"/>
      <c r="BN95" s="2"/>
      <c r="BO95" s="2"/>
      <c r="BP95" s="2"/>
      <c r="BQ95" s="2"/>
      <c r="BR95" s="2"/>
      <c r="BS95" s="2"/>
      <c r="BT95" s="2"/>
      <c r="BU95" s="2"/>
      <c r="BV95" s="2"/>
    </row>
    <row r="96" spans="1:74" ht="13.5" customHeight="1">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1059"/>
      <c r="AE96" s="1059"/>
      <c r="AF96" s="1059"/>
      <c r="AG96" s="1059"/>
      <c r="AH96" s="1059"/>
      <c r="AI96" s="1059"/>
      <c r="AJ96" s="1059"/>
      <c r="AK96" s="1059"/>
      <c r="AL96" s="1059"/>
      <c r="AM96" s="1059"/>
      <c r="AN96" s="1059"/>
      <c r="AO96" s="1059"/>
      <c r="AP96" s="1059"/>
      <c r="AQ96" s="1059"/>
      <c r="AR96" s="1059"/>
      <c r="AS96" s="1059"/>
      <c r="AT96" s="1059"/>
      <c r="AU96" s="1059"/>
      <c r="AV96" s="1059"/>
      <c r="AW96" s="1059"/>
      <c r="AX96" s="1059"/>
      <c r="AY96" s="1059"/>
      <c r="AZ96" s="1059"/>
      <c r="BA96" s="1059"/>
      <c r="BB96" s="1059"/>
      <c r="BC96" s="2"/>
      <c r="BD96" s="2"/>
      <c r="BE96" s="2"/>
      <c r="BF96" s="2"/>
      <c r="BG96" s="2"/>
      <c r="BH96" s="2"/>
      <c r="BI96" s="2"/>
      <c r="BJ96" s="2"/>
      <c r="BK96" s="2"/>
      <c r="BL96" s="2"/>
      <c r="BM96" s="2"/>
      <c r="BN96" s="2"/>
      <c r="BO96" s="2"/>
      <c r="BP96" s="2"/>
      <c r="BQ96" s="2"/>
      <c r="BR96" s="2"/>
      <c r="BS96" s="2"/>
      <c r="BT96" s="2"/>
      <c r="BU96" s="2"/>
      <c r="BV96" s="2"/>
    </row>
    <row r="97" spans="1:74" ht="13.5" customHeight="1">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1059"/>
      <c r="AE97" s="1059"/>
      <c r="AF97" s="1059"/>
      <c r="AG97" s="1059"/>
      <c r="AH97" s="1059"/>
      <c r="AI97" s="1059"/>
      <c r="AJ97" s="1059"/>
      <c r="AK97" s="1059"/>
      <c r="AL97" s="1059"/>
      <c r="AM97" s="1059"/>
      <c r="AN97" s="1059"/>
      <c r="AO97" s="1059"/>
      <c r="AP97" s="1059"/>
      <c r="AQ97" s="1059"/>
      <c r="AR97" s="1059"/>
      <c r="AS97" s="1059"/>
      <c r="AT97" s="1059"/>
      <c r="AU97" s="1059"/>
      <c r="AV97" s="1059"/>
      <c r="AW97" s="1059"/>
      <c r="AX97" s="1059"/>
      <c r="AY97" s="1059"/>
      <c r="AZ97" s="1059"/>
      <c r="BA97" s="1059"/>
      <c r="BB97" s="1059"/>
      <c r="BC97" s="2"/>
      <c r="BD97" s="2"/>
      <c r="BE97" s="2"/>
      <c r="BF97" s="2"/>
      <c r="BG97" s="2"/>
      <c r="BH97" s="2"/>
      <c r="BI97" s="2"/>
      <c r="BJ97" s="2"/>
      <c r="BK97" s="2"/>
      <c r="BL97" s="2"/>
      <c r="BM97" s="2"/>
      <c r="BN97" s="2"/>
      <c r="BO97" s="2"/>
      <c r="BP97" s="2"/>
      <c r="BQ97" s="2"/>
      <c r="BR97" s="2"/>
      <c r="BS97" s="2"/>
      <c r="BT97" s="2"/>
      <c r="BU97" s="2"/>
      <c r="BV97" s="2"/>
    </row>
    <row r="98" spans="1:74" ht="13.5" customHeight="1">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1059"/>
      <c r="AE98" s="1059"/>
      <c r="AF98" s="1059"/>
      <c r="AG98" s="1059"/>
      <c r="AH98" s="1059"/>
      <c r="AI98" s="1059"/>
      <c r="AJ98" s="1059"/>
      <c r="AK98" s="1059"/>
      <c r="AL98" s="1059"/>
      <c r="AM98" s="1059"/>
      <c r="AN98" s="1059"/>
      <c r="AO98" s="1059"/>
      <c r="AP98" s="1059"/>
      <c r="AQ98" s="1059"/>
      <c r="AR98" s="1059"/>
      <c r="AS98" s="1059"/>
      <c r="AT98" s="1059"/>
      <c r="AU98" s="1059"/>
      <c r="AV98" s="1059"/>
      <c r="AW98" s="1059"/>
      <c r="AX98" s="1059"/>
      <c r="AY98" s="1059"/>
      <c r="AZ98" s="1059"/>
      <c r="BA98" s="1059"/>
      <c r="BB98" s="1059"/>
      <c r="BC98" s="2"/>
      <c r="BD98" s="2"/>
      <c r="BE98" s="2"/>
      <c r="BF98" s="2"/>
      <c r="BG98" s="2"/>
      <c r="BH98" s="2"/>
      <c r="BI98" s="2"/>
      <c r="BJ98" s="2"/>
      <c r="BK98" s="2"/>
      <c r="BL98" s="2"/>
      <c r="BM98" s="2"/>
      <c r="BN98" s="2"/>
      <c r="BO98" s="2"/>
      <c r="BP98" s="2"/>
      <c r="BQ98" s="2"/>
      <c r="BR98" s="2"/>
      <c r="BS98" s="2"/>
      <c r="BT98" s="2"/>
      <c r="BU98" s="2"/>
      <c r="BV98" s="2"/>
    </row>
    <row r="99" spans="1:74" ht="13.5" customHeight="1">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1059"/>
      <c r="AE99" s="1059"/>
      <c r="AF99" s="1059"/>
      <c r="AG99" s="1059"/>
      <c r="AH99" s="1059"/>
      <c r="AI99" s="1059"/>
      <c r="AJ99" s="1059"/>
      <c r="AK99" s="1059"/>
      <c r="AL99" s="1059"/>
      <c r="AM99" s="1059"/>
      <c r="AN99" s="1059"/>
      <c r="AO99" s="1059"/>
      <c r="AP99" s="1059"/>
      <c r="AQ99" s="1059"/>
      <c r="AR99" s="1059"/>
      <c r="AS99" s="1059"/>
      <c r="AT99" s="1059"/>
      <c r="AU99" s="1059"/>
      <c r="AV99" s="1059"/>
      <c r="AW99" s="1059"/>
      <c r="AX99" s="1059"/>
      <c r="AY99" s="1059"/>
      <c r="AZ99" s="1059"/>
      <c r="BA99" s="1059"/>
      <c r="BB99" s="1059"/>
      <c r="BC99" s="2"/>
      <c r="BD99" s="2"/>
      <c r="BE99" s="2"/>
      <c r="BF99" s="2"/>
      <c r="BG99" s="2"/>
      <c r="BH99" s="2"/>
      <c r="BI99" s="2"/>
      <c r="BJ99" s="2"/>
      <c r="BK99" s="2"/>
      <c r="BL99" s="2"/>
      <c r="BM99" s="2"/>
      <c r="BN99" s="2"/>
      <c r="BO99" s="2"/>
      <c r="BP99" s="2"/>
      <c r="BQ99" s="2"/>
      <c r="BR99" s="2"/>
      <c r="BS99" s="2"/>
      <c r="BT99" s="2"/>
      <c r="BU99" s="2"/>
      <c r="BV99" s="2"/>
    </row>
    <row r="100" spans="1:74" ht="6.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1059"/>
      <c r="AE100" s="1059"/>
      <c r="AF100" s="1059"/>
      <c r="AG100" s="1059"/>
      <c r="AH100" s="1059"/>
      <c r="AI100" s="1059"/>
      <c r="AJ100" s="1059"/>
      <c r="AK100" s="1059"/>
      <c r="AL100" s="1059"/>
      <c r="AM100" s="1059"/>
      <c r="AN100" s="1059"/>
      <c r="AO100" s="1059"/>
      <c r="AP100" s="1059"/>
      <c r="AQ100" s="1059"/>
      <c r="AR100" s="1059"/>
      <c r="AS100" s="1059"/>
      <c r="AT100" s="1059"/>
      <c r="AU100" s="1059"/>
      <c r="AV100" s="1059"/>
      <c r="AW100" s="1059"/>
      <c r="AX100" s="1059"/>
      <c r="AY100" s="1059"/>
      <c r="AZ100" s="1059"/>
      <c r="BA100" s="1059"/>
      <c r="BB100" s="1059"/>
      <c r="BC100" s="2"/>
      <c r="BD100" s="2"/>
      <c r="BE100" s="2"/>
      <c r="BF100" s="2"/>
      <c r="BG100" s="2"/>
      <c r="BH100" s="2"/>
      <c r="BI100" s="2"/>
      <c r="BJ100" s="2"/>
      <c r="BK100" s="2"/>
      <c r="BL100" s="2"/>
      <c r="BM100" s="2"/>
      <c r="BN100" s="2"/>
      <c r="BO100" s="2"/>
      <c r="BP100" s="2"/>
      <c r="BQ100" s="2"/>
      <c r="BR100" s="2"/>
      <c r="BS100" s="2"/>
      <c r="BT100" s="2"/>
      <c r="BU100" s="2"/>
      <c r="BV100" s="2"/>
    </row>
    <row r="101" spans="1:74" ht="13.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1059"/>
      <c r="AE101" s="1059"/>
      <c r="AF101" s="1059"/>
      <c r="AG101" s="1059"/>
      <c r="AH101" s="1059"/>
      <c r="AI101" s="1059"/>
      <c r="AJ101" s="1059"/>
      <c r="AK101" s="1059"/>
      <c r="AL101" s="1059"/>
      <c r="AM101" s="1059"/>
      <c r="AN101" s="1059"/>
      <c r="AO101" s="1059"/>
      <c r="AP101" s="1059"/>
      <c r="AQ101" s="1059"/>
      <c r="AR101" s="1059"/>
      <c r="AS101" s="1059"/>
      <c r="AT101" s="1059"/>
      <c r="AU101" s="1059"/>
      <c r="AV101" s="1059"/>
      <c r="AW101" s="1059"/>
      <c r="AX101" s="1059"/>
      <c r="AY101" s="1059"/>
      <c r="AZ101" s="1059"/>
      <c r="BA101" s="1059"/>
      <c r="BB101" s="1059"/>
      <c r="BC101" s="2"/>
      <c r="BD101" s="2"/>
      <c r="BE101" s="2"/>
      <c r="BF101" s="2"/>
      <c r="BG101" s="2"/>
      <c r="BH101" s="2"/>
      <c r="BI101" s="2"/>
      <c r="BJ101" s="2"/>
      <c r="BK101" s="2"/>
      <c r="BL101" s="2"/>
      <c r="BM101" s="2"/>
      <c r="BN101" s="2"/>
      <c r="BO101" s="2"/>
      <c r="BP101" s="2"/>
      <c r="BQ101" s="2"/>
      <c r="BR101" s="2"/>
      <c r="BS101" s="2"/>
      <c r="BT101" s="2"/>
      <c r="BU101" s="2"/>
      <c r="BV101" s="2"/>
    </row>
    <row r="102" spans="1:74" ht="13.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1059"/>
      <c r="AE102" s="1059"/>
      <c r="AF102" s="1059"/>
      <c r="AG102" s="1059"/>
      <c r="AH102" s="1059"/>
      <c r="AI102" s="1059"/>
      <c r="AJ102" s="1059"/>
      <c r="AK102" s="1059"/>
      <c r="AL102" s="1059"/>
      <c r="AM102" s="1059"/>
      <c r="AN102" s="1059"/>
      <c r="AO102" s="1059"/>
      <c r="AP102" s="1059"/>
      <c r="AQ102" s="1059"/>
      <c r="AR102" s="1059"/>
      <c r="AS102" s="1059"/>
      <c r="AT102" s="1059"/>
      <c r="AU102" s="1059"/>
      <c r="AV102" s="1059"/>
      <c r="AW102" s="1059"/>
      <c r="AX102" s="1059"/>
      <c r="AY102" s="1059"/>
      <c r="AZ102" s="1059"/>
      <c r="BA102" s="1059"/>
      <c r="BB102" s="1059"/>
      <c r="BC102" s="2"/>
      <c r="BD102" s="2"/>
      <c r="BE102" s="2"/>
      <c r="BF102" s="2"/>
      <c r="BG102" s="2"/>
      <c r="BH102" s="2"/>
      <c r="BI102" s="2"/>
      <c r="BJ102" s="2"/>
      <c r="BK102" s="2"/>
      <c r="BL102" s="2"/>
      <c r="BM102" s="2"/>
      <c r="BN102" s="2"/>
      <c r="BO102" s="2"/>
      <c r="BP102" s="2"/>
      <c r="BQ102" s="2"/>
      <c r="BR102" s="2"/>
      <c r="BS102" s="2"/>
      <c r="BT102" s="2"/>
      <c r="BU102" s="2"/>
      <c r="BV102" s="2"/>
    </row>
    <row r="103" spans="1:74" ht="13.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1059"/>
      <c r="AE103" s="1059"/>
      <c r="AF103" s="1059"/>
      <c r="AG103" s="1059"/>
      <c r="AH103" s="1059"/>
      <c r="AI103" s="1059"/>
      <c r="AJ103" s="1059"/>
      <c r="AK103" s="1059"/>
      <c r="AL103" s="1059"/>
      <c r="AM103" s="1059"/>
      <c r="AN103" s="1059"/>
      <c r="AO103" s="1059"/>
      <c r="AP103" s="1059"/>
      <c r="AQ103" s="1059"/>
      <c r="AR103" s="1059"/>
      <c r="AS103" s="1059"/>
      <c r="AT103" s="1059"/>
      <c r="AU103" s="1059"/>
      <c r="AV103" s="1059"/>
      <c r="AW103" s="1059"/>
      <c r="AX103" s="1059"/>
      <c r="AY103" s="1059"/>
      <c r="AZ103" s="1059"/>
      <c r="BA103" s="1059"/>
      <c r="BB103" s="1059"/>
      <c r="BC103" s="2"/>
      <c r="BD103" s="2"/>
      <c r="BE103" s="2"/>
      <c r="BF103" s="2"/>
      <c r="BG103" s="2"/>
      <c r="BH103" s="2"/>
      <c r="BI103" s="2"/>
      <c r="BJ103" s="2"/>
      <c r="BK103" s="2"/>
      <c r="BL103" s="2"/>
      <c r="BM103" s="2"/>
      <c r="BN103" s="2"/>
      <c r="BO103" s="2"/>
      <c r="BP103" s="2"/>
      <c r="BQ103" s="2"/>
      <c r="BR103" s="2"/>
      <c r="BS103" s="2"/>
      <c r="BT103" s="2"/>
      <c r="BU103" s="2"/>
      <c r="BV103" s="2"/>
    </row>
    <row r="104" spans="1:74" ht="13.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1059"/>
      <c r="AE104" s="1059"/>
      <c r="AF104" s="1059"/>
      <c r="AG104" s="1059"/>
      <c r="AH104" s="1059"/>
      <c r="AI104" s="1059"/>
      <c r="AJ104" s="1059"/>
      <c r="AK104" s="1059"/>
      <c r="AL104" s="1059"/>
      <c r="AM104" s="1059"/>
      <c r="AN104" s="1059"/>
      <c r="AO104" s="1059"/>
      <c r="AP104" s="1059"/>
      <c r="AQ104" s="1059"/>
      <c r="AR104" s="1059"/>
      <c r="AS104" s="1059"/>
      <c r="AT104" s="1059"/>
      <c r="AU104" s="1059"/>
      <c r="AV104" s="1059"/>
      <c r="AW104" s="1059"/>
      <c r="AX104" s="1059"/>
      <c r="AY104" s="1059"/>
      <c r="AZ104" s="1059"/>
      <c r="BA104" s="1059"/>
      <c r="BB104" s="1059"/>
      <c r="BC104" s="2"/>
      <c r="BD104" s="2"/>
      <c r="BE104" s="2"/>
      <c r="BF104" s="2"/>
      <c r="BG104" s="2"/>
      <c r="BH104" s="2"/>
      <c r="BI104" s="2"/>
      <c r="BJ104" s="2"/>
      <c r="BK104" s="2"/>
      <c r="BL104" s="2"/>
      <c r="BM104" s="2"/>
      <c r="BN104" s="2"/>
      <c r="BO104" s="2"/>
      <c r="BP104" s="2"/>
      <c r="BQ104" s="2"/>
      <c r="BR104" s="2"/>
      <c r="BS104" s="2"/>
      <c r="BT104" s="2"/>
      <c r="BU104" s="2"/>
      <c r="BV104" s="2"/>
    </row>
    <row r="105" spans="1:74" ht="13.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1059"/>
      <c r="AE105" s="1059"/>
      <c r="AF105" s="1059"/>
      <c r="AG105" s="1059"/>
      <c r="AH105" s="1059"/>
      <c r="AI105" s="1059"/>
      <c r="AJ105" s="1059"/>
      <c r="AK105" s="1059"/>
      <c r="AL105" s="1059"/>
      <c r="AM105" s="1059"/>
      <c r="AN105" s="1059"/>
      <c r="AO105" s="1059"/>
      <c r="AP105" s="1059"/>
      <c r="AQ105" s="1059"/>
      <c r="AR105" s="1059"/>
      <c r="AS105" s="1059"/>
      <c r="AT105" s="1059"/>
      <c r="AU105" s="1059"/>
      <c r="AV105" s="1059"/>
      <c r="AW105" s="1059"/>
      <c r="AX105" s="1059"/>
      <c r="AY105" s="1059"/>
      <c r="AZ105" s="1059"/>
      <c r="BA105" s="1059"/>
      <c r="BB105" s="1059"/>
      <c r="BC105" s="2"/>
      <c r="BD105" s="2"/>
      <c r="BE105" s="2"/>
      <c r="BF105" s="2"/>
      <c r="BG105" s="2"/>
      <c r="BH105" s="2"/>
      <c r="BI105" s="2"/>
      <c r="BJ105" s="2"/>
      <c r="BK105" s="2"/>
      <c r="BL105" s="2"/>
      <c r="BM105" s="2"/>
      <c r="BN105" s="2"/>
      <c r="BO105" s="2"/>
      <c r="BP105" s="2"/>
      <c r="BQ105" s="2"/>
      <c r="BR105" s="2"/>
      <c r="BS105" s="2"/>
      <c r="BT105" s="2"/>
      <c r="BU105" s="2"/>
      <c r="BV105" s="2"/>
    </row>
    <row r="106" spans="1:74" ht="13.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1059"/>
      <c r="AE106" s="1059"/>
      <c r="AF106" s="1059"/>
      <c r="AG106" s="1059"/>
      <c r="AH106" s="1059"/>
      <c r="AI106" s="1059"/>
      <c r="AJ106" s="1059"/>
      <c r="AK106" s="1059"/>
      <c r="AL106" s="1059"/>
      <c r="AM106" s="1059"/>
      <c r="AN106" s="1059"/>
      <c r="AO106" s="1059"/>
      <c r="AP106" s="1059"/>
      <c r="AQ106" s="1059"/>
      <c r="AR106" s="1059"/>
      <c r="AS106" s="1059"/>
      <c r="AT106" s="1059"/>
      <c r="AU106" s="1059"/>
      <c r="AV106" s="1059"/>
      <c r="AW106" s="1059"/>
      <c r="AX106" s="1059"/>
      <c r="AY106" s="1059"/>
      <c r="AZ106" s="1059"/>
      <c r="BA106" s="1059"/>
      <c r="BB106" s="1059"/>
      <c r="BC106" s="2"/>
      <c r="BD106" s="2"/>
      <c r="BE106" s="2"/>
      <c r="BF106" s="2"/>
      <c r="BG106" s="2"/>
      <c r="BH106" s="2"/>
      <c r="BI106" s="2"/>
      <c r="BJ106" s="2"/>
      <c r="BK106" s="2"/>
      <c r="BL106" s="2"/>
      <c r="BM106" s="2"/>
      <c r="BN106" s="2"/>
      <c r="BO106" s="2"/>
      <c r="BP106" s="2"/>
      <c r="BQ106" s="2"/>
      <c r="BR106" s="2"/>
      <c r="BS106" s="2"/>
      <c r="BT106" s="2"/>
      <c r="BU106" s="2"/>
      <c r="BV106" s="2"/>
    </row>
    <row r="107" spans="1:74" ht="13.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1059"/>
      <c r="AE107" s="1059"/>
      <c r="AF107" s="1059"/>
      <c r="AG107" s="1059"/>
      <c r="AH107" s="1059"/>
      <c r="AI107" s="1059"/>
      <c r="AJ107" s="1059"/>
      <c r="AK107" s="1059"/>
      <c r="AL107" s="1059"/>
      <c r="AM107" s="1059"/>
      <c r="AN107" s="1059"/>
      <c r="AO107" s="1059"/>
      <c r="AP107" s="1059"/>
      <c r="AQ107" s="1059"/>
      <c r="AR107" s="1059"/>
      <c r="AS107" s="1059"/>
      <c r="AT107" s="1059"/>
      <c r="AU107" s="1059"/>
      <c r="AV107" s="1059"/>
      <c r="AW107" s="1059"/>
      <c r="AX107" s="1059"/>
      <c r="AY107" s="1059"/>
      <c r="AZ107" s="1059"/>
      <c r="BA107" s="1059"/>
      <c r="BB107" s="1059"/>
      <c r="BC107" s="2"/>
      <c r="BD107" s="2"/>
      <c r="BE107" s="2"/>
      <c r="BF107" s="2"/>
      <c r="BG107" s="2"/>
      <c r="BH107" s="2"/>
      <c r="BI107" s="2"/>
      <c r="BJ107" s="2"/>
      <c r="BK107" s="2"/>
      <c r="BL107" s="2"/>
      <c r="BM107" s="2"/>
      <c r="BN107" s="2"/>
      <c r="BO107" s="2"/>
      <c r="BP107" s="2"/>
      <c r="BQ107" s="2"/>
      <c r="BR107" s="2"/>
      <c r="BS107" s="2"/>
      <c r="BT107" s="2"/>
      <c r="BU107" s="2"/>
      <c r="BV107" s="2"/>
    </row>
    <row r="108" spans="1:74" ht="13.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1059"/>
      <c r="AE108" s="1059"/>
      <c r="AF108" s="1059"/>
      <c r="AG108" s="1059"/>
      <c r="AH108" s="1059"/>
      <c r="AI108" s="1059"/>
      <c r="AJ108" s="1059"/>
      <c r="AK108" s="1059"/>
      <c r="AL108" s="1059"/>
      <c r="AM108" s="1059"/>
      <c r="AN108" s="1059"/>
      <c r="AO108" s="1059"/>
      <c r="AP108" s="1059"/>
      <c r="AQ108" s="1059"/>
      <c r="AR108" s="1059"/>
      <c r="AS108" s="1059"/>
      <c r="AT108" s="1059"/>
      <c r="AU108" s="1059"/>
      <c r="AV108" s="1059"/>
      <c r="AW108" s="1059"/>
      <c r="AX108" s="1059"/>
      <c r="AY108" s="1059"/>
      <c r="AZ108" s="1059"/>
      <c r="BA108" s="1059"/>
      <c r="BB108" s="1059"/>
      <c r="BC108" s="2"/>
      <c r="BD108" s="2"/>
      <c r="BE108" s="2"/>
      <c r="BF108" s="2"/>
      <c r="BG108" s="2"/>
      <c r="BH108" s="2"/>
      <c r="BI108" s="2"/>
      <c r="BJ108" s="2"/>
      <c r="BK108" s="2"/>
      <c r="BL108" s="2"/>
      <c r="BM108" s="2"/>
      <c r="BN108" s="2"/>
      <c r="BO108" s="2"/>
      <c r="BP108" s="2"/>
      <c r="BQ108" s="2"/>
      <c r="BR108" s="2"/>
      <c r="BS108" s="2"/>
      <c r="BT108" s="2"/>
      <c r="BU108" s="2"/>
      <c r="BV108" s="2"/>
    </row>
    <row r="109" spans="1:74" ht="13.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1059"/>
      <c r="AE109" s="1059"/>
      <c r="AF109" s="1059"/>
      <c r="AG109" s="1059"/>
      <c r="AH109" s="1059"/>
      <c r="AI109" s="1059"/>
      <c r="AJ109" s="1059"/>
      <c r="AK109" s="1059"/>
      <c r="AL109" s="1059"/>
      <c r="AM109" s="1059"/>
      <c r="AN109" s="1059"/>
      <c r="AO109" s="1059"/>
      <c r="AP109" s="1059"/>
      <c r="AQ109" s="1059"/>
      <c r="AR109" s="1059"/>
      <c r="AS109" s="1059"/>
      <c r="AT109" s="1059"/>
      <c r="AU109" s="1059"/>
      <c r="AV109" s="1059"/>
      <c r="AW109" s="1059"/>
      <c r="AX109" s="1059"/>
      <c r="AY109" s="1059"/>
      <c r="AZ109" s="1059"/>
      <c r="BA109" s="1059"/>
      <c r="BB109" s="1059"/>
      <c r="BC109" s="2"/>
      <c r="BD109" s="2"/>
      <c r="BE109" s="2"/>
      <c r="BF109" s="2"/>
      <c r="BG109" s="2"/>
      <c r="BH109" s="2"/>
      <c r="BI109" s="2"/>
      <c r="BJ109" s="2"/>
      <c r="BK109" s="2"/>
      <c r="BL109" s="2"/>
      <c r="BM109" s="2"/>
      <c r="BN109" s="2"/>
      <c r="BO109" s="2"/>
      <c r="BP109" s="2"/>
      <c r="BQ109" s="2"/>
      <c r="BR109" s="2"/>
      <c r="BS109" s="2"/>
      <c r="BT109" s="2"/>
      <c r="BU109" s="2"/>
      <c r="BV109" s="2"/>
    </row>
    <row r="110" spans="1:74" ht="13.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1059"/>
      <c r="AE110" s="1059"/>
      <c r="AF110" s="1059"/>
      <c r="AG110" s="1059"/>
      <c r="AH110" s="1059"/>
      <c r="AI110" s="1059"/>
      <c r="AJ110" s="1059"/>
      <c r="AK110" s="1059"/>
      <c r="AL110" s="1059"/>
      <c r="AM110" s="1059"/>
      <c r="AN110" s="1059"/>
      <c r="AO110" s="1059"/>
      <c r="AP110" s="1059"/>
      <c r="AQ110" s="1059"/>
      <c r="AR110" s="1059"/>
      <c r="AS110" s="1059"/>
      <c r="AT110" s="1059"/>
      <c r="AU110" s="1059"/>
      <c r="AV110" s="1059"/>
      <c r="AW110" s="1059"/>
      <c r="AX110" s="1059"/>
      <c r="AY110" s="1059"/>
      <c r="AZ110" s="1059"/>
      <c r="BA110" s="1059"/>
      <c r="BB110" s="1059"/>
      <c r="BC110" s="2"/>
      <c r="BD110" s="2"/>
      <c r="BE110" s="2"/>
      <c r="BF110" s="2"/>
      <c r="BG110" s="2"/>
      <c r="BH110" s="2"/>
      <c r="BI110" s="2"/>
      <c r="BJ110" s="2"/>
      <c r="BK110" s="2"/>
      <c r="BL110" s="2"/>
      <c r="BM110" s="2"/>
      <c r="BN110" s="2"/>
      <c r="BO110" s="2"/>
      <c r="BP110" s="2"/>
      <c r="BQ110" s="2"/>
      <c r="BR110" s="2"/>
      <c r="BS110" s="2"/>
      <c r="BT110" s="2"/>
      <c r="BU110" s="2"/>
      <c r="BV110" s="2"/>
    </row>
    <row r="111" spans="1:74" ht="13.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1059"/>
      <c r="AE111" s="1059"/>
      <c r="AF111" s="1059"/>
      <c r="AG111" s="1059"/>
      <c r="AH111" s="1059"/>
      <c r="AI111" s="1059"/>
      <c r="AJ111" s="1059"/>
      <c r="AK111" s="1059"/>
      <c r="AL111" s="1059"/>
      <c r="AM111" s="1059"/>
      <c r="AN111" s="1059"/>
      <c r="AO111" s="1059"/>
      <c r="AP111" s="1059"/>
      <c r="AQ111" s="1059"/>
      <c r="AR111" s="1059"/>
      <c r="AS111" s="1059"/>
      <c r="AT111" s="1059"/>
      <c r="AU111" s="1059"/>
      <c r="AV111" s="1059"/>
      <c r="AW111" s="1059"/>
      <c r="AX111" s="1059"/>
      <c r="AY111" s="1059"/>
      <c r="AZ111" s="1059"/>
      <c r="BA111" s="1059"/>
      <c r="BB111" s="1059"/>
      <c r="BC111" s="2"/>
      <c r="BD111" s="2"/>
      <c r="BE111" s="2"/>
      <c r="BF111" s="2"/>
      <c r="BG111" s="2"/>
      <c r="BH111" s="2"/>
      <c r="BI111" s="2"/>
      <c r="BJ111" s="2"/>
      <c r="BK111" s="2"/>
      <c r="BL111" s="2"/>
      <c r="BM111" s="2"/>
      <c r="BN111" s="2"/>
      <c r="BO111" s="2"/>
      <c r="BP111" s="2"/>
      <c r="BQ111" s="2"/>
      <c r="BR111" s="2"/>
      <c r="BS111" s="2"/>
      <c r="BT111" s="2"/>
      <c r="BU111" s="2"/>
      <c r="BV111" s="2"/>
    </row>
    <row r="112" spans="1:74" ht="13.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1059"/>
      <c r="AE112" s="1059"/>
      <c r="AF112" s="1059"/>
      <c r="AG112" s="1059"/>
      <c r="AH112" s="1059"/>
      <c r="AI112" s="1059"/>
      <c r="AJ112" s="1059"/>
      <c r="AK112" s="1059"/>
      <c r="AL112" s="1059"/>
      <c r="AM112" s="1059"/>
      <c r="AN112" s="1059"/>
      <c r="AO112" s="1059"/>
      <c r="AP112" s="1059"/>
      <c r="AQ112" s="1059"/>
      <c r="AR112" s="1059"/>
      <c r="AS112" s="1059"/>
      <c r="AT112" s="1059"/>
      <c r="AU112" s="1059"/>
      <c r="AV112" s="1059"/>
      <c r="AW112" s="1059"/>
      <c r="AX112" s="1059"/>
      <c r="AY112" s="1059"/>
      <c r="AZ112" s="1059"/>
      <c r="BA112" s="1059"/>
      <c r="BB112" s="1059"/>
      <c r="BC112" s="2"/>
      <c r="BD112" s="2"/>
      <c r="BE112" s="2"/>
      <c r="BF112" s="2"/>
      <c r="BG112" s="2"/>
      <c r="BH112" s="2"/>
      <c r="BI112" s="2"/>
      <c r="BJ112" s="2"/>
      <c r="BK112" s="2"/>
      <c r="BL112" s="2"/>
      <c r="BM112" s="2"/>
      <c r="BN112" s="2"/>
      <c r="BO112" s="2"/>
      <c r="BP112" s="2"/>
      <c r="BQ112" s="2"/>
      <c r="BR112" s="2"/>
      <c r="BS112" s="2"/>
      <c r="BT112" s="2"/>
      <c r="BU112" s="2"/>
      <c r="BV112" s="2"/>
    </row>
    <row r="113" spans="1:74" ht="13.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1059"/>
      <c r="AE113" s="1059"/>
      <c r="AF113" s="1059"/>
      <c r="AG113" s="1059"/>
      <c r="AH113" s="1059"/>
      <c r="AI113" s="1059"/>
      <c r="AJ113" s="1059"/>
      <c r="AK113" s="1059"/>
      <c r="AL113" s="1059"/>
      <c r="AM113" s="1059"/>
      <c r="AN113" s="1059"/>
      <c r="AO113" s="1059"/>
      <c r="AP113" s="1059"/>
      <c r="AQ113" s="1059"/>
      <c r="AR113" s="1059"/>
      <c r="AS113" s="1059"/>
      <c r="AT113" s="1059"/>
      <c r="AU113" s="1059"/>
      <c r="AV113" s="1059"/>
      <c r="AW113" s="1059"/>
      <c r="AX113" s="1059"/>
      <c r="AY113" s="1059"/>
      <c r="AZ113" s="1059"/>
      <c r="BA113" s="1059"/>
      <c r="BB113" s="1059"/>
      <c r="BC113" s="2"/>
      <c r="BD113" s="2"/>
      <c r="BE113" s="2"/>
      <c r="BF113" s="2"/>
      <c r="BG113" s="2"/>
      <c r="BH113" s="2"/>
      <c r="BI113" s="2"/>
      <c r="BJ113" s="2"/>
      <c r="BK113" s="2"/>
      <c r="BL113" s="2"/>
      <c r="BM113" s="2"/>
      <c r="BN113" s="2"/>
      <c r="BO113" s="2"/>
      <c r="BP113" s="2"/>
      <c r="BQ113" s="2"/>
      <c r="BR113" s="2"/>
      <c r="BS113" s="2"/>
      <c r="BT113" s="2"/>
      <c r="BU113" s="2"/>
      <c r="BV113" s="2"/>
    </row>
    <row r="114" spans="1:7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1059"/>
      <c r="AE114" s="1059"/>
      <c r="AF114" s="1059"/>
      <c r="AG114" s="1059"/>
      <c r="AH114" s="1059"/>
      <c r="AI114" s="1059"/>
      <c r="AJ114" s="1059"/>
      <c r="AK114" s="1059"/>
      <c r="AL114" s="1059"/>
      <c r="AM114" s="1059"/>
      <c r="AN114" s="1059"/>
      <c r="AO114" s="1059"/>
      <c r="AP114" s="1059"/>
      <c r="AQ114" s="1059"/>
      <c r="AR114" s="1059"/>
      <c r="AS114" s="1059"/>
      <c r="AT114" s="1059"/>
      <c r="AU114" s="1059"/>
      <c r="AV114" s="1059"/>
      <c r="AW114" s="1059"/>
      <c r="AX114" s="1059"/>
      <c r="AY114" s="1059"/>
      <c r="AZ114" s="1059"/>
      <c r="BA114" s="1059"/>
      <c r="BB114" s="1059"/>
      <c r="BC114" s="2"/>
      <c r="BD114" s="2"/>
      <c r="BE114" s="2"/>
      <c r="BF114" s="2"/>
      <c r="BG114" s="2"/>
      <c r="BH114" s="2"/>
      <c r="BI114" s="2"/>
      <c r="BJ114" s="2"/>
      <c r="BK114" s="2"/>
      <c r="BL114" s="2"/>
      <c r="BM114" s="2"/>
      <c r="BN114" s="2"/>
      <c r="BO114" s="2"/>
      <c r="BP114" s="2"/>
      <c r="BQ114" s="2"/>
      <c r="BR114" s="2"/>
      <c r="BS114" s="2"/>
      <c r="BT114" s="2"/>
      <c r="BU114" s="2"/>
      <c r="BV114" s="2"/>
    </row>
    <row r="115" spans="1:74">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1059"/>
      <c r="AE115" s="1059"/>
      <c r="AF115" s="1059"/>
      <c r="AG115" s="1059"/>
      <c r="AH115" s="1059"/>
      <c r="AI115" s="1059"/>
      <c r="AJ115" s="1059"/>
      <c r="AK115" s="1059"/>
      <c r="AL115" s="1059"/>
      <c r="AM115" s="1059"/>
      <c r="AN115" s="1059"/>
      <c r="AO115" s="1059"/>
      <c r="AP115" s="1059"/>
      <c r="AQ115" s="1059"/>
      <c r="AR115" s="1059"/>
      <c r="AS115" s="1059"/>
      <c r="AT115" s="1059"/>
      <c r="AU115" s="1059"/>
      <c r="AV115" s="1059"/>
      <c r="AW115" s="1059"/>
      <c r="AX115" s="1059"/>
      <c r="AY115" s="1059"/>
      <c r="AZ115" s="1059"/>
      <c r="BA115" s="1059"/>
      <c r="BB115" s="1059"/>
      <c r="BC115" s="2"/>
      <c r="BD115" s="2"/>
      <c r="BE115" s="2"/>
      <c r="BF115" s="2"/>
      <c r="BG115" s="2"/>
      <c r="BH115" s="2"/>
      <c r="BI115" s="2"/>
      <c r="BJ115" s="2"/>
      <c r="BK115" s="2"/>
      <c r="BL115" s="2"/>
      <c r="BM115" s="2"/>
      <c r="BN115" s="2"/>
      <c r="BO115" s="2"/>
      <c r="BP115" s="2"/>
      <c r="BQ115" s="2"/>
      <c r="BR115" s="2"/>
      <c r="BS115" s="2"/>
      <c r="BT115" s="2"/>
      <c r="BU115" s="2"/>
      <c r="BV115" s="2"/>
    </row>
    <row r="116" spans="1:74">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1059"/>
      <c r="AE116" s="1059"/>
      <c r="AF116" s="1059"/>
      <c r="AG116" s="1059"/>
      <c r="AH116" s="1059"/>
      <c r="AI116" s="1059"/>
      <c r="AJ116" s="1059"/>
      <c r="AK116" s="1059"/>
      <c r="AL116" s="1059"/>
      <c r="AM116" s="1059"/>
      <c r="AN116" s="1059"/>
      <c r="AO116" s="1059"/>
      <c r="AP116" s="1059"/>
      <c r="AQ116" s="1059"/>
      <c r="AR116" s="1059"/>
      <c r="AS116" s="1059"/>
      <c r="AT116" s="1059"/>
      <c r="AU116" s="1059"/>
      <c r="AV116" s="1059"/>
      <c r="AW116" s="1059"/>
      <c r="AX116" s="1059"/>
      <c r="AY116" s="1059"/>
      <c r="AZ116" s="1059"/>
      <c r="BA116" s="1059"/>
      <c r="BB116" s="1059"/>
      <c r="BC116" s="2"/>
      <c r="BD116" s="2"/>
      <c r="BE116" s="2"/>
      <c r="BF116" s="2"/>
      <c r="BG116" s="2"/>
      <c r="BH116" s="2"/>
      <c r="BI116" s="2"/>
      <c r="BJ116" s="2"/>
      <c r="BK116" s="2"/>
      <c r="BL116" s="2"/>
      <c r="BM116" s="2"/>
      <c r="BN116" s="2"/>
      <c r="BO116" s="2"/>
      <c r="BP116" s="2"/>
      <c r="BQ116" s="2"/>
      <c r="BR116" s="2"/>
      <c r="BS116" s="2"/>
      <c r="BT116" s="2"/>
      <c r="BU116" s="2"/>
      <c r="BV116" s="2"/>
    </row>
    <row r="117" spans="1:74">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1059"/>
      <c r="AE117" s="1059"/>
      <c r="AF117" s="1059"/>
      <c r="AG117" s="1059"/>
      <c r="AH117" s="1059"/>
      <c r="AI117" s="1059"/>
      <c r="AJ117" s="1059"/>
      <c r="AK117" s="1059"/>
      <c r="AL117" s="1059"/>
      <c r="AM117" s="1059"/>
      <c r="AN117" s="1059"/>
      <c r="AO117" s="1059"/>
      <c r="AP117" s="1059"/>
      <c r="AQ117" s="1059"/>
      <c r="AR117" s="1059"/>
      <c r="AS117" s="1059"/>
      <c r="AT117" s="1059"/>
      <c r="AU117" s="1059"/>
      <c r="AV117" s="1059"/>
      <c r="AW117" s="1059"/>
      <c r="AX117" s="1059"/>
      <c r="AY117" s="1059"/>
      <c r="AZ117" s="1059"/>
      <c r="BA117" s="1059"/>
      <c r="BB117" s="1059"/>
      <c r="BC117" s="2"/>
      <c r="BD117" s="2"/>
      <c r="BE117" s="2"/>
      <c r="BF117" s="2"/>
      <c r="BG117" s="2"/>
      <c r="BH117" s="2"/>
      <c r="BI117" s="2"/>
      <c r="BJ117" s="2"/>
      <c r="BK117" s="2"/>
      <c r="BL117" s="2"/>
      <c r="BM117" s="2"/>
      <c r="BN117" s="2"/>
      <c r="BO117" s="2"/>
      <c r="BP117" s="2"/>
      <c r="BQ117" s="2"/>
      <c r="BR117" s="2"/>
      <c r="BS117" s="2"/>
      <c r="BT117" s="2"/>
      <c r="BU117" s="2"/>
      <c r="BV117" s="2"/>
    </row>
    <row r="118" spans="1:74">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1059"/>
      <c r="AE118" s="1059"/>
      <c r="AF118" s="1059"/>
      <c r="AG118" s="1059"/>
      <c r="AH118" s="1059"/>
      <c r="AI118" s="1059"/>
      <c r="AJ118" s="1059"/>
      <c r="AK118" s="1059"/>
      <c r="AL118" s="1059"/>
      <c r="AM118" s="1059"/>
      <c r="AN118" s="1059"/>
      <c r="AO118" s="1059"/>
      <c r="AP118" s="1059"/>
      <c r="AQ118" s="1059"/>
      <c r="AR118" s="1059"/>
      <c r="AS118" s="1059"/>
      <c r="AT118" s="1059"/>
      <c r="AU118" s="1059"/>
      <c r="AV118" s="1059"/>
      <c r="AW118" s="1059"/>
      <c r="AX118" s="1059"/>
      <c r="AY118" s="1059"/>
      <c r="AZ118" s="1059"/>
      <c r="BA118" s="1059"/>
      <c r="BB118" s="1059"/>
      <c r="BC118" s="2"/>
      <c r="BD118" s="2"/>
      <c r="BE118" s="2"/>
      <c r="BF118" s="2"/>
      <c r="BG118" s="2"/>
      <c r="BH118" s="2"/>
      <c r="BI118" s="2"/>
      <c r="BJ118" s="2"/>
      <c r="BK118" s="2"/>
      <c r="BL118" s="2"/>
      <c r="BM118" s="2"/>
      <c r="BN118" s="2"/>
      <c r="BO118" s="2"/>
      <c r="BP118" s="2"/>
      <c r="BQ118" s="2"/>
      <c r="BR118" s="2"/>
      <c r="BS118" s="2"/>
      <c r="BT118" s="2"/>
      <c r="BU118" s="2"/>
      <c r="BV118" s="2"/>
    </row>
    <row r="119" spans="1:74">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1059"/>
      <c r="AE119" s="1059"/>
      <c r="AF119" s="1059"/>
      <c r="AG119" s="1059"/>
      <c r="AH119" s="1059"/>
      <c r="AI119" s="1059"/>
      <c r="AJ119" s="1059"/>
      <c r="AK119" s="1059"/>
      <c r="AL119" s="1059"/>
      <c r="AM119" s="1059"/>
      <c r="AN119" s="1059"/>
      <c r="AO119" s="1059"/>
      <c r="AP119" s="1059"/>
      <c r="AQ119" s="1059"/>
      <c r="AR119" s="1059"/>
      <c r="AS119" s="1059"/>
      <c r="AT119" s="1059"/>
      <c r="AU119" s="1059"/>
      <c r="AV119" s="1059"/>
      <c r="AW119" s="1059"/>
      <c r="AX119" s="1059"/>
      <c r="AY119" s="1059"/>
      <c r="AZ119" s="1059"/>
      <c r="BA119" s="1059"/>
      <c r="BB119" s="1059"/>
      <c r="BC119" s="2"/>
      <c r="BD119" s="2"/>
      <c r="BE119" s="2"/>
      <c r="BF119" s="2"/>
      <c r="BG119" s="2"/>
      <c r="BH119" s="2"/>
      <c r="BI119" s="2"/>
      <c r="BJ119" s="2"/>
      <c r="BK119" s="2"/>
      <c r="BL119" s="2"/>
      <c r="BM119" s="2"/>
      <c r="BN119" s="2"/>
      <c r="BO119" s="2"/>
      <c r="BP119" s="2"/>
      <c r="BQ119" s="2"/>
      <c r="BR119" s="2"/>
      <c r="BS119" s="2"/>
      <c r="BT119" s="2"/>
      <c r="BU119" s="2"/>
      <c r="BV119" s="2"/>
    </row>
    <row r="120" spans="1:74">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1059"/>
      <c r="AE120" s="1059"/>
      <c r="AF120" s="1059"/>
      <c r="AG120" s="1059"/>
      <c r="AH120" s="1059"/>
      <c r="AI120" s="1059"/>
      <c r="AJ120" s="1059"/>
      <c r="AK120" s="1059"/>
      <c r="AL120" s="1059"/>
      <c r="AM120" s="1059"/>
      <c r="AN120" s="1059"/>
      <c r="AO120" s="1059"/>
      <c r="AP120" s="1059"/>
      <c r="AQ120" s="1059"/>
      <c r="AR120" s="1059"/>
      <c r="AS120" s="1059"/>
      <c r="AT120" s="1059"/>
      <c r="AU120" s="1059"/>
      <c r="AV120" s="1059"/>
      <c r="AW120" s="1059"/>
      <c r="AX120" s="1059"/>
      <c r="AY120" s="1059"/>
      <c r="AZ120" s="1059"/>
      <c r="BA120" s="1059"/>
      <c r="BB120" s="1059"/>
      <c r="BC120" s="2"/>
      <c r="BD120" s="2"/>
      <c r="BE120" s="2"/>
      <c r="BF120" s="2"/>
      <c r="BG120" s="2"/>
      <c r="BH120" s="2"/>
      <c r="BI120" s="2"/>
      <c r="BJ120" s="2"/>
      <c r="BK120" s="2"/>
      <c r="BL120" s="2"/>
      <c r="BM120" s="2"/>
      <c r="BN120" s="2"/>
      <c r="BO120" s="2"/>
      <c r="BP120" s="2"/>
      <c r="BQ120" s="2"/>
      <c r="BR120" s="2"/>
      <c r="BS120" s="2"/>
      <c r="BT120" s="2"/>
      <c r="BU120" s="2"/>
      <c r="BV120" s="2"/>
    </row>
    <row r="121" spans="1:74">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1059"/>
      <c r="AE121" s="1059"/>
      <c r="AF121" s="1059"/>
      <c r="AG121" s="1059"/>
      <c r="AH121" s="1059"/>
      <c r="AI121" s="1059"/>
      <c r="AJ121" s="1059"/>
      <c r="AK121" s="1059"/>
      <c r="AL121" s="1059"/>
      <c r="AM121" s="1059"/>
      <c r="AN121" s="1059"/>
      <c r="AO121" s="1059"/>
      <c r="AP121" s="1059"/>
      <c r="AQ121" s="1059"/>
      <c r="AR121" s="1059"/>
      <c r="AS121" s="1059"/>
      <c r="AT121" s="1059"/>
      <c r="AU121" s="1059"/>
      <c r="AV121" s="1059"/>
      <c r="AW121" s="1059"/>
      <c r="AX121" s="1059"/>
      <c r="AY121" s="1059"/>
      <c r="AZ121" s="1059"/>
      <c r="BA121" s="1059"/>
      <c r="BB121" s="1059"/>
      <c r="BC121" s="2"/>
      <c r="BD121" s="2"/>
      <c r="BE121" s="2"/>
      <c r="BF121" s="2"/>
      <c r="BG121" s="2"/>
      <c r="BH121" s="2"/>
      <c r="BI121" s="2"/>
      <c r="BJ121" s="2"/>
      <c r="BK121" s="2"/>
      <c r="BL121" s="2"/>
      <c r="BM121" s="2"/>
      <c r="BN121" s="2"/>
      <c r="BO121" s="2"/>
      <c r="BP121" s="2"/>
      <c r="BQ121" s="2"/>
      <c r="BR121" s="2"/>
      <c r="BS121" s="2"/>
      <c r="BT121" s="2"/>
      <c r="BU121" s="2"/>
      <c r="BV121" s="2"/>
    </row>
    <row r="122" spans="1:74">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1059"/>
      <c r="AE122" s="1059"/>
      <c r="AF122" s="1059"/>
      <c r="AG122" s="1059"/>
      <c r="AH122" s="1059"/>
      <c r="AI122" s="1059"/>
      <c r="AJ122" s="1059"/>
      <c r="AK122" s="1059"/>
      <c r="AL122" s="1059"/>
      <c r="AM122" s="1059"/>
      <c r="AN122" s="1059"/>
      <c r="AO122" s="1059"/>
      <c r="AP122" s="1059"/>
      <c r="AQ122" s="1059"/>
      <c r="AR122" s="1059"/>
      <c r="AS122" s="1059"/>
      <c r="AT122" s="1059"/>
      <c r="AU122" s="1059"/>
      <c r="AV122" s="1059"/>
      <c r="AW122" s="1059"/>
      <c r="AX122" s="1059"/>
      <c r="AY122" s="1059"/>
      <c r="AZ122" s="1059"/>
      <c r="BA122" s="1059"/>
      <c r="BB122" s="1059"/>
      <c r="BC122" s="2"/>
      <c r="BD122" s="2"/>
      <c r="BE122" s="2"/>
      <c r="BF122" s="2"/>
      <c r="BG122" s="2"/>
      <c r="BH122" s="2"/>
      <c r="BI122" s="2"/>
      <c r="BJ122" s="2"/>
      <c r="BK122" s="2"/>
      <c r="BL122" s="2"/>
      <c r="BM122" s="2"/>
      <c r="BN122" s="2"/>
      <c r="BO122" s="2"/>
      <c r="BP122" s="2"/>
      <c r="BQ122" s="2"/>
      <c r="BR122" s="2"/>
      <c r="BS122" s="2"/>
      <c r="BT122" s="2"/>
      <c r="BU122" s="2"/>
      <c r="BV122" s="2"/>
    </row>
    <row r="123" spans="1:74">
      <c r="A123" s="2"/>
      <c r="B123" s="6"/>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1059"/>
      <c r="AE123" s="1059"/>
      <c r="AF123" s="1059"/>
      <c r="AG123" s="1059"/>
      <c r="AH123" s="1059"/>
      <c r="AI123" s="1059"/>
      <c r="AJ123" s="1059"/>
      <c r="AK123" s="1059"/>
      <c r="AL123" s="1059"/>
      <c r="AM123" s="1059"/>
      <c r="AN123" s="1059"/>
      <c r="AO123" s="1059"/>
      <c r="AP123" s="1059"/>
      <c r="AQ123" s="1059"/>
      <c r="AR123" s="1059"/>
      <c r="AS123" s="1059"/>
      <c r="AT123" s="1059"/>
      <c r="AU123" s="1059"/>
      <c r="AV123" s="1059"/>
      <c r="AW123" s="1059"/>
      <c r="AX123" s="1059"/>
      <c r="AY123" s="1059"/>
      <c r="AZ123" s="1059"/>
      <c r="BA123" s="1059"/>
      <c r="BB123" s="1059"/>
      <c r="BC123" s="2"/>
      <c r="BD123" s="2"/>
      <c r="BE123" s="2"/>
      <c r="BF123" s="2"/>
      <c r="BG123" s="2"/>
      <c r="BH123" s="2"/>
      <c r="BI123" s="2"/>
      <c r="BJ123" s="2"/>
      <c r="BK123" s="2"/>
      <c r="BL123" s="2"/>
      <c r="BM123" s="2"/>
      <c r="BN123" s="2"/>
      <c r="BO123" s="2"/>
      <c r="BP123" s="2"/>
      <c r="BQ123" s="2"/>
      <c r="BR123" s="2"/>
      <c r="BS123" s="2"/>
      <c r="BT123" s="2"/>
      <c r="BU123" s="2"/>
      <c r="BV123" s="2"/>
    </row>
    <row r="124" spans="1:74">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1059"/>
      <c r="AE124" s="1059"/>
      <c r="AF124" s="1059"/>
      <c r="AG124" s="1059"/>
      <c r="AH124" s="1059"/>
      <c r="AI124" s="1059"/>
      <c r="AJ124" s="1059"/>
      <c r="AK124" s="1059"/>
      <c r="AL124" s="1059"/>
      <c r="AM124" s="1059"/>
      <c r="AN124" s="1059"/>
      <c r="AO124" s="1059"/>
      <c r="AP124" s="1059"/>
      <c r="AQ124" s="1059"/>
      <c r="AR124" s="1059"/>
      <c r="AS124" s="1059"/>
      <c r="AT124" s="1059"/>
      <c r="AU124" s="1059"/>
      <c r="AV124" s="1059"/>
      <c r="AW124" s="1059"/>
      <c r="AX124" s="1059"/>
      <c r="AY124" s="1059"/>
      <c r="AZ124" s="1059"/>
      <c r="BA124" s="1059"/>
      <c r="BB124" s="1059"/>
      <c r="BC124" s="2"/>
      <c r="BD124" s="2"/>
      <c r="BE124" s="2"/>
      <c r="BF124" s="2"/>
      <c r="BG124" s="2"/>
      <c r="BH124" s="2"/>
      <c r="BI124" s="2"/>
      <c r="BJ124" s="2"/>
      <c r="BK124" s="2"/>
      <c r="BL124" s="2"/>
      <c r="BM124" s="2"/>
      <c r="BN124" s="2"/>
      <c r="BO124" s="2"/>
      <c r="BP124" s="2"/>
      <c r="BQ124" s="2"/>
      <c r="BR124" s="2"/>
      <c r="BS124" s="2"/>
      <c r="BT124" s="2"/>
      <c r="BU124" s="2"/>
      <c r="BV124" s="2"/>
    </row>
    <row r="125" spans="1:74">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1059"/>
      <c r="AE125" s="1059"/>
      <c r="AF125" s="1059"/>
      <c r="AG125" s="1059"/>
      <c r="AH125" s="1059"/>
      <c r="AI125" s="1059"/>
      <c r="AJ125" s="1059"/>
      <c r="AK125" s="1059"/>
      <c r="AL125" s="1059"/>
      <c r="AM125" s="1059"/>
      <c r="AN125" s="1059"/>
      <c r="AO125" s="1059"/>
      <c r="AP125" s="1059"/>
      <c r="AQ125" s="1059"/>
      <c r="AR125" s="1059"/>
      <c r="AS125" s="1059"/>
      <c r="AT125" s="1059"/>
      <c r="AU125" s="1059"/>
      <c r="AV125" s="1059"/>
      <c r="AW125" s="1059"/>
      <c r="AX125" s="1059"/>
      <c r="AY125" s="1059"/>
      <c r="AZ125" s="1059"/>
      <c r="BA125" s="1059"/>
      <c r="BB125" s="1059"/>
      <c r="BC125" s="2"/>
      <c r="BD125" s="2"/>
      <c r="BE125" s="2"/>
      <c r="BF125" s="2"/>
      <c r="BG125" s="2"/>
      <c r="BH125" s="2"/>
      <c r="BI125" s="2"/>
      <c r="BJ125" s="2"/>
      <c r="BK125" s="2"/>
      <c r="BL125" s="2"/>
      <c r="BM125" s="2"/>
      <c r="BN125" s="2"/>
      <c r="BO125" s="2"/>
      <c r="BP125" s="2"/>
      <c r="BQ125" s="2"/>
      <c r="BR125" s="2"/>
      <c r="BS125" s="2"/>
      <c r="BT125" s="2"/>
      <c r="BU125" s="2"/>
      <c r="BV125" s="2"/>
    </row>
    <row r="126" spans="1:74">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1059"/>
      <c r="AE126" s="1059"/>
      <c r="AF126" s="1059"/>
      <c r="AG126" s="1059"/>
      <c r="AH126" s="1059"/>
      <c r="AI126" s="1059"/>
      <c r="AJ126" s="1059"/>
      <c r="AK126" s="1059"/>
      <c r="AL126" s="1059"/>
      <c r="AM126" s="1059"/>
      <c r="AN126" s="1059"/>
      <c r="AO126" s="1059"/>
      <c r="AP126" s="1059"/>
      <c r="AQ126" s="1059"/>
      <c r="AR126" s="1059"/>
      <c r="AS126" s="1059"/>
      <c r="AT126" s="1059"/>
      <c r="AU126" s="1059"/>
      <c r="AV126" s="1059"/>
      <c r="AW126" s="1059"/>
      <c r="AX126" s="1059"/>
      <c r="AY126" s="1059"/>
      <c r="AZ126" s="1059"/>
      <c r="BA126" s="1059"/>
      <c r="BB126" s="1059"/>
      <c r="BC126" s="2"/>
      <c r="BD126" s="2"/>
      <c r="BE126" s="2"/>
      <c r="BF126" s="2"/>
      <c r="BG126" s="2"/>
      <c r="BH126" s="2"/>
      <c r="BI126" s="2"/>
      <c r="BJ126" s="2"/>
      <c r="BK126" s="2"/>
      <c r="BL126" s="2"/>
      <c r="BM126" s="2"/>
      <c r="BN126" s="2"/>
      <c r="BO126" s="2"/>
      <c r="BP126" s="2"/>
      <c r="BQ126" s="2"/>
      <c r="BR126" s="2"/>
      <c r="BS126" s="2"/>
      <c r="BT126" s="2"/>
      <c r="BU126" s="2"/>
      <c r="BV126" s="2"/>
    </row>
    <row r="127" spans="1:74">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1059"/>
      <c r="AE127" s="1059"/>
      <c r="AF127" s="1059"/>
      <c r="AG127" s="1059"/>
      <c r="AH127" s="1059"/>
      <c r="AI127" s="1059"/>
      <c r="AJ127" s="1059"/>
      <c r="AK127" s="1059"/>
      <c r="AL127" s="1059"/>
      <c r="AM127" s="1059"/>
      <c r="AN127" s="1059"/>
      <c r="AO127" s="1059"/>
      <c r="AP127" s="1059"/>
      <c r="AQ127" s="1059"/>
      <c r="AR127" s="1059"/>
      <c r="AS127" s="1059"/>
      <c r="AT127" s="1059"/>
      <c r="AU127" s="1059"/>
      <c r="AV127" s="1059"/>
      <c r="AW127" s="1059"/>
      <c r="AX127" s="1059"/>
      <c r="AY127" s="1059"/>
      <c r="AZ127" s="1059"/>
      <c r="BA127" s="1059"/>
      <c r="BB127" s="1059"/>
      <c r="BC127" s="2"/>
      <c r="BD127" s="2"/>
      <c r="BE127" s="2"/>
      <c r="BF127" s="2"/>
      <c r="BG127" s="2"/>
      <c r="BH127" s="2"/>
      <c r="BI127" s="2"/>
      <c r="BJ127" s="2"/>
      <c r="BK127" s="2"/>
      <c r="BL127" s="2"/>
      <c r="BM127" s="2"/>
      <c r="BN127" s="2"/>
      <c r="BO127" s="2"/>
      <c r="BP127" s="2"/>
      <c r="BQ127" s="2"/>
      <c r="BR127" s="2"/>
      <c r="BS127" s="2"/>
      <c r="BT127" s="2"/>
      <c r="BU127" s="2"/>
      <c r="BV127" s="2"/>
    </row>
    <row r="128" spans="1:74">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1059"/>
      <c r="AE128" s="1059"/>
      <c r="AF128" s="1059"/>
      <c r="AG128" s="1059"/>
      <c r="AH128" s="1059"/>
      <c r="AI128" s="1059"/>
      <c r="AJ128" s="1059"/>
      <c r="AK128" s="1059"/>
      <c r="AL128" s="1059"/>
      <c r="AM128" s="1059"/>
      <c r="AN128" s="1059"/>
      <c r="AO128" s="1059"/>
      <c r="AP128" s="1059"/>
      <c r="AQ128" s="1059"/>
      <c r="AR128" s="1059"/>
      <c r="AS128" s="1059"/>
      <c r="AT128" s="1059"/>
      <c r="AU128" s="1059"/>
      <c r="AV128" s="1059"/>
      <c r="AW128" s="1059"/>
      <c r="AX128" s="1059"/>
      <c r="AY128" s="1059"/>
      <c r="AZ128" s="1059"/>
      <c r="BA128" s="1059"/>
      <c r="BB128" s="1059"/>
      <c r="BC128" s="2"/>
      <c r="BD128" s="2"/>
      <c r="BE128" s="2"/>
      <c r="BF128" s="2"/>
      <c r="BG128" s="2"/>
      <c r="BH128" s="2"/>
      <c r="BI128" s="2"/>
      <c r="BJ128" s="2"/>
      <c r="BK128" s="2"/>
      <c r="BL128" s="2"/>
      <c r="BM128" s="2"/>
      <c r="BN128" s="2"/>
      <c r="BO128" s="2"/>
      <c r="BP128" s="2"/>
      <c r="BQ128" s="2"/>
      <c r="BR128" s="2"/>
      <c r="BS128" s="2"/>
      <c r="BT128" s="2"/>
      <c r="BU128" s="2"/>
      <c r="BV128" s="2"/>
    </row>
    <row r="129" spans="1:74">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1059"/>
      <c r="AE129" s="1059"/>
      <c r="AF129" s="1059"/>
      <c r="AG129" s="1059"/>
      <c r="AH129" s="1059"/>
      <c r="AI129" s="1059"/>
      <c r="AJ129" s="1059"/>
      <c r="AK129" s="1059"/>
      <c r="AL129" s="1059"/>
      <c r="AM129" s="1059"/>
      <c r="AN129" s="1059"/>
      <c r="AO129" s="1059"/>
      <c r="AP129" s="1059"/>
      <c r="AQ129" s="1059"/>
      <c r="AR129" s="1059"/>
      <c r="AS129" s="1059"/>
      <c r="AT129" s="1059"/>
      <c r="AU129" s="1059"/>
      <c r="AV129" s="1059"/>
      <c r="AW129" s="1059"/>
      <c r="AX129" s="1059"/>
      <c r="AY129" s="1059"/>
      <c r="AZ129" s="1059"/>
      <c r="BA129" s="1059"/>
      <c r="BB129" s="1059"/>
      <c r="BC129" s="2"/>
      <c r="BD129" s="2"/>
      <c r="BE129" s="2"/>
      <c r="BF129" s="2"/>
      <c r="BG129" s="2"/>
      <c r="BH129" s="2"/>
      <c r="BI129" s="2"/>
      <c r="BJ129" s="2"/>
      <c r="BK129" s="2"/>
      <c r="BL129" s="2"/>
      <c r="BM129" s="2"/>
      <c r="BN129" s="2"/>
      <c r="BO129" s="2"/>
      <c r="BP129" s="2"/>
      <c r="BQ129" s="2"/>
      <c r="BR129" s="2"/>
      <c r="BS129" s="2"/>
      <c r="BT129" s="2"/>
      <c r="BU129" s="2"/>
      <c r="BV129" s="2"/>
    </row>
    <row r="130" spans="1:74">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1059"/>
      <c r="AE130" s="1059"/>
      <c r="AF130" s="1059"/>
      <c r="AG130" s="1059"/>
      <c r="AH130" s="1059"/>
      <c r="AI130" s="1059"/>
      <c r="AJ130" s="1059"/>
      <c r="AK130" s="1059"/>
      <c r="AL130" s="1059"/>
      <c r="AM130" s="1059"/>
      <c r="AN130" s="1059"/>
      <c r="AO130" s="1059"/>
      <c r="AP130" s="1059"/>
      <c r="AQ130" s="1059"/>
      <c r="AR130" s="1059"/>
      <c r="AS130" s="1059"/>
      <c r="AT130" s="1059"/>
      <c r="AU130" s="1059"/>
      <c r="AV130" s="1059"/>
      <c r="AW130" s="1059"/>
      <c r="AX130" s="1059"/>
      <c r="AY130" s="1059"/>
      <c r="AZ130" s="1059"/>
      <c r="BA130" s="1059"/>
      <c r="BB130" s="1059"/>
      <c r="BC130" s="2"/>
      <c r="BD130" s="2"/>
      <c r="BE130" s="2"/>
      <c r="BF130" s="2"/>
      <c r="BG130" s="2"/>
      <c r="BH130" s="2"/>
      <c r="BI130" s="2"/>
      <c r="BJ130" s="2"/>
      <c r="BK130" s="2"/>
      <c r="BL130" s="2"/>
      <c r="BM130" s="2"/>
      <c r="BN130" s="2"/>
      <c r="BO130" s="2"/>
      <c r="BP130" s="2"/>
      <c r="BQ130" s="2"/>
      <c r="BR130" s="2"/>
      <c r="BS130" s="2"/>
      <c r="BT130" s="2"/>
      <c r="BU130" s="2"/>
      <c r="BV130" s="2"/>
    </row>
    <row r="131" spans="1:74" ht="13.9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1059"/>
      <c r="AE131" s="1059"/>
      <c r="AF131" s="1059"/>
      <c r="AG131" s="1059"/>
      <c r="AH131" s="1059"/>
      <c r="AI131" s="1059"/>
      <c r="AJ131" s="1059"/>
      <c r="AK131" s="1059"/>
      <c r="AL131" s="1059"/>
      <c r="AM131" s="1059"/>
      <c r="AN131" s="1059"/>
      <c r="AO131" s="1059"/>
      <c r="AP131" s="1059"/>
      <c r="AQ131" s="1059"/>
      <c r="AR131" s="1059"/>
      <c r="AS131" s="1059"/>
      <c r="AT131" s="1059"/>
      <c r="AU131" s="1059"/>
      <c r="AV131" s="1059"/>
      <c r="AW131" s="1059"/>
      <c r="AX131" s="1059"/>
      <c r="AY131" s="1059"/>
      <c r="AZ131" s="1059"/>
      <c r="BA131" s="1059"/>
      <c r="BB131" s="1059"/>
      <c r="BC131" s="2"/>
      <c r="BD131" s="2"/>
      <c r="BE131" s="2"/>
      <c r="BF131" s="2"/>
      <c r="BG131" s="2"/>
      <c r="BH131" s="2"/>
      <c r="BI131" s="2"/>
      <c r="BJ131" s="2"/>
      <c r="BK131" s="2"/>
      <c r="BL131" s="2"/>
      <c r="BM131" s="2"/>
      <c r="BN131" s="2"/>
      <c r="BO131" s="2"/>
      <c r="BP131" s="2"/>
      <c r="BQ131" s="2"/>
      <c r="BR131" s="2"/>
      <c r="BS131" s="2"/>
      <c r="BT131" s="2"/>
      <c r="BU131" s="2"/>
      <c r="BV131" s="2"/>
    </row>
    <row r="132" spans="1:74">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1059"/>
      <c r="AE132" s="1059"/>
      <c r="AF132" s="1059"/>
      <c r="AG132" s="1059"/>
      <c r="AH132" s="1059"/>
      <c r="AI132" s="1059"/>
      <c r="AJ132" s="1059"/>
      <c r="AK132" s="1059"/>
      <c r="AL132" s="1059"/>
      <c r="AM132" s="1059"/>
      <c r="AN132" s="1059"/>
      <c r="AO132" s="1059"/>
      <c r="AP132" s="1059"/>
      <c r="AQ132" s="1059"/>
      <c r="AR132" s="1059"/>
      <c r="AS132" s="1059"/>
      <c r="AT132" s="1059"/>
      <c r="AU132" s="1059"/>
      <c r="AV132" s="1059"/>
      <c r="AW132" s="1059"/>
      <c r="AX132" s="1059"/>
      <c r="AY132" s="1059"/>
      <c r="AZ132" s="1059"/>
      <c r="BA132" s="1059"/>
      <c r="BB132" s="1059"/>
      <c r="BC132" s="2"/>
      <c r="BD132" s="2"/>
      <c r="BE132" s="2"/>
      <c r="BF132" s="2"/>
      <c r="BG132" s="2"/>
      <c r="BH132" s="2"/>
      <c r="BI132" s="2"/>
      <c r="BJ132" s="2"/>
      <c r="BK132" s="2"/>
      <c r="BL132" s="2"/>
      <c r="BM132" s="2"/>
      <c r="BN132" s="2"/>
      <c r="BO132" s="2"/>
      <c r="BP132" s="2"/>
      <c r="BQ132" s="2"/>
      <c r="BR132" s="2"/>
      <c r="BS132" s="2"/>
      <c r="BT132" s="2"/>
      <c r="BU132" s="2"/>
      <c r="BV132" s="2"/>
    </row>
    <row r="133" spans="1:74">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1059"/>
      <c r="AE133" s="1059"/>
      <c r="AF133" s="1059"/>
      <c r="AG133" s="1059"/>
      <c r="AH133" s="1059"/>
      <c r="AI133" s="1059"/>
      <c r="AJ133" s="1059"/>
      <c r="AK133" s="1059"/>
      <c r="AL133" s="1059"/>
      <c r="AM133" s="1059"/>
      <c r="AN133" s="1059"/>
      <c r="AO133" s="1059"/>
      <c r="AP133" s="1059"/>
      <c r="AQ133" s="1059"/>
      <c r="AR133" s="1059"/>
      <c r="AS133" s="1059"/>
      <c r="AT133" s="1059"/>
      <c r="AU133" s="1059"/>
      <c r="AV133" s="1059"/>
      <c r="AW133" s="1059"/>
      <c r="AX133" s="1059"/>
      <c r="AY133" s="1059"/>
      <c r="AZ133" s="1059"/>
      <c r="BA133" s="1059"/>
      <c r="BB133" s="1059"/>
      <c r="BC133" s="2"/>
      <c r="BD133" s="2"/>
      <c r="BE133" s="2"/>
      <c r="BF133" s="2"/>
      <c r="BG133" s="2"/>
      <c r="BH133" s="2"/>
      <c r="BI133" s="2"/>
      <c r="BJ133" s="2"/>
      <c r="BK133" s="2"/>
      <c r="BL133" s="2"/>
      <c r="BM133" s="2"/>
      <c r="BN133" s="2"/>
      <c r="BO133" s="2"/>
      <c r="BP133" s="2"/>
      <c r="BQ133" s="2"/>
      <c r="BR133" s="2"/>
      <c r="BS133" s="2"/>
      <c r="BT133" s="2"/>
      <c r="BU133" s="2"/>
      <c r="BV133" s="2"/>
    </row>
    <row r="134" spans="1:74">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1059"/>
      <c r="AE134" s="1059"/>
      <c r="AF134" s="1059"/>
      <c r="AG134" s="1059"/>
      <c r="AH134" s="1059"/>
      <c r="AI134" s="1059"/>
      <c r="AJ134" s="1059"/>
      <c r="AK134" s="1059"/>
      <c r="AL134" s="1059"/>
      <c r="AM134" s="1059"/>
      <c r="AN134" s="1059"/>
      <c r="AO134" s="1059"/>
      <c r="AP134" s="1059"/>
      <c r="AQ134" s="1059"/>
      <c r="AR134" s="1059"/>
      <c r="AS134" s="1059"/>
      <c r="AT134" s="1059"/>
      <c r="AU134" s="1059"/>
      <c r="AV134" s="1059"/>
      <c r="AW134" s="1059"/>
      <c r="AX134" s="1059"/>
      <c r="AY134" s="1059"/>
      <c r="AZ134" s="1059"/>
      <c r="BA134" s="1059"/>
      <c r="BB134" s="1059"/>
      <c r="BC134" s="2"/>
      <c r="BD134" s="2"/>
      <c r="BE134" s="2"/>
      <c r="BF134" s="2"/>
      <c r="BG134" s="2"/>
      <c r="BH134" s="2"/>
      <c r="BI134" s="2"/>
      <c r="BJ134" s="2"/>
      <c r="BK134" s="2"/>
      <c r="BL134" s="2"/>
      <c r="BM134" s="2"/>
      <c r="BN134" s="2"/>
      <c r="BO134" s="2"/>
      <c r="BP134" s="2"/>
      <c r="BQ134" s="2"/>
      <c r="BR134" s="2"/>
      <c r="BS134" s="2"/>
      <c r="BT134" s="2"/>
      <c r="BU134" s="2"/>
      <c r="BV134" s="2"/>
    </row>
    <row r="135" spans="1:74">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1059"/>
      <c r="AE135" s="1059"/>
      <c r="AF135" s="1059"/>
      <c r="AG135" s="1059"/>
      <c r="AH135" s="1059"/>
      <c r="AI135" s="1059"/>
      <c r="AJ135" s="1059"/>
      <c r="AK135" s="1059"/>
      <c r="AL135" s="1059"/>
      <c r="AM135" s="1059"/>
      <c r="AN135" s="1059"/>
      <c r="AO135" s="1059"/>
      <c r="AP135" s="1059"/>
      <c r="AQ135" s="1059"/>
      <c r="AR135" s="1059"/>
      <c r="AS135" s="1059"/>
      <c r="AT135" s="1059"/>
      <c r="AU135" s="1059"/>
      <c r="AV135" s="1059"/>
      <c r="AW135" s="1059"/>
      <c r="AX135" s="1059"/>
      <c r="AY135" s="1059"/>
      <c r="AZ135" s="1059"/>
      <c r="BA135" s="1059"/>
      <c r="BB135" s="1059"/>
      <c r="BC135" s="2"/>
      <c r="BD135" s="2"/>
      <c r="BE135" s="2"/>
      <c r="BF135" s="2"/>
      <c r="BG135" s="2"/>
      <c r="BH135" s="2"/>
      <c r="BI135" s="2"/>
      <c r="BJ135" s="2"/>
      <c r="BK135" s="2"/>
      <c r="BL135" s="2"/>
      <c r="BM135" s="2"/>
      <c r="BN135" s="2"/>
      <c r="BO135" s="2"/>
      <c r="BP135" s="2"/>
      <c r="BQ135" s="2"/>
      <c r="BR135" s="2"/>
      <c r="BS135" s="2"/>
      <c r="BT135" s="2"/>
      <c r="BU135" s="2"/>
      <c r="BV135" s="2"/>
    </row>
    <row r="136" spans="1:74">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1059"/>
      <c r="AE136" s="1059"/>
      <c r="AF136" s="1059"/>
      <c r="AG136" s="1059"/>
      <c r="AH136" s="1059"/>
      <c r="AI136" s="1059"/>
      <c r="AJ136" s="1059"/>
      <c r="AK136" s="1059"/>
      <c r="AL136" s="1059"/>
      <c r="AM136" s="1059"/>
      <c r="AN136" s="1059"/>
      <c r="AO136" s="1059"/>
      <c r="AP136" s="1059"/>
      <c r="AQ136" s="1059"/>
      <c r="AR136" s="1059"/>
      <c r="AS136" s="1059"/>
      <c r="AT136" s="1059"/>
      <c r="AU136" s="1059"/>
      <c r="AV136" s="1059"/>
      <c r="AW136" s="1059"/>
      <c r="AX136" s="1059"/>
      <c r="AY136" s="1059"/>
      <c r="AZ136" s="1059"/>
      <c r="BA136" s="1059"/>
      <c r="BB136" s="1059"/>
      <c r="BC136" s="2"/>
      <c r="BD136" s="2"/>
      <c r="BE136" s="2"/>
      <c r="BF136" s="2"/>
      <c r="BG136" s="2"/>
      <c r="BH136" s="2"/>
      <c r="BI136" s="2"/>
      <c r="BJ136" s="2"/>
      <c r="BK136" s="2"/>
      <c r="BL136" s="2"/>
      <c r="BM136" s="2"/>
      <c r="BN136" s="2"/>
      <c r="BO136" s="2"/>
      <c r="BP136" s="2"/>
      <c r="BQ136" s="2"/>
      <c r="BR136" s="2"/>
      <c r="BS136" s="2"/>
      <c r="BT136" s="2"/>
      <c r="BU136" s="2"/>
      <c r="BV136" s="2"/>
    </row>
    <row r="137" spans="1:74">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1059"/>
      <c r="AE137" s="1059"/>
      <c r="AF137" s="1059"/>
      <c r="AG137" s="1059"/>
      <c r="AH137" s="1059"/>
      <c r="AI137" s="1059"/>
      <c r="AJ137" s="1059"/>
      <c r="AK137" s="1059"/>
      <c r="AL137" s="1059"/>
      <c r="AM137" s="1059"/>
      <c r="AN137" s="1059"/>
      <c r="AO137" s="1059"/>
      <c r="AP137" s="1059"/>
      <c r="AQ137" s="1059"/>
      <c r="AR137" s="1059"/>
      <c r="AS137" s="1059"/>
      <c r="AT137" s="1059"/>
      <c r="AU137" s="1059"/>
      <c r="AV137" s="1059"/>
      <c r="AW137" s="1059"/>
      <c r="AX137" s="1059"/>
      <c r="AY137" s="1059"/>
      <c r="AZ137" s="1059"/>
      <c r="BA137" s="1059"/>
      <c r="BB137" s="1059"/>
      <c r="BC137" s="2"/>
      <c r="BD137" s="2"/>
      <c r="BE137" s="2"/>
      <c r="BF137" s="2"/>
      <c r="BG137" s="2"/>
      <c r="BH137" s="2"/>
      <c r="BI137" s="2"/>
      <c r="BJ137" s="2"/>
      <c r="BK137" s="2"/>
      <c r="BL137" s="2"/>
      <c r="BM137" s="2"/>
      <c r="BN137" s="2"/>
      <c r="BO137" s="2"/>
      <c r="BP137" s="2"/>
      <c r="BQ137" s="2"/>
      <c r="BR137" s="2"/>
      <c r="BS137" s="2"/>
      <c r="BT137" s="2"/>
      <c r="BU137" s="2"/>
      <c r="BV137" s="2"/>
    </row>
    <row r="138" spans="1:74">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1059"/>
      <c r="AE138" s="1059"/>
      <c r="AF138" s="1059"/>
      <c r="AG138" s="1059"/>
      <c r="AH138" s="1059"/>
      <c r="AI138" s="1059"/>
      <c r="AJ138" s="1059"/>
      <c r="AK138" s="1059"/>
      <c r="AL138" s="1059"/>
      <c r="AM138" s="1059"/>
      <c r="AN138" s="1059"/>
      <c r="AO138" s="1059"/>
      <c r="AP138" s="1059"/>
      <c r="AQ138" s="1059"/>
      <c r="AR138" s="1059"/>
      <c r="AS138" s="1059"/>
      <c r="AT138" s="1059"/>
      <c r="AU138" s="1059"/>
      <c r="AV138" s="1059"/>
      <c r="AW138" s="1059"/>
      <c r="AX138" s="1059"/>
      <c r="AY138" s="1059"/>
      <c r="AZ138" s="1059"/>
      <c r="BA138" s="1059"/>
      <c r="BB138" s="1059"/>
      <c r="BC138" s="2"/>
      <c r="BD138" s="2"/>
      <c r="BE138" s="2"/>
      <c r="BF138" s="2"/>
      <c r="BG138" s="2"/>
      <c r="BH138" s="2"/>
      <c r="BI138" s="2"/>
      <c r="BJ138" s="2"/>
      <c r="BK138" s="2"/>
      <c r="BL138" s="2"/>
      <c r="BM138" s="2"/>
      <c r="BN138" s="2"/>
      <c r="BO138" s="2"/>
      <c r="BP138" s="2"/>
      <c r="BQ138" s="2"/>
      <c r="BR138" s="2"/>
      <c r="BS138" s="2"/>
      <c r="BT138" s="2"/>
      <c r="BU138" s="2"/>
      <c r="BV138" s="2"/>
    </row>
    <row r="139" spans="1:74">
      <c r="A139" s="2"/>
      <c r="B139" s="6"/>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1059"/>
      <c r="AE139" s="1059"/>
      <c r="AF139" s="1059"/>
      <c r="AG139" s="1059"/>
      <c r="AH139" s="1059"/>
      <c r="AI139" s="1059"/>
      <c r="AJ139" s="1059"/>
      <c r="AK139" s="1059"/>
      <c r="AL139" s="1059"/>
      <c r="AM139" s="1059"/>
      <c r="AN139" s="1059"/>
      <c r="AO139" s="1059"/>
      <c r="AP139" s="1059"/>
      <c r="AQ139" s="1059"/>
      <c r="AR139" s="1059"/>
      <c r="AS139" s="1059"/>
      <c r="AT139" s="1059"/>
      <c r="AU139" s="1059"/>
      <c r="AV139" s="1059"/>
      <c r="AW139" s="1059"/>
      <c r="AX139" s="1059"/>
      <c r="AY139" s="1059"/>
      <c r="AZ139" s="1059"/>
      <c r="BA139" s="1059"/>
      <c r="BB139" s="1059"/>
      <c r="BC139" s="2"/>
      <c r="BD139" s="2"/>
      <c r="BE139" s="2"/>
      <c r="BF139" s="2"/>
      <c r="BG139" s="2"/>
      <c r="BH139" s="2"/>
      <c r="BI139" s="2"/>
      <c r="BJ139" s="2"/>
      <c r="BK139" s="2"/>
      <c r="BL139" s="2"/>
      <c r="BM139" s="2"/>
      <c r="BN139" s="2"/>
      <c r="BO139" s="2"/>
      <c r="BP139" s="2"/>
      <c r="BQ139" s="2"/>
      <c r="BR139" s="2"/>
      <c r="BS139" s="2"/>
      <c r="BT139" s="2"/>
      <c r="BU139" s="2"/>
      <c r="BV139" s="2"/>
    </row>
    <row r="140" spans="1:74">
      <c r="A140" s="2"/>
      <c r="B140" s="6"/>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1059"/>
      <c r="AE140" s="1059"/>
      <c r="AF140" s="1059"/>
      <c r="AG140" s="1059"/>
      <c r="AH140" s="1059"/>
      <c r="AI140" s="1059"/>
      <c r="AJ140" s="1059"/>
      <c r="AK140" s="1059"/>
      <c r="AL140" s="1059"/>
      <c r="AM140" s="1059"/>
      <c r="AN140" s="1059"/>
      <c r="AO140" s="1059"/>
      <c r="AP140" s="1059"/>
      <c r="AQ140" s="1059"/>
      <c r="AR140" s="1059"/>
      <c r="AS140" s="1059"/>
      <c r="AT140" s="1059"/>
      <c r="AU140" s="1059"/>
      <c r="AV140" s="1059"/>
      <c r="AW140" s="1059"/>
      <c r="AX140" s="1059"/>
      <c r="AY140" s="1059"/>
      <c r="AZ140" s="1059"/>
      <c r="BA140" s="1059"/>
      <c r="BB140" s="1059"/>
      <c r="BC140" s="2"/>
      <c r="BD140" s="2"/>
      <c r="BE140" s="2"/>
      <c r="BF140" s="2"/>
      <c r="BG140" s="2"/>
      <c r="BH140" s="2"/>
      <c r="BI140" s="2"/>
      <c r="BJ140" s="2"/>
      <c r="BK140" s="2"/>
      <c r="BL140" s="2"/>
      <c r="BM140" s="2"/>
      <c r="BN140" s="2"/>
      <c r="BO140" s="2"/>
      <c r="BP140" s="2"/>
      <c r="BQ140" s="2"/>
      <c r="BR140" s="2"/>
      <c r="BS140" s="2"/>
      <c r="BT140" s="2"/>
      <c r="BU140" s="2"/>
      <c r="BV140" s="2"/>
    </row>
    <row r="141" spans="1:74">
      <c r="A141" s="2"/>
      <c r="B141" s="2"/>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2"/>
      <c r="AC141" s="2"/>
      <c r="AD141" s="1059"/>
      <c r="AE141" s="1059"/>
      <c r="AF141" s="1059"/>
      <c r="AG141" s="1059"/>
      <c r="AH141" s="1059"/>
      <c r="AI141" s="1059"/>
      <c r="AJ141" s="1059"/>
      <c r="AK141" s="1059"/>
      <c r="AL141" s="1059"/>
      <c r="AM141" s="1059"/>
      <c r="AN141" s="1059"/>
      <c r="AO141" s="1059"/>
      <c r="AP141" s="1059"/>
      <c r="AQ141" s="1059"/>
      <c r="AR141" s="1059"/>
      <c r="AS141" s="1059"/>
      <c r="AT141" s="1059"/>
      <c r="AU141" s="1059"/>
      <c r="AV141" s="1059"/>
      <c r="AW141" s="1059"/>
      <c r="AX141" s="1059"/>
      <c r="AY141" s="1059"/>
      <c r="AZ141" s="1059"/>
      <c r="BA141" s="1059"/>
      <c r="BB141" s="1059"/>
      <c r="BC141" s="2"/>
      <c r="BD141" s="2"/>
      <c r="BE141" s="2"/>
      <c r="BF141" s="2"/>
      <c r="BG141" s="2"/>
      <c r="BH141" s="2"/>
      <c r="BI141" s="2"/>
      <c r="BJ141" s="2"/>
      <c r="BK141" s="2"/>
      <c r="BL141" s="2"/>
      <c r="BM141" s="2"/>
      <c r="BN141" s="2"/>
      <c r="BO141" s="2"/>
      <c r="BP141" s="2"/>
      <c r="BQ141" s="2"/>
      <c r="BR141" s="2"/>
      <c r="BS141" s="2"/>
      <c r="BT141" s="2"/>
      <c r="BU141" s="2"/>
      <c r="BV141" s="2"/>
    </row>
    <row r="142" spans="1:74">
      <c r="A142" s="2"/>
      <c r="B142" s="2"/>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2"/>
      <c r="AC142" s="2"/>
      <c r="AD142" s="1059"/>
      <c r="AE142" s="1059"/>
      <c r="AF142" s="1059"/>
      <c r="AG142" s="1059"/>
      <c r="AH142" s="1059"/>
      <c r="AI142" s="1059"/>
      <c r="AJ142" s="1059"/>
      <c r="AK142" s="1059"/>
      <c r="AL142" s="1059"/>
      <c r="AM142" s="1059"/>
      <c r="AN142" s="1059"/>
      <c r="AO142" s="1059"/>
      <c r="AP142" s="1059"/>
      <c r="AQ142" s="1059"/>
      <c r="AR142" s="1059"/>
      <c r="AS142" s="1059"/>
      <c r="AT142" s="1059"/>
      <c r="AU142" s="1059"/>
      <c r="AV142" s="1059"/>
      <c r="AW142" s="1059"/>
      <c r="AX142" s="1059"/>
      <c r="AY142" s="1059"/>
      <c r="AZ142" s="1059"/>
      <c r="BA142" s="1059"/>
      <c r="BB142" s="1059"/>
      <c r="BC142" s="2"/>
      <c r="BD142" s="2"/>
      <c r="BE142" s="2"/>
      <c r="BF142" s="2"/>
      <c r="BG142" s="2"/>
      <c r="BH142" s="2"/>
      <c r="BI142" s="2"/>
      <c r="BJ142" s="2"/>
      <c r="BK142" s="2"/>
      <c r="BL142" s="2"/>
      <c r="BM142" s="2"/>
      <c r="BN142" s="2"/>
      <c r="BO142" s="2"/>
      <c r="BP142" s="2"/>
      <c r="BQ142" s="2"/>
      <c r="BR142" s="2"/>
      <c r="BS142" s="2"/>
      <c r="BT142" s="2"/>
      <c r="BU142" s="2"/>
      <c r="BV142" s="2"/>
    </row>
    <row r="143" spans="1:74">
      <c r="A143" s="2"/>
      <c r="B143" s="2"/>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2"/>
      <c r="AC143" s="2"/>
      <c r="AD143" s="1059"/>
      <c r="AE143" s="1059"/>
      <c r="AF143" s="1059"/>
      <c r="AG143" s="1059"/>
      <c r="AH143" s="1059"/>
      <c r="AI143" s="1059"/>
      <c r="AJ143" s="1059"/>
      <c r="AK143" s="1059"/>
      <c r="AL143" s="1059"/>
      <c r="AM143" s="1059"/>
      <c r="AN143" s="1059"/>
      <c r="AO143" s="1059"/>
      <c r="AP143" s="1059"/>
      <c r="AQ143" s="1059"/>
      <c r="AR143" s="1059"/>
      <c r="AS143" s="1059"/>
      <c r="AT143" s="1059"/>
      <c r="AU143" s="1059"/>
      <c r="AV143" s="1059"/>
      <c r="AW143" s="1059"/>
      <c r="AX143" s="1059"/>
      <c r="AY143" s="1059"/>
      <c r="AZ143" s="1059"/>
      <c r="BA143" s="1059"/>
      <c r="BB143" s="1059"/>
      <c r="BC143" s="2"/>
      <c r="BD143" s="2"/>
      <c r="BE143" s="2"/>
      <c r="BF143" s="2"/>
      <c r="BG143" s="2"/>
      <c r="BH143" s="2"/>
      <c r="BI143" s="2"/>
      <c r="BJ143" s="2"/>
      <c r="BK143" s="2"/>
      <c r="BL143" s="2"/>
      <c r="BM143" s="2"/>
      <c r="BN143" s="2"/>
      <c r="BO143" s="2"/>
      <c r="BP143" s="2"/>
      <c r="BQ143" s="2"/>
      <c r="BR143" s="2"/>
      <c r="BS143" s="2"/>
      <c r="BT143" s="2"/>
      <c r="BU143" s="2"/>
      <c r="BV143" s="2"/>
    </row>
    <row r="144" spans="1:74">
      <c r="A144" s="2"/>
      <c r="B144" s="2"/>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2"/>
      <c r="AC144" s="2"/>
      <c r="AD144" s="1059"/>
      <c r="AE144" s="1059"/>
      <c r="AF144" s="1059"/>
      <c r="AG144" s="1059"/>
      <c r="AH144" s="1059"/>
      <c r="AI144" s="1059"/>
      <c r="AJ144" s="1059"/>
      <c r="AK144" s="1059"/>
      <c r="AL144" s="1059"/>
      <c r="AM144" s="1059"/>
      <c r="AN144" s="1059"/>
      <c r="AO144" s="1059"/>
      <c r="AP144" s="1059"/>
      <c r="AQ144" s="1059"/>
      <c r="AR144" s="1059"/>
      <c r="AS144" s="1059"/>
      <c r="AT144" s="1059"/>
      <c r="AU144" s="1059"/>
      <c r="AV144" s="1059"/>
      <c r="AW144" s="1059"/>
      <c r="AX144" s="1059"/>
      <c r="AY144" s="1059"/>
      <c r="AZ144" s="1059"/>
      <c r="BA144" s="1059"/>
      <c r="BB144" s="1059"/>
      <c r="BC144" s="2"/>
      <c r="BD144" s="2"/>
      <c r="BE144" s="2"/>
      <c r="BF144" s="2"/>
      <c r="BG144" s="2"/>
      <c r="BH144" s="2"/>
      <c r="BI144" s="2"/>
      <c r="BJ144" s="2"/>
      <c r="BK144" s="2"/>
      <c r="BL144" s="2"/>
      <c r="BM144" s="2"/>
      <c r="BN144" s="2"/>
      <c r="BO144" s="2"/>
      <c r="BP144" s="2"/>
      <c r="BQ144" s="2"/>
      <c r="BR144" s="2"/>
      <c r="BS144" s="2"/>
      <c r="BT144" s="2"/>
      <c r="BU144" s="2"/>
      <c r="BV144" s="2"/>
    </row>
    <row r="145" spans="1:74">
      <c r="A145" s="2"/>
      <c r="B145" s="2"/>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2"/>
      <c r="AC145" s="2"/>
      <c r="AD145" s="1059"/>
      <c r="AE145" s="1059"/>
      <c r="AF145" s="1059"/>
      <c r="AG145" s="1059"/>
      <c r="AH145" s="1059"/>
      <c r="AI145" s="1059"/>
      <c r="AJ145" s="1059"/>
      <c r="AK145" s="1059"/>
      <c r="AL145" s="1059"/>
      <c r="AM145" s="1059"/>
      <c r="AN145" s="1059"/>
      <c r="AO145" s="1059"/>
      <c r="AP145" s="1059"/>
      <c r="AQ145" s="1059"/>
      <c r="AR145" s="1059"/>
      <c r="AS145" s="1059"/>
      <c r="AT145" s="1059"/>
      <c r="AU145" s="1059"/>
      <c r="AV145" s="1059"/>
      <c r="AW145" s="1059"/>
      <c r="AX145" s="1059"/>
      <c r="AY145" s="1059"/>
      <c r="AZ145" s="1059"/>
      <c r="BA145" s="1059"/>
      <c r="BB145" s="1059"/>
      <c r="BC145" s="2"/>
      <c r="BD145" s="2"/>
      <c r="BE145" s="2"/>
      <c r="BF145" s="2"/>
      <c r="BG145" s="2"/>
      <c r="BH145" s="2"/>
      <c r="BI145" s="2"/>
      <c r="BJ145" s="2"/>
      <c r="BK145" s="2"/>
      <c r="BL145" s="2"/>
      <c r="BM145" s="2"/>
      <c r="BN145" s="2"/>
      <c r="BO145" s="2"/>
      <c r="BP145" s="2"/>
      <c r="BQ145" s="2"/>
      <c r="BR145" s="2"/>
      <c r="BS145" s="2"/>
      <c r="BT145" s="2"/>
      <c r="BU145" s="2"/>
      <c r="BV145" s="2"/>
    </row>
    <row r="146" spans="1:74">
      <c r="A146" s="2"/>
      <c r="B146" s="2"/>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2"/>
      <c r="AC146" s="2"/>
      <c r="AD146" s="1059"/>
      <c r="AE146" s="1059"/>
      <c r="AF146" s="1059"/>
      <c r="AG146" s="1059"/>
      <c r="AH146" s="1059"/>
      <c r="AI146" s="1059"/>
      <c r="AJ146" s="1059"/>
      <c r="AK146" s="1059"/>
      <c r="AL146" s="1059"/>
      <c r="AM146" s="1059"/>
      <c r="AN146" s="1059"/>
      <c r="AO146" s="1059"/>
      <c r="AP146" s="1059"/>
      <c r="AQ146" s="1059"/>
      <c r="AR146" s="1059"/>
      <c r="AS146" s="1059"/>
      <c r="AT146" s="1059"/>
      <c r="AU146" s="1059"/>
      <c r="AV146" s="1059"/>
      <c r="AW146" s="1059"/>
      <c r="AX146" s="1059"/>
      <c r="AY146" s="1059"/>
      <c r="AZ146" s="1059"/>
      <c r="BA146" s="1059"/>
      <c r="BB146" s="1059"/>
      <c r="BC146" s="2"/>
      <c r="BD146" s="2"/>
      <c r="BE146" s="2"/>
      <c r="BF146" s="2"/>
      <c r="BG146" s="2"/>
      <c r="BH146" s="2"/>
      <c r="BI146" s="2"/>
      <c r="BJ146" s="2"/>
      <c r="BK146" s="2"/>
      <c r="BL146" s="2"/>
      <c r="BM146" s="2"/>
      <c r="BN146" s="2"/>
      <c r="BO146" s="2"/>
      <c r="BP146" s="2"/>
      <c r="BQ146" s="2"/>
      <c r="BR146" s="2"/>
      <c r="BS146" s="2"/>
      <c r="BT146" s="2"/>
      <c r="BU146" s="2"/>
      <c r="BV146" s="2"/>
    </row>
    <row r="147" spans="1:74">
      <c r="A147" s="2"/>
      <c r="B147" s="2"/>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2"/>
      <c r="AC147" s="2"/>
      <c r="AD147" s="1059"/>
      <c r="AE147" s="1059"/>
      <c r="AF147" s="1059"/>
      <c r="AG147" s="1059"/>
      <c r="AH147" s="1059"/>
      <c r="AI147" s="1059"/>
      <c r="AJ147" s="1059"/>
      <c r="AK147" s="1059"/>
      <c r="AL147" s="1059"/>
      <c r="AM147" s="1059"/>
      <c r="AN147" s="1059"/>
      <c r="AO147" s="1059"/>
      <c r="AP147" s="1059"/>
      <c r="AQ147" s="1059"/>
      <c r="AR147" s="1059"/>
      <c r="AS147" s="1059"/>
      <c r="AT147" s="1059"/>
      <c r="AU147" s="1059"/>
      <c r="AV147" s="1059"/>
      <c r="AW147" s="1059"/>
      <c r="AX147" s="1059"/>
      <c r="AY147" s="1059"/>
      <c r="AZ147" s="1059"/>
      <c r="BA147" s="1059"/>
      <c r="BB147" s="1059"/>
      <c r="BC147" s="2"/>
      <c r="BD147" s="2"/>
      <c r="BE147" s="2"/>
      <c r="BF147" s="2"/>
      <c r="BG147" s="2"/>
      <c r="BH147" s="2"/>
      <c r="BI147" s="2"/>
      <c r="BJ147" s="2"/>
      <c r="BK147" s="2"/>
      <c r="BL147" s="2"/>
      <c r="BM147" s="2"/>
      <c r="BN147" s="2"/>
      <c r="BO147" s="2"/>
      <c r="BP147" s="2"/>
      <c r="BQ147" s="2"/>
      <c r="BR147" s="2"/>
      <c r="BS147" s="2"/>
      <c r="BT147" s="2"/>
      <c r="BU147" s="2"/>
      <c r="BV147" s="2"/>
    </row>
    <row r="148" spans="1:74">
      <c r="A148" s="2"/>
      <c r="B148" s="2"/>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2"/>
      <c r="AC148" s="2"/>
      <c r="AD148" s="1059"/>
      <c r="AE148" s="1059"/>
      <c r="AF148" s="1059"/>
      <c r="AG148" s="1059"/>
      <c r="AH148" s="1059"/>
      <c r="AI148" s="1059"/>
      <c r="AJ148" s="1059"/>
      <c r="AK148" s="1059"/>
      <c r="AL148" s="1059"/>
      <c r="AM148" s="1059"/>
      <c r="AN148" s="1059"/>
      <c r="AO148" s="1059"/>
      <c r="AP148" s="1059"/>
      <c r="AQ148" s="1059"/>
      <c r="AR148" s="1059"/>
      <c r="AS148" s="1059"/>
      <c r="AT148" s="1059"/>
      <c r="AU148" s="1059"/>
      <c r="AV148" s="1059"/>
      <c r="AW148" s="1059"/>
      <c r="AX148" s="1059"/>
      <c r="AY148" s="1059"/>
      <c r="AZ148" s="1059"/>
      <c r="BA148" s="1059"/>
      <c r="BB148" s="1059"/>
      <c r="BC148" s="2"/>
      <c r="BD148" s="2"/>
      <c r="BE148" s="2"/>
      <c r="BF148" s="2"/>
      <c r="BG148" s="2"/>
      <c r="BH148" s="2"/>
      <c r="BI148" s="2"/>
      <c r="BJ148" s="2"/>
      <c r="BK148" s="2"/>
      <c r="BL148" s="2"/>
      <c r="BM148" s="2"/>
      <c r="BN148" s="2"/>
      <c r="BO148" s="2"/>
      <c r="BP148" s="2"/>
      <c r="BQ148" s="2"/>
      <c r="BR148" s="2"/>
      <c r="BS148" s="2"/>
      <c r="BT148" s="2"/>
      <c r="BU148" s="2"/>
      <c r="BV148" s="2"/>
    </row>
    <row r="149" spans="1:74">
      <c r="A149" s="2"/>
      <c r="B149" s="2"/>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2"/>
      <c r="AC149" s="1067"/>
      <c r="AD149" s="1059"/>
      <c r="AE149" s="1059"/>
      <c r="AF149" s="1059"/>
      <c r="AG149" s="1059"/>
      <c r="AH149" s="1059"/>
      <c r="AI149" s="1059"/>
      <c r="AJ149" s="1059"/>
      <c r="AK149" s="1059"/>
      <c r="AL149" s="1059"/>
      <c r="AM149" s="1059"/>
      <c r="AN149" s="1059"/>
      <c r="AO149" s="1059"/>
      <c r="AP149" s="1059"/>
      <c r="AQ149" s="1059"/>
      <c r="AR149" s="1059"/>
      <c r="AS149" s="1059"/>
      <c r="AT149" s="1059"/>
      <c r="AU149" s="1059"/>
      <c r="AV149" s="1059"/>
      <c r="AW149" s="1059"/>
      <c r="AX149" s="1059"/>
      <c r="AY149" s="1059"/>
      <c r="AZ149" s="1059"/>
      <c r="BA149" s="1059"/>
      <c r="BB149" s="1059"/>
      <c r="BC149" s="2"/>
      <c r="BD149" s="2"/>
      <c r="BE149" s="2"/>
      <c r="BF149" s="2"/>
      <c r="BG149" s="2"/>
      <c r="BH149" s="2"/>
      <c r="BI149" s="2"/>
      <c r="BJ149" s="2"/>
      <c r="BK149" s="2"/>
      <c r="BL149" s="2"/>
      <c r="BM149" s="2"/>
      <c r="BN149" s="2"/>
      <c r="BO149" s="2"/>
      <c r="BP149" s="2"/>
      <c r="BQ149" s="2"/>
      <c r="BR149" s="2"/>
      <c r="BS149" s="2"/>
      <c r="BT149" s="2"/>
      <c r="BU149" s="2"/>
      <c r="BV149" s="2"/>
    </row>
    <row r="150" spans="1:74">
      <c r="A150" s="2"/>
      <c r="B150" s="2"/>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2"/>
      <c r="AC150" s="1067"/>
      <c r="AD150" s="1059"/>
      <c r="AE150" s="1059"/>
      <c r="AF150" s="1059"/>
      <c r="AG150" s="1059"/>
      <c r="AH150" s="1059"/>
      <c r="AI150" s="1059"/>
      <c r="AJ150" s="1059"/>
      <c r="AK150" s="1059"/>
      <c r="AL150" s="1059"/>
      <c r="AM150" s="1059"/>
      <c r="AN150" s="1059"/>
      <c r="AO150" s="1059"/>
      <c r="AP150" s="1059"/>
      <c r="AQ150" s="1059"/>
      <c r="AR150" s="1059"/>
      <c r="AS150" s="1059"/>
      <c r="AT150" s="1059"/>
      <c r="AU150" s="1059"/>
      <c r="AV150" s="1059"/>
      <c r="AW150" s="1059"/>
      <c r="AX150" s="1059"/>
      <c r="AY150" s="1059"/>
      <c r="AZ150" s="1059"/>
      <c r="BA150" s="1059"/>
      <c r="BB150" s="1059"/>
      <c r="BC150" s="2"/>
      <c r="BD150" s="2"/>
      <c r="BE150" s="2"/>
      <c r="BF150" s="2"/>
      <c r="BG150" s="2"/>
      <c r="BH150" s="2"/>
      <c r="BI150" s="2"/>
      <c r="BJ150" s="2"/>
      <c r="BK150" s="2"/>
      <c r="BL150" s="2"/>
      <c r="BM150" s="2"/>
      <c r="BN150" s="2"/>
      <c r="BO150" s="2"/>
      <c r="BP150" s="2"/>
      <c r="BQ150" s="2"/>
      <c r="BR150" s="2"/>
      <c r="BS150" s="2"/>
      <c r="BT150" s="2"/>
      <c r="BU150" s="2"/>
      <c r="BV150" s="2"/>
    </row>
    <row r="151" spans="1:74">
      <c r="A151" s="2"/>
      <c r="B151" s="2"/>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2"/>
      <c r="AC151" s="1067"/>
      <c r="AD151" s="1059"/>
      <c r="AE151" s="1059"/>
      <c r="AF151" s="1059"/>
      <c r="AG151" s="1059"/>
      <c r="AH151" s="1059"/>
      <c r="AI151" s="1059"/>
      <c r="AJ151" s="1059"/>
      <c r="AK151" s="1059"/>
      <c r="AL151" s="1059"/>
      <c r="AM151" s="1059"/>
      <c r="AN151" s="1059"/>
      <c r="AO151" s="1059"/>
      <c r="AP151" s="1059"/>
      <c r="AQ151" s="1059"/>
      <c r="AR151" s="1059"/>
      <c r="AS151" s="1059"/>
      <c r="AT151" s="1059"/>
      <c r="AU151" s="1059"/>
      <c r="AV151" s="1059"/>
      <c r="AW151" s="1059"/>
      <c r="AX151" s="1059"/>
      <c r="AY151" s="1059"/>
      <c r="AZ151" s="1059"/>
      <c r="BA151" s="1059"/>
      <c r="BB151" s="1059"/>
      <c r="BC151" s="2"/>
      <c r="BD151" s="2"/>
      <c r="BE151" s="2"/>
      <c r="BF151" s="2"/>
      <c r="BG151" s="2"/>
      <c r="BH151" s="2"/>
      <c r="BI151" s="2"/>
      <c r="BJ151" s="2"/>
      <c r="BK151" s="2"/>
      <c r="BL151" s="2"/>
      <c r="BM151" s="2"/>
      <c r="BN151" s="2"/>
      <c r="BO151" s="2"/>
      <c r="BP151" s="2"/>
      <c r="BQ151" s="2"/>
      <c r="BR151" s="2"/>
      <c r="BS151" s="2"/>
      <c r="BT151" s="2"/>
      <c r="BU151" s="2"/>
      <c r="BV151" s="2"/>
    </row>
    <row r="152" spans="1:74">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1059"/>
      <c r="AE152" s="1059"/>
      <c r="AF152" s="1059"/>
      <c r="AG152" s="1059"/>
      <c r="AH152" s="1059"/>
      <c r="AI152" s="1059"/>
      <c r="AJ152" s="1059"/>
      <c r="AK152" s="1059"/>
      <c r="AL152" s="1059"/>
      <c r="AM152" s="1059"/>
      <c r="AN152" s="1059"/>
      <c r="AO152" s="1059"/>
      <c r="AP152" s="1059"/>
      <c r="AQ152" s="1059"/>
      <c r="AR152" s="1059"/>
      <c r="AS152" s="1059"/>
      <c r="AT152" s="1059"/>
      <c r="AU152" s="1059"/>
      <c r="AV152" s="1059"/>
      <c r="AW152" s="1059"/>
      <c r="AX152" s="1059"/>
      <c r="AY152" s="1059"/>
      <c r="AZ152" s="1059"/>
      <c r="BA152" s="1059"/>
      <c r="BB152" s="1059"/>
      <c r="BC152" s="2"/>
      <c r="BD152" s="2"/>
      <c r="BE152" s="2"/>
      <c r="BF152" s="2"/>
      <c r="BG152" s="2"/>
      <c r="BH152" s="2"/>
      <c r="BI152" s="2"/>
      <c r="BJ152" s="2"/>
      <c r="BK152" s="2"/>
      <c r="BL152" s="2"/>
      <c r="BM152" s="2"/>
      <c r="BN152" s="2"/>
      <c r="BO152" s="2"/>
      <c r="BP152" s="2"/>
      <c r="BQ152" s="2"/>
      <c r="BR152" s="2"/>
      <c r="BS152" s="2"/>
      <c r="BT152" s="2"/>
      <c r="BU152" s="2"/>
      <c r="BV152" s="2"/>
    </row>
    <row r="153" spans="1:74">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1059"/>
      <c r="AE153" s="1059"/>
      <c r="AF153" s="1059"/>
      <c r="AG153" s="1059"/>
      <c r="AH153" s="1059"/>
      <c r="AI153" s="1059"/>
      <c r="AJ153" s="1059"/>
      <c r="AK153" s="1059"/>
      <c r="AL153" s="1059"/>
      <c r="AM153" s="1059"/>
      <c r="AN153" s="1059"/>
      <c r="AO153" s="1059"/>
      <c r="AP153" s="1059"/>
      <c r="AQ153" s="1059"/>
      <c r="AR153" s="1059"/>
      <c r="AS153" s="1059"/>
      <c r="AT153" s="1059"/>
      <c r="AU153" s="1059"/>
      <c r="AV153" s="1059"/>
      <c r="AW153" s="1059"/>
      <c r="AX153" s="1059"/>
      <c r="AY153" s="1059"/>
      <c r="AZ153" s="1059"/>
      <c r="BA153" s="1059"/>
      <c r="BB153" s="1059"/>
      <c r="BC153" s="2"/>
      <c r="BD153" s="2"/>
      <c r="BE153" s="2"/>
      <c r="BF153" s="2"/>
      <c r="BG153" s="2"/>
      <c r="BH153" s="2"/>
      <c r="BI153" s="2"/>
      <c r="BJ153" s="2"/>
      <c r="BK153" s="2"/>
      <c r="BL153" s="2"/>
      <c r="BM153" s="2"/>
      <c r="BN153" s="2"/>
      <c r="BO153" s="2"/>
      <c r="BP153" s="2"/>
      <c r="BQ153" s="2"/>
      <c r="BR153" s="2"/>
      <c r="BS153" s="2"/>
      <c r="BT153" s="2"/>
      <c r="BU153" s="2"/>
      <c r="BV153" s="2"/>
    </row>
    <row r="154" spans="1:74">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1059"/>
      <c r="AE154" s="1059"/>
      <c r="AF154" s="1059"/>
      <c r="AG154" s="1059"/>
      <c r="AH154" s="1059"/>
      <c r="AI154" s="1059"/>
      <c r="AJ154" s="1059"/>
      <c r="AK154" s="1059"/>
      <c r="AL154" s="1059"/>
      <c r="AM154" s="1059"/>
      <c r="AN154" s="1059"/>
      <c r="AO154" s="1059"/>
      <c r="AP154" s="1059"/>
      <c r="AQ154" s="1059"/>
      <c r="AR154" s="1059"/>
      <c r="AS154" s="1059"/>
      <c r="AT154" s="1059"/>
      <c r="AU154" s="1059"/>
      <c r="AV154" s="1059"/>
      <c r="AW154" s="1059"/>
      <c r="AX154" s="1059"/>
      <c r="AY154" s="1059"/>
      <c r="AZ154" s="1059"/>
      <c r="BA154" s="1059"/>
      <c r="BB154" s="1059"/>
      <c r="BC154" s="2"/>
      <c r="BD154" s="2"/>
      <c r="BE154" s="2"/>
      <c r="BF154" s="2"/>
      <c r="BG154" s="2"/>
      <c r="BH154" s="2"/>
      <c r="BI154" s="2"/>
      <c r="BJ154" s="2"/>
      <c r="BK154" s="2"/>
      <c r="BL154" s="2"/>
      <c r="BM154" s="2"/>
      <c r="BN154" s="2"/>
      <c r="BO154" s="2"/>
      <c r="BP154" s="2"/>
      <c r="BQ154" s="2"/>
      <c r="BR154" s="2"/>
      <c r="BS154" s="2"/>
      <c r="BT154" s="2"/>
      <c r="BU154" s="2"/>
      <c r="BV154" s="2"/>
    </row>
    <row r="155" spans="1:74">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1059"/>
      <c r="AE155" s="1059"/>
      <c r="AF155" s="1059"/>
      <c r="AG155" s="1059"/>
      <c r="AH155" s="1059"/>
      <c r="AI155" s="1059"/>
      <c r="AJ155" s="1059"/>
      <c r="AK155" s="1059"/>
      <c r="AL155" s="1059"/>
      <c r="AM155" s="1059"/>
      <c r="AN155" s="1059"/>
      <c r="AO155" s="1059"/>
      <c r="AP155" s="1059"/>
      <c r="AQ155" s="1059"/>
      <c r="AR155" s="1059"/>
      <c r="AS155" s="1059"/>
      <c r="AT155" s="1059"/>
      <c r="AU155" s="1059"/>
      <c r="AV155" s="1059"/>
      <c r="AW155" s="1059"/>
      <c r="AX155" s="1059"/>
      <c r="AY155" s="1059"/>
      <c r="AZ155" s="1059"/>
      <c r="BA155" s="1059"/>
      <c r="BB155" s="1059"/>
      <c r="BC155" s="2"/>
      <c r="BD155" s="2"/>
      <c r="BE155" s="2"/>
      <c r="BF155" s="2"/>
      <c r="BG155" s="2"/>
      <c r="BH155" s="2"/>
      <c r="BI155" s="2"/>
      <c r="BJ155" s="2"/>
      <c r="BK155" s="2"/>
      <c r="BL155" s="2"/>
      <c r="BM155" s="2"/>
      <c r="BN155" s="2"/>
      <c r="BO155" s="2"/>
      <c r="BP155" s="2"/>
      <c r="BQ155" s="2"/>
      <c r="BR155" s="2"/>
      <c r="BS155" s="2"/>
      <c r="BT155" s="2"/>
      <c r="BU155" s="2"/>
      <c r="BV155" s="2"/>
    </row>
    <row r="156" spans="1:74">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1059"/>
      <c r="AE156" s="1059"/>
      <c r="AF156" s="1059"/>
      <c r="AG156" s="1059"/>
      <c r="AH156" s="1059"/>
      <c r="AI156" s="1059"/>
      <c r="AJ156" s="1059"/>
      <c r="AK156" s="1059"/>
      <c r="AL156" s="1059"/>
      <c r="AM156" s="1059"/>
      <c r="AN156" s="1059"/>
      <c r="AO156" s="1059"/>
      <c r="AP156" s="1059"/>
      <c r="AQ156" s="1059"/>
      <c r="AR156" s="1059"/>
      <c r="AS156" s="1059"/>
      <c r="AT156" s="1059"/>
      <c r="AU156" s="1059"/>
      <c r="AV156" s="1059"/>
      <c r="AW156" s="1059"/>
      <c r="AX156" s="1059"/>
      <c r="AY156" s="1059"/>
      <c r="AZ156" s="1059"/>
      <c r="BA156" s="1059"/>
      <c r="BB156" s="1059"/>
      <c r="BC156" s="2"/>
      <c r="BD156" s="2"/>
      <c r="BE156" s="2"/>
      <c r="BF156" s="2"/>
      <c r="BG156" s="2"/>
      <c r="BH156" s="2"/>
      <c r="BI156" s="2"/>
      <c r="BJ156" s="2"/>
      <c r="BK156" s="2"/>
      <c r="BL156" s="2"/>
      <c r="BM156" s="2"/>
      <c r="BN156" s="2"/>
      <c r="BO156" s="2"/>
      <c r="BP156" s="2"/>
      <c r="BQ156" s="2"/>
      <c r="BR156" s="2"/>
      <c r="BS156" s="2"/>
      <c r="BT156" s="2"/>
      <c r="BU156" s="2"/>
      <c r="BV156" s="2"/>
    </row>
    <row r="157" spans="1:74">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1059"/>
      <c r="AE157" s="1059"/>
      <c r="AF157" s="1059"/>
      <c r="AG157" s="1059"/>
      <c r="AH157" s="1059"/>
      <c r="AI157" s="1059"/>
      <c r="AJ157" s="1059"/>
      <c r="AK157" s="1059"/>
      <c r="AL157" s="1059"/>
      <c r="AM157" s="1059"/>
      <c r="AN157" s="1059"/>
      <c r="AO157" s="1059"/>
      <c r="AP157" s="1059"/>
      <c r="AQ157" s="1059"/>
      <c r="AR157" s="1059"/>
      <c r="AS157" s="1059"/>
      <c r="AT157" s="1059"/>
      <c r="AU157" s="1059"/>
      <c r="AV157" s="1059"/>
      <c r="AW157" s="1059"/>
      <c r="AX157" s="1059"/>
      <c r="AY157" s="1059"/>
      <c r="AZ157" s="1059"/>
      <c r="BA157" s="1059"/>
      <c r="BB157" s="1059"/>
      <c r="BC157" s="2"/>
      <c r="BD157" s="2"/>
      <c r="BE157" s="2"/>
      <c r="BF157" s="2"/>
      <c r="BG157" s="2"/>
      <c r="BH157" s="2"/>
      <c r="BI157" s="2"/>
      <c r="BJ157" s="2"/>
      <c r="BK157" s="2"/>
      <c r="BL157" s="2"/>
      <c r="BM157" s="2"/>
      <c r="BN157" s="2"/>
      <c r="BO157" s="2"/>
      <c r="BP157" s="2"/>
      <c r="BQ157" s="2"/>
      <c r="BR157" s="2"/>
      <c r="BS157" s="2"/>
      <c r="BT157" s="2"/>
      <c r="BU157" s="2"/>
      <c r="BV157" s="2"/>
    </row>
    <row r="158" spans="1:74">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1059"/>
      <c r="AE158" s="1059"/>
      <c r="AF158" s="1059"/>
      <c r="AG158" s="1059"/>
      <c r="AH158" s="1059"/>
      <c r="AI158" s="1059"/>
      <c r="AJ158" s="1059"/>
      <c r="AK158" s="1059"/>
      <c r="AL158" s="1059"/>
      <c r="AM158" s="1059"/>
      <c r="AN158" s="1059"/>
      <c r="AO158" s="1059"/>
      <c r="AP158" s="1059"/>
      <c r="AQ158" s="1059"/>
      <c r="AR158" s="1059"/>
      <c r="AS158" s="1059"/>
      <c r="AT158" s="1059"/>
      <c r="AU158" s="1059"/>
      <c r="AV158" s="1059"/>
      <c r="AW158" s="1059"/>
      <c r="AX158" s="1059"/>
      <c r="AY158" s="1059"/>
      <c r="AZ158" s="1059"/>
      <c r="BA158" s="1059"/>
      <c r="BB158" s="1059"/>
      <c r="BC158" s="2"/>
      <c r="BD158" s="2"/>
      <c r="BE158" s="2"/>
      <c r="BF158" s="2"/>
      <c r="BG158" s="2"/>
      <c r="BH158" s="2"/>
      <c r="BI158" s="2"/>
      <c r="BJ158" s="2"/>
      <c r="BK158" s="2"/>
      <c r="BL158" s="2"/>
      <c r="BM158" s="2"/>
      <c r="BN158" s="2"/>
      <c r="BO158" s="2"/>
      <c r="BP158" s="2"/>
      <c r="BQ158" s="2"/>
      <c r="BR158" s="2"/>
      <c r="BS158" s="2"/>
      <c r="BT158" s="2"/>
      <c r="BU158" s="2"/>
      <c r="BV158" s="2"/>
    </row>
    <row r="159" spans="1:74">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1059"/>
      <c r="AE159" s="1059"/>
      <c r="AF159" s="1059"/>
      <c r="AG159" s="1059"/>
      <c r="AH159" s="1059"/>
      <c r="AI159" s="1059"/>
      <c r="AJ159" s="1059"/>
      <c r="AK159" s="1059"/>
      <c r="AL159" s="1059"/>
      <c r="AM159" s="1059"/>
      <c r="AN159" s="1059"/>
      <c r="AO159" s="1059"/>
      <c r="AP159" s="1059"/>
      <c r="AQ159" s="1059"/>
      <c r="AR159" s="1059"/>
      <c r="AS159" s="1059"/>
      <c r="AT159" s="1059"/>
      <c r="AU159" s="1059"/>
      <c r="AV159" s="1059"/>
      <c r="AW159" s="1059"/>
      <c r="AX159" s="1059"/>
      <c r="AY159" s="1059"/>
      <c r="AZ159" s="1059"/>
      <c r="BA159" s="1059"/>
      <c r="BB159" s="1059"/>
      <c r="BC159" s="2"/>
      <c r="BD159" s="2"/>
      <c r="BE159" s="2"/>
      <c r="BF159" s="2"/>
      <c r="BG159" s="2"/>
      <c r="BH159" s="2"/>
      <c r="BI159" s="2"/>
      <c r="BJ159" s="2"/>
      <c r="BK159" s="2"/>
      <c r="BL159" s="2"/>
      <c r="BM159" s="2"/>
      <c r="BN159" s="2"/>
      <c r="BO159" s="2"/>
      <c r="BP159" s="2"/>
      <c r="BQ159" s="2"/>
      <c r="BR159" s="2"/>
      <c r="BS159" s="2"/>
      <c r="BT159" s="2"/>
      <c r="BU159" s="2"/>
      <c r="BV159" s="2"/>
    </row>
    <row r="160" spans="1:74">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1059"/>
      <c r="AE160" s="1059"/>
      <c r="AF160" s="1059"/>
      <c r="AG160" s="1059"/>
      <c r="AH160" s="1059"/>
      <c r="AI160" s="1059"/>
      <c r="AJ160" s="1059"/>
      <c r="AK160" s="1059"/>
      <c r="AL160" s="1059"/>
      <c r="AM160" s="1059"/>
      <c r="AN160" s="1059"/>
      <c r="AO160" s="1059"/>
      <c r="AP160" s="1059"/>
      <c r="AQ160" s="1059"/>
      <c r="AR160" s="1059"/>
      <c r="AS160" s="1059"/>
      <c r="AT160" s="1059"/>
      <c r="AU160" s="1059"/>
      <c r="AV160" s="1059"/>
      <c r="AW160" s="1059"/>
      <c r="AX160" s="1059"/>
      <c r="AY160" s="1059"/>
      <c r="AZ160" s="1059"/>
      <c r="BA160" s="1059"/>
      <c r="BB160" s="1059"/>
      <c r="BC160" s="2"/>
      <c r="BD160" s="2"/>
      <c r="BE160" s="2"/>
      <c r="BF160" s="2"/>
      <c r="BG160" s="2"/>
      <c r="BH160" s="2"/>
      <c r="BI160" s="2"/>
      <c r="BJ160" s="2"/>
      <c r="BK160" s="2"/>
      <c r="BL160" s="2"/>
      <c r="BM160" s="2"/>
      <c r="BN160" s="2"/>
      <c r="BO160" s="2"/>
      <c r="BP160" s="2"/>
      <c r="BQ160" s="2"/>
      <c r="BR160" s="2"/>
      <c r="BS160" s="2"/>
      <c r="BT160" s="2"/>
      <c r="BU160" s="2"/>
      <c r="BV160" s="2"/>
    </row>
    <row r="161" spans="1:74">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1059"/>
      <c r="AE161" s="1059"/>
      <c r="AF161" s="1059"/>
      <c r="AG161" s="1059"/>
      <c r="AH161" s="1059"/>
      <c r="AI161" s="1059"/>
      <c r="AJ161" s="1059"/>
      <c r="AK161" s="1059"/>
      <c r="AL161" s="1059"/>
      <c r="AM161" s="1059"/>
      <c r="AN161" s="1059"/>
      <c r="AO161" s="1059"/>
      <c r="AP161" s="1059"/>
      <c r="AQ161" s="1059"/>
      <c r="AR161" s="1059"/>
      <c r="AS161" s="1059"/>
      <c r="AT161" s="1059"/>
      <c r="AU161" s="1059"/>
      <c r="AV161" s="1059"/>
      <c r="AW161" s="1059"/>
      <c r="AX161" s="1059"/>
      <c r="AY161" s="1059"/>
      <c r="AZ161" s="1059"/>
      <c r="BA161" s="1059"/>
      <c r="BB161" s="1059"/>
      <c r="BC161" s="2"/>
      <c r="BD161" s="2"/>
      <c r="BE161" s="2"/>
      <c r="BF161" s="2"/>
      <c r="BG161" s="2"/>
      <c r="BH161" s="2"/>
      <c r="BI161" s="2"/>
      <c r="BJ161" s="2"/>
      <c r="BK161" s="2"/>
      <c r="BL161" s="2"/>
      <c r="BM161" s="2"/>
      <c r="BN161" s="2"/>
      <c r="BO161" s="2"/>
      <c r="BP161" s="2"/>
      <c r="BQ161" s="2"/>
      <c r="BR161" s="2"/>
      <c r="BS161" s="2"/>
      <c r="BT161" s="2"/>
      <c r="BU161" s="2"/>
      <c r="BV161" s="2"/>
    </row>
    <row r="162" spans="1:74">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1059"/>
      <c r="AE162" s="1059"/>
      <c r="AF162" s="1059"/>
      <c r="AG162" s="1059"/>
      <c r="AH162" s="1059"/>
      <c r="AI162" s="1059"/>
      <c r="AJ162" s="1059"/>
      <c r="AK162" s="1059"/>
      <c r="AL162" s="1059"/>
      <c r="AM162" s="1059"/>
      <c r="AN162" s="1059"/>
      <c r="AO162" s="1059"/>
      <c r="AP162" s="1059"/>
      <c r="AQ162" s="1059"/>
      <c r="AR162" s="1059"/>
      <c r="AS162" s="1059"/>
      <c r="AT162" s="1059"/>
      <c r="AU162" s="1059"/>
      <c r="AV162" s="1059"/>
      <c r="AW162" s="1059"/>
      <c r="AX162" s="1059"/>
      <c r="AY162" s="1059"/>
      <c r="AZ162" s="1059"/>
      <c r="BA162" s="1059"/>
      <c r="BB162" s="1059"/>
      <c r="BC162" s="2"/>
      <c r="BD162" s="2"/>
      <c r="BE162" s="2"/>
      <c r="BF162" s="2"/>
      <c r="BG162" s="2"/>
      <c r="BH162" s="2"/>
      <c r="BI162" s="2"/>
      <c r="BJ162" s="2"/>
      <c r="BK162" s="2"/>
      <c r="BL162" s="2"/>
      <c r="BM162" s="2"/>
      <c r="BN162" s="2"/>
      <c r="BO162" s="2"/>
      <c r="BP162" s="2"/>
      <c r="BQ162" s="2"/>
      <c r="BR162" s="2"/>
      <c r="BS162" s="2"/>
      <c r="BT162" s="2"/>
      <c r="BU162" s="2"/>
      <c r="BV162" s="2"/>
    </row>
    <row r="163" spans="1:74">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1059"/>
      <c r="AE163" s="1059"/>
      <c r="AF163" s="1059"/>
      <c r="AG163" s="1059"/>
      <c r="AH163" s="1059"/>
      <c r="AI163" s="1059"/>
      <c r="AJ163" s="1059"/>
      <c r="AK163" s="1059"/>
      <c r="AL163" s="1059"/>
      <c r="AM163" s="1059"/>
      <c r="AN163" s="1059"/>
      <c r="AO163" s="1059"/>
      <c r="AP163" s="1059"/>
      <c r="AQ163" s="1059"/>
      <c r="AR163" s="1059"/>
      <c r="AS163" s="1059"/>
      <c r="AT163" s="1059"/>
      <c r="AU163" s="1059"/>
      <c r="AV163" s="1059"/>
      <c r="AW163" s="1059"/>
      <c r="AX163" s="1059"/>
      <c r="AY163" s="1059"/>
      <c r="AZ163" s="1059"/>
      <c r="BA163" s="1059"/>
      <c r="BB163" s="1059"/>
      <c r="BC163" s="2"/>
      <c r="BD163" s="2"/>
      <c r="BE163" s="2"/>
      <c r="BF163" s="2"/>
      <c r="BG163" s="2"/>
      <c r="BH163" s="2"/>
      <c r="BI163" s="2"/>
      <c r="BJ163" s="2"/>
      <c r="BK163" s="2"/>
      <c r="BL163" s="2"/>
      <c r="BM163" s="2"/>
      <c r="BN163" s="2"/>
      <c r="BO163" s="2"/>
      <c r="BP163" s="2"/>
      <c r="BQ163" s="2"/>
      <c r="BR163" s="2"/>
      <c r="BS163" s="2"/>
      <c r="BT163" s="2"/>
      <c r="BU163" s="2"/>
      <c r="BV163" s="2"/>
    </row>
    <row r="164" spans="1:74">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1059"/>
      <c r="AE164" s="1059"/>
      <c r="AF164" s="1059"/>
      <c r="AG164" s="1059"/>
      <c r="AH164" s="1059"/>
      <c r="AI164" s="1059"/>
      <c r="AJ164" s="1059"/>
      <c r="AK164" s="1059"/>
      <c r="AL164" s="1059"/>
      <c r="AM164" s="1059"/>
      <c r="AN164" s="1059"/>
      <c r="AO164" s="1059"/>
      <c r="AP164" s="1059"/>
      <c r="AQ164" s="1059"/>
      <c r="AR164" s="1059"/>
      <c r="AS164" s="1059"/>
      <c r="AT164" s="1059"/>
      <c r="AU164" s="1059"/>
      <c r="AV164" s="1059"/>
      <c r="AW164" s="1059"/>
      <c r="AX164" s="1059"/>
      <c r="AY164" s="1059"/>
      <c r="AZ164" s="1059"/>
      <c r="BA164" s="1059"/>
      <c r="BB164" s="1059"/>
      <c r="BC164" s="2"/>
      <c r="BD164" s="2"/>
      <c r="BE164" s="2"/>
      <c r="BF164" s="2"/>
      <c r="BG164" s="2"/>
      <c r="BH164" s="2"/>
      <c r="BI164" s="2"/>
      <c r="BJ164" s="2"/>
      <c r="BK164" s="2"/>
      <c r="BL164" s="2"/>
      <c r="BM164" s="2"/>
      <c r="BN164" s="2"/>
      <c r="BO164" s="2"/>
      <c r="BP164" s="2"/>
      <c r="BQ164" s="2"/>
      <c r="BR164" s="2"/>
      <c r="BS164" s="2"/>
      <c r="BT164" s="2"/>
      <c r="BU164" s="2"/>
      <c r="BV164" s="2"/>
    </row>
    <row r="165" spans="1:74">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1059"/>
      <c r="AE165" s="1059"/>
      <c r="AF165" s="1059"/>
      <c r="AG165" s="1059"/>
      <c r="AH165" s="1059"/>
      <c r="AI165" s="1059"/>
      <c r="AJ165" s="1059"/>
      <c r="AK165" s="1059"/>
      <c r="AL165" s="1059"/>
      <c r="AM165" s="1059"/>
      <c r="AN165" s="1059"/>
      <c r="AO165" s="1059"/>
      <c r="AP165" s="1059"/>
      <c r="AQ165" s="1059"/>
      <c r="AR165" s="1059"/>
      <c r="AS165" s="1059"/>
      <c r="AT165" s="1059"/>
      <c r="AU165" s="1059"/>
      <c r="AV165" s="1059"/>
      <c r="AW165" s="1059"/>
      <c r="AX165" s="1059"/>
      <c r="AY165" s="1059"/>
      <c r="AZ165" s="1059"/>
      <c r="BA165" s="1059"/>
      <c r="BB165" s="1059"/>
      <c r="BC165" s="2"/>
      <c r="BD165" s="2"/>
      <c r="BE165" s="2"/>
      <c r="BF165" s="2"/>
      <c r="BG165" s="2"/>
      <c r="BH165" s="2"/>
      <c r="BI165" s="2"/>
      <c r="BJ165" s="2"/>
      <c r="BK165" s="2"/>
      <c r="BL165" s="2"/>
      <c r="BM165" s="2"/>
      <c r="BN165" s="2"/>
      <c r="BO165" s="2"/>
      <c r="BP165" s="2"/>
      <c r="BQ165" s="2"/>
      <c r="BR165" s="2"/>
      <c r="BS165" s="2"/>
      <c r="BT165" s="2"/>
      <c r="BU165" s="2"/>
      <c r="BV165" s="2"/>
    </row>
    <row r="166" spans="1:74">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1059"/>
      <c r="AE166" s="1059"/>
      <c r="AF166" s="1059"/>
      <c r="AG166" s="1059"/>
      <c r="AH166" s="1059"/>
      <c r="AI166" s="1059"/>
      <c r="AJ166" s="1059"/>
      <c r="AK166" s="1059"/>
      <c r="AL166" s="1059"/>
      <c r="AM166" s="1059"/>
      <c r="AN166" s="1059"/>
      <c r="AO166" s="1059"/>
      <c r="AP166" s="1059"/>
      <c r="AQ166" s="1059"/>
      <c r="AR166" s="1059"/>
      <c r="AS166" s="1059"/>
      <c r="AT166" s="1059"/>
      <c r="AU166" s="1059"/>
      <c r="AV166" s="1059"/>
      <c r="AW166" s="1059"/>
      <c r="AX166" s="1059"/>
      <c r="AY166" s="1059"/>
      <c r="AZ166" s="1059"/>
      <c r="BA166" s="1059"/>
      <c r="BB166" s="1059"/>
      <c r="BC166" s="2"/>
      <c r="BD166" s="2"/>
      <c r="BE166" s="2"/>
      <c r="BF166" s="2"/>
      <c r="BG166" s="2"/>
      <c r="BH166" s="2"/>
      <c r="BI166" s="2"/>
      <c r="BJ166" s="2"/>
      <c r="BK166" s="2"/>
      <c r="BL166" s="2"/>
      <c r="BM166" s="2"/>
      <c r="BN166" s="2"/>
      <c r="BO166" s="2"/>
      <c r="BP166" s="2"/>
      <c r="BQ166" s="2"/>
      <c r="BR166" s="2"/>
      <c r="BS166" s="2"/>
      <c r="BT166" s="2"/>
      <c r="BU166" s="2"/>
      <c r="BV166" s="2"/>
    </row>
    <row r="167" spans="1:74">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1059"/>
      <c r="AE167" s="1059"/>
      <c r="AF167" s="1059"/>
      <c r="AG167" s="1059"/>
      <c r="AH167" s="1059"/>
      <c r="AI167" s="1059"/>
      <c r="AJ167" s="1059"/>
      <c r="AK167" s="1059"/>
      <c r="AL167" s="1059"/>
      <c r="AM167" s="1059"/>
      <c r="AN167" s="1059"/>
      <c r="AO167" s="1059"/>
      <c r="AP167" s="1059"/>
      <c r="AQ167" s="1059"/>
      <c r="AR167" s="1059"/>
      <c r="AS167" s="1059"/>
      <c r="AT167" s="1059"/>
      <c r="AU167" s="1059"/>
      <c r="AV167" s="1059"/>
      <c r="AW167" s="1059"/>
      <c r="AX167" s="1059"/>
      <c r="AY167" s="1059"/>
      <c r="AZ167" s="1059"/>
      <c r="BA167" s="1059"/>
      <c r="BB167" s="1059"/>
      <c r="BC167" s="2"/>
      <c r="BD167" s="2"/>
      <c r="BE167" s="2"/>
      <c r="BF167" s="2"/>
      <c r="BG167" s="2"/>
      <c r="BH167" s="2"/>
      <c r="BI167" s="2"/>
      <c r="BJ167" s="2"/>
      <c r="BK167" s="2"/>
      <c r="BL167" s="2"/>
      <c r="BM167" s="2"/>
      <c r="BN167" s="2"/>
      <c r="BO167" s="2"/>
      <c r="BP167" s="2"/>
      <c r="BQ167" s="2"/>
      <c r="BR167" s="2"/>
      <c r="BS167" s="2"/>
      <c r="BT167" s="2"/>
      <c r="BU167" s="2"/>
      <c r="BV167" s="2"/>
    </row>
    <row r="168" spans="1:74">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1059"/>
      <c r="AE168" s="1059"/>
      <c r="AF168" s="1059"/>
      <c r="AG168" s="1059"/>
      <c r="AH168" s="1059"/>
      <c r="AI168" s="1059"/>
      <c r="AJ168" s="1059"/>
      <c r="AK168" s="1059"/>
      <c r="AL168" s="1059"/>
      <c r="AM168" s="1059"/>
      <c r="AN168" s="1059"/>
      <c r="AO168" s="1059"/>
      <c r="AP168" s="1059"/>
      <c r="AQ168" s="1059"/>
      <c r="AR168" s="1059"/>
      <c r="AS168" s="1059"/>
      <c r="AT168" s="1059"/>
      <c r="AU168" s="1059"/>
      <c r="AV168" s="1059"/>
      <c r="AW168" s="1059"/>
      <c r="AX168" s="1059"/>
      <c r="AY168" s="1059"/>
      <c r="AZ168" s="1059"/>
      <c r="BA168" s="1059"/>
      <c r="BB168" s="1059"/>
      <c r="BC168" s="2"/>
      <c r="BD168" s="2"/>
      <c r="BE168" s="2"/>
      <c r="BF168" s="2"/>
      <c r="BG168" s="2"/>
      <c r="BH168" s="2"/>
      <c r="BI168" s="2"/>
      <c r="BJ168" s="2"/>
      <c r="BK168" s="2"/>
      <c r="BL168" s="2"/>
      <c r="BM168" s="2"/>
      <c r="BN168" s="2"/>
      <c r="BO168" s="2"/>
      <c r="BP168" s="2"/>
      <c r="BQ168" s="2"/>
      <c r="BR168" s="2"/>
      <c r="BS168" s="2"/>
      <c r="BT168" s="2"/>
      <c r="BU168" s="2"/>
      <c r="BV168" s="2"/>
    </row>
    <row r="169" spans="1:74">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1059"/>
      <c r="AE169" s="1059"/>
      <c r="AF169" s="1059"/>
      <c r="AG169" s="1059"/>
      <c r="AH169" s="1059"/>
      <c r="AI169" s="1059"/>
      <c r="AJ169" s="1059"/>
      <c r="AK169" s="1059"/>
      <c r="AL169" s="1059"/>
      <c r="AM169" s="1059"/>
      <c r="AN169" s="1059"/>
      <c r="AO169" s="1059"/>
      <c r="AP169" s="1059"/>
      <c r="AQ169" s="1059"/>
      <c r="AR169" s="1059"/>
      <c r="AS169" s="1059"/>
      <c r="AT169" s="1059"/>
      <c r="AU169" s="1059"/>
      <c r="AV169" s="1059"/>
      <c r="AW169" s="1059"/>
      <c r="AX169" s="1059"/>
      <c r="AY169" s="1059"/>
      <c r="AZ169" s="1059"/>
      <c r="BA169" s="1059"/>
      <c r="BB169" s="1059"/>
      <c r="BC169" s="2"/>
      <c r="BD169" s="2"/>
      <c r="BE169" s="2"/>
      <c r="BF169" s="2"/>
      <c r="BG169" s="2"/>
      <c r="BH169" s="2"/>
      <c r="BI169" s="2"/>
      <c r="BJ169" s="2"/>
      <c r="BK169" s="2"/>
      <c r="BL169" s="2"/>
      <c r="BM169" s="2"/>
      <c r="BN169" s="2"/>
      <c r="BO169" s="2"/>
      <c r="BP169" s="2"/>
      <c r="BQ169" s="2"/>
      <c r="BR169" s="2"/>
      <c r="BS169" s="2"/>
      <c r="BT169" s="2"/>
      <c r="BU169" s="2"/>
      <c r="BV169" s="2"/>
    </row>
    <row r="170" spans="1:74">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1059"/>
      <c r="AE170" s="1059"/>
      <c r="AF170" s="1059"/>
      <c r="AG170" s="1059"/>
      <c r="AH170" s="1059"/>
      <c r="AI170" s="1059"/>
      <c r="AJ170" s="1059"/>
      <c r="AK170" s="1059"/>
      <c r="AL170" s="1059"/>
      <c r="AM170" s="1059"/>
      <c r="AN170" s="1059"/>
      <c r="AO170" s="1059"/>
      <c r="AP170" s="1059"/>
      <c r="AQ170" s="1059"/>
      <c r="AR170" s="1059"/>
      <c r="AS170" s="1059"/>
      <c r="AT170" s="1059"/>
      <c r="AU170" s="1059"/>
      <c r="AV170" s="1059"/>
      <c r="AW170" s="1059"/>
      <c r="AX170" s="1059"/>
      <c r="AY170" s="1059"/>
      <c r="AZ170" s="1059"/>
      <c r="BA170" s="1059"/>
      <c r="BB170" s="1059"/>
      <c r="BC170" s="2"/>
      <c r="BD170" s="2"/>
      <c r="BE170" s="2"/>
      <c r="BF170" s="2"/>
      <c r="BG170" s="2"/>
      <c r="BH170" s="2"/>
      <c r="BI170" s="2"/>
      <c r="BJ170" s="2"/>
      <c r="BK170" s="2"/>
      <c r="BL170" s="2"/>
      <c r="BM170" s="2"/>
      <c r="BN170" s="2"/>
      <c r="BO170" s="2"/>
      <c r="BP170" s="2"/>
      <c r="BQ170" s="2"/>
      <c r="BR170" s="2"/>
      <c r="BS170" s="2"/>
      <c r="BT170" s="2"/>
      <c r="BU170" s="2"/>
      <c r="BV170" s="2"/>
    </row>
    <row r="171" spans="1:74">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1059"/>
      <c r="AE171" s="1059"/>
      <c r="AF171" s="1059"/>
      <c r="AG171" s="1059"/>
      <c r="AH171" s="1059"/>
      <c r="AI171" s="1059"/>
      <c r="AJ171" s="1059"/>
      <c r="AK171" s="1059"/>
      <c r="AL171" s="1059"/>
      <c r="AM171" s="1059"/>
      <c r="AN171" s="1059"/>
      <c r="AO171" s="1059"/>
      <c r="AP171" s="1059"/>
      <c r="AQ171" s="1059"/>
      <c r="AR171" s="1059"/>
      <c r="AS171" s="1059"/>
      <c r="AT171" s="1059"/>
      <c r="AU171" s="1059"/>
      <c r="AV171" s="1059"/>
      <c r="AW171" s="1059"/>
      <c r="AX171" s="1059"/>
      <c r="AY171" s="1059"/>
      <c r="AZ171" s="1059"/>
      <c r="BA171" s="1059"/>
      <c r="BB171" s="1059"/>
      <c r="BC171" s="2"/>
      <c r="BD171" s="2"/>
      <c r="BE171" s="2"/>
      <c r="BF171" s="2"/>
      <c r="BG171" s="2"/>
      <c r="BH171" s="2"/>
      <c r="BI171" s="2"/>
      <c r="BJ171" s="2"/>
      <c r="BK171" s="2"/>
      <c r="BL171" s="2"/>
      <c r="BM171" s="2"/>
      <c r="BN171" s="2"/>
      <c r="BO171" s="2"/>
      <c r="BP171" s="2"/>
      <c r="BQ171" s="2"/>
      <c r="BR171" s="2"/>
      <c r="BS171" s="2"/>
      <c r="BT171" s="2"/>
      <c r="BU171" s="2"/>
      <c r="BV171" s="2"/>
    </row>
    <row r="172" spans="1:74">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1059"/>
      <c r="AE172" s="1059"/>
      <c r="AF172" s="1059"/>
      <c r="AG172" s="1059"/>
      <c r="AH172" s="1059"/>
      <c r="AI172" s="1059"/>
      <c r="AJ172" s="1059"/>
      <c r="AK172" s="1059"/>
      <c r="AL172" s="1059"/>
      <c r="AM172" s="1059"/>
      <c r="AN172" s="1059"/>
      <c r="AO172" s="1059"/>
      <c r="AP172" s="1059"/>
      <c r="AQ172" s="1059"/>
      <c r="AR172" s="1059"/>
      <c r="AS172" s="1059"/>
      <c r="AT172" s="1059"/>
      <c r="AU172" s="1059"/>
      <c r="AV172" s="1059"/>
      <c r="AW172" s="1059"/>
      <c r="AX172" s="1059"/>
      <c r="AY172" s="1059"/>
      <c r="AZ172" s="1059"/>
      <c r="BA172" s="1059"/>
      <c r="BB172" s="1059"/>
      <c r="BC172" s="2"/>
      <c r="BD172" s="2"/>
      <c r="BE172" s="2"/>
      <c r="BF172" s="2"/>
      <c r="BG172" s="2"/>
      <c r="BH172" s="2"/>
      <c r="BI172" s="2"/>
      <c r="BJ172" s="2"/>
      <c r="BK172" s="2"/>
      <c r="BL172" s="2"/>
      <c r="BM172" s="2"/>
      <c r="BN172" s="2"/>
      <c r="BO172" s="2"/>
      <c r="BP172" s="2"/>
      <c r="BQ172" s="2"/>
      <c r="BR172" s="2"/>
      <c r="BS172" s="2"/>
      <c r="BT172" s="2"/>
      <c r="BU172" s="2"/>
      <c r="BV172" s="2"/>
    </row>
    <row r="173" spans="1:74">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1059"/>
      <c r="AE173" s="1059"/>
      <c r="AF173" s="1059"/>
      <c r="AG173" s="1059"/>
      <c r="AH173" s="1059"/>
      <c r="AI173" s="1059"/>
      <c r="AJ173" s="1059"/>
      <c r="AK173" s="1059"/>
      <c r="AL173" s="1059"/>
      <c r="AM173" s="1059"/>
      <c r="AN173" s="1059"/>
      <c r="AO173" s="1059"/>
      <c r="AP173" s="1059"/>
      <c r="AQ173" s="1059"/>
      <c r="AR173" s="1059"/>
      <c r="AS173" s="1059"/>
      <c r="AT173" s="1059"/>
      <c r="AU173" s="1059"/>
      <c r="AV173" s="1059"/>
      <c r="AW173" s="1059"/>
      <c r="AX173" s="1059"/>
      <c r="AY173" s="1059"/>
      <c r="AZ173" s="1059"/>
      <c r="BA173" s="1059"/>
      <c r="BB173" s="1059"/>
      <c r="BC173" s="2"/>
      <c r="BD173" s="2"/>
      <c r="BE173" s="2"/>
      <c r="BF173" s="2"/>
      <c r="BG173" s="2"/>
      <c r="BH173" s="2"/>
      <c r="BI173" s="2"/>
      <c r="BJ173" s="2"/>
      <c r="BK173" s="2"/>
      <c r="BL173" s="2"/>
      <c r="BM173" s="2"/>
      <c r="BN173" s="2"/>
      <c r="BO173" s="2"/>
      <c r="BP173" s="2"/>
      <c r="BQ173" s="2"/>
      <c r="BR173" s="2"/>
      <c r="BS173" s="2"/>
      <c r="BT173" s="2"/>
      <c r="BU173" s="2"/>
      <c r="BV173" s="2"/>
    </row>
    <row r="174" spans="1:74">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1059"/>
      <c r="AE174" s="1059"/>
      <c r="AF174" s="1059"/>
      <c r="AG174" s="1059"/>
      <c r="AH174" s="1059"/>
      <c r="AI174" s="1059"/>
      <c r="AJ174" s="1059"/>
      <c r="AK174" s="1059"/>
      <c r="AL174" s="1059"/>
      <c r="AM174" s="1059"/>
      <c r="AN174" s="1059"/>
      <c r="AO174" s="1059"/>
      <c r="AP174" s="1059"/>
      <c r="AQ174" s="1059"/>
      <c r="AR174" s="1059"/>
      <c r="AS174" s="1059"/>
      <c r="AT174" s="1059"/>
      <c r="AU174" s="1059"/>
      <c r="AV174" s="1059"/>
      <c r="AW174" s="1059"/>
      <c r="AX174" s="1059"/>
      <c r="AY174" s="1059"/>
      <c r="AZ174" s="1059"/>
      <c r="BA174" s="1059"/>
      <c r="BB174" s="1059"/>
      <c r="BC174" s="2"/>
      <c r="BD174" s="2"/>
      <c r="BE174" s="2"/>
      <c r="BF174" s="2"/>
      <c r="BG174" s="2"/>
      <c r="BH174" s="2"/>
      <c r="BI174" s="2"/>
      <c r="BJ174" s="2"/>
      <c r="BK174" s="2"/>
      <c r="BL174" s="2"/>
      <c r="BM174" s="2"/>
      <c r="BN174" s="2"/>
      <c r="BO174" s="2"/>
      <c r="BP174" s="2"/>
      <c r="BQ174" s="2"/>
      <c r="BR174" s="2"/>
      <c r="BS174" s="2"/>
      <c r="BT174" s="2"/>
      <c r="BU174" s="2"/>
      <c r="BV174" s="2"/>
    </row>
    <row r="175" spans="1:74">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1059"/>
      <c r="AE175" s="1059"/>
      <c r="AF175" s="1059"/>
      <c r="AG175" s="1059"/>
      <c r="AH175" s="1059"/>
      <c r="AI175" s="1059"/>
      <c r="AJ175" s="1059"/>
      <c r="AK175" s="1059"/>
      <c r="AL175" s="1059"/>
      <c r="AM175" s="1059"/>
      <c r="AN175" s="1059"/>
      <c r="AO175" s="1059"/>
      <c r="AP175" s="1059"/>
      <c r="AQ175" s="1059"/>
      <c r="AR175" s="1059"/>
      <c r="AS175" s="1059"/>
      <c r="AT175" s="1059"/>
      <c r="AU175" s="1059"/>
      <c r="AV175" s="1059"/>
      <c r="AW175" s="1059"/>
      <c r="AX175" s="1059"/>
      <c r="AY175" s="1059"/>
      <c r="AZ175" s="1059"/>
      <c r="BA175" s="1059"/>
      <c r="BB175" s="1059"/>
      <c r="BC175" s="2"/>
      <c r="BD175" s="2"/>
      <c r="BE175" s="2"/>
      <c r="BF175" s="2"/>
      <c r="BG175" s="2"/>
      <c r="BH175" s="2"/>
      <c r="BI175" s="2"/>
      <c r="BJ175" s="2"/>
      <c r="BK175" s="2"/>
      <c r="BL175" s="2"/>
      <c r="BM175" s="2"/>
      <c r="BN175" s="2"/>
      <c r="BO175" s="2"/>
      <c r="BP175" s="2"/>
      <c r="BQ175" s="2"/>
      <c r="BR175" s="2"/>
      <c r="BS175" s="2"/>
      <c r="BT175" s="2"/>
      <c r="BU175" s="2"/>
      <c r="BV175" s="2"/>
    </row>
    <row r="176" spans="1:74">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1059"/>
      <c r="AE176" s="1059"/>
      <c r="AF176" s="1059"/>
      <c r="AG176" s="1059"/>
      <c r="AH176" s="1059"/>
      <c r="AI176" s="1059"/>
      <c r="AJ176" s="1059"/>
      <c r="AK176" s="1059"/>
      <c r="AL176" s="1059"/>
      <c r="AM176" s="1059"/>
      <c r="AN176" s="1059"/>
      <c r="AO176" s="1059"/>
      <c r="AP176" s="1059"/>
      <c r="AQ176" s="1059"/>
      <c r="AR176" s="1059"/>
      <c r="AS176" s="1059"/>
      <c r="AT176" s="1059"/>
      <c r="AU176" s="1059"/>
      <c r="AV176" s="1059"/>
      <c r="AW176" s="1059"/>
      <c r="AX176" s="1059"/>
      <c r="AY176" s="1059"/>
      <c r="AZ176" s="1059"/>
      <c r="BA176" s="1059"/>
      <c r="BB176" s="1059"/>
      <c r="BC176" s="2"/>
      <c r="BD176" s="2"/>
      <c r="BE176" s="2"/>
      <c r="BF176" s="2"/>
      <c r="BG176" s="2"/>
      <c r="BH176" s="2"/>
      <c r="BI176" s="2"/>
      <c r="BJ176" s="2"/>
      <c r="BK176" s="2"/>
      <c r="BL176" s="2"/>
      <c r="BM176" s="2"/>
      <c r="BN176" s="2"/>
      <c r="BO176" s="2"/>
      <c r="BP176" s="2"/>
      <c r="BQ176" s="2"/>
      <c r="BR176" s="2"/>
      <c r="BS176" s="2"/>
      <c r="BT176" s="2"/>
      <c r="BU176" s="2"/>
      <c r="BV176" s="2"/>
    </row>
    <row r="177" spans="1:74">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1059"/>
      <c r="AE177" s="1059"/>
      <c r="AF177" s="1059"/>
      <c r="AG177" s="1059"/>
      <c r="AH177" s="1059"/>
      <c r="AI177" s="1059"/>
      <c r="AJ177" s="1059"/>
      <c r="AK177" s="1059"/>
      <c r="AL177" s="1059"/>
      <c r="AM177" s="1059"/>
      <c r="AN177" s="1059"/>
      <c r="AO177" s="1059"/>
      <c r="AP177" s="1059"/>
      <c r="AQ177" s="1059"/>
      <c r="AR177" s="1059"/>
      <c r="AS177" s="1059"/>
      <c r="AT177" s="1059"/>
      <c r="AU177" s="1059"/>
      <c r="AV177" s="1059"/>
      <c r="AW177" s="1059"/>
      <c r="AX177" s="1059"/>
      <c r="AY177" s="1059"/>
      <c r="AZ177" s="1059"/>
      <c r="BA177" s="1059"/>
      <c r="BB177" s="1059"/>
      <c r="BC177" s="2"/>
      <c r="BD177" s="2"/>
      <c r="BE177" s="2"/>
      <c r="BF177" s="2"/>
      <c r="BG177" s="2"/>
      <c r="BH177" s="2"/>
      <c r="BI177" s="2"/>
      <c r="BJ177" s="2"/>
      <c r="BK177" s="2"/>
      <c r="BL177" s="2"/>
      <c r="BM177" s="2"/>
      <c r="BN177" s="2"/>
      <c r="BO177" s="2"/>
      <c r="BP177" s="2"/>
      <c r="BQ177" s="2"/>
      <c r="BR177" s="2"/>
      <c r="BS177" s="2"/>
      <c r="BT177" s="2"/>
      <c r="BU177" s="2"/>
      <c r="BV177" s="2"/>
    </row>
    <row r="178" spans="1:74">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1059"/>
      <c r="AE178" s="1059"/>
      <c r="AF178" s="1059"/>
      <c r="AG178" s="1059"/>
      <c r="AH178" s="1059"/>
      <c r="AI178" s="1059"/>
      <c r="AJ178" s="1059"/>
      <c r="AK178" s="1059"/>
      <c r="AL178" s="1059"/>
      <c r="AM178" s="1059"/>
      <c r="AN178" s="1059"/>
      <c r="AO178" s="1059"/>
      <c r="AP178" s="1059"/>
      <c r="AQ178" s="1059"/>
      <c r="AR178" s="1059"/>
      <c r="AS178" s="1059"/>
      <c r="AT178" s="1059"/>
      <c r="AU178" s="1059"/>
      <c r="AV178" s="1059"/>
      <c r="AW178" s="1059"/>
      <c r="AX178" s="1059"/>
      <c r="AY178" s="1059"/>
      <c r="AZ178" s="1059"/>
      <c r="BA178" s="1059"/>
      <c r="BB178" s="1059"/>
      <c r="BC178" s="2"/>
      <c r="BD178" s="2"/>
      <c r="BE178" s="2"/>
      <c r="BF178" s="2"/>
      <c r="BG178" s="2"/>
      <c r="BH178" s="2"/>
      <c r="BI178" s="2"/>
      <c r="BJ178" s="2"/>
      <c r="BK178" s="2"/>
      <c r="BL178" s="2"/>
      <c r="BM178" s="2"/>
      <c r="BN178" s="2"/>
      <c r="BO178" s="2"/>
      <c r="BP178" s="2"/>
      <c r="BQ178" s="2"/>
      <c r="BR178" s="2"/>
      <c r="BS178" s="2"/>
      <c r="BT178" s="2"/>
      <c r="BU178" s="2"/>
      <c r="BV178" s="2"/>
    </row>
    <row r="179" spans="1:74">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1059"/>
      <c r="AE179" s="1059"/>
      <c r="AF179" s="1059"/>
      <c r="AG179" s="1059"/>
      <c r="AH179" s="1059"/>
      <c r="AI179" s="1059"/>
      <c r="AJ179" s="1059"/>
      <c r="AK179" s="1059"/>
      <c r="AL179" s="1059"/>
      <c r="AM179" s="1059"/>
      <c r="AN179" s="1059"/>
      <c r="AO179" s="1059"/>
      <c r="AP179" s="1059"/>
      <c r="AQ179" s="1059"/>
      <c r="AR179" s="1059"/>
      <c r="AS179" s="1059"/>
      <c r="AT179" s="1059"/>
      <c r="AU179" s="1059"/>
      <c r="AV179" s="1059"/>
      <c r="AW179" s="1059"/>
      <c r="AX179" s="1059"/>
      <c r="AY179" s="1059"/>
      <c r="AZ179" s="1059"/>
      <c r="BA179" s="1059"/>
      <c r="BB179" s="1059"/>
      <c r="BC179" s="2"/>
      <c r="BD179" s="2"/>
      <c r="BE179" s="2"/>
      <c r="BF179" s="2"/>
      <c r="BG179" s="2"/>
      <c r="BH179" s="2"/>
      <c r="BI179" s="2"/>
      <c r="BJ179" s="2"/>
      <c r="BK179" s="2"/>
      <c r="BL179" s="2"/>
      <c r="BM179" s="2"/>
      <c r="BN179" s="2"/>
      <c r="BO179" s="2"/>
      <c r="BP179" s="2"/>
      <c r="BQ179" s="2"/>
      <c r="BR179" s="2"/>
      <c r="BS179" s="2"/>
      <c r="BT179" s="2"/>
      <c r="BU179" s="2"/>
      <c r="BV179" s="2"/>
    </row>
    <row r="180" spans="1:74">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1059"/>
      <c r="AE180" s="1059"/>
      <c r="AF180" s="1059"/>
      <c r="AG180" s="1059"/>
      <c r="AH180" s="1059"/>
      <c r="AI180" s="1059"/>
      <c r="AJ180" s="1059"/>
      <c r="AK180" s="1059"/>
      <c r="AL180" s="1059"/>
      <c r="AM180" s="1059"/>
      <c r="AN180" s="1059"/>
      <c r="AO180" s="1059"/>
      <c r="AP180" s="1059"/>
      <c r="AQ180" s="1059"/>
      <c r="AR180" s="1059"/>
      <c r="AS180" s="1059"/>
      <c r="AT180" s="1059"/>
      <c r="AU180" s="1059"/>
      <c r="AV180" s="1059"/>
      <c r="AW180" s="1059"/>
      <c r="AX180" s="1059"/>
      <c r="AY180" s="1059"/>
      <c r="AZ180" s="1059"/>
      <c r="BA180" s="1059"/>
      <c r="BB180" s="1059"/>
      <c r="BC180" s="2"/>
      <c r="BD180" s="2"/>
      <c r="BE180" s="2"/>
      <c r="BF180" s="2"/>
      <c r="BG180" s="2"/>
      <c r="BH180" s="2"/>
      <c r="BI180" s="2"/>
      <c r="BJ180" s="2"/>
      <c r="BK180" s="2"/>
      <c r="BL180" s="2"/>
      <c r="BM180" s="2"/>
      <c r="BN180" s="2"/>
      <c r="BO180" s="2"/>
      <c r="BP180" s="2"/>
      <c r="BQ180" s="2"/>
      <c r="BR180" s="2"/>
      <c r="BS180" s="2"/>
      <c r="BT180" s="2"/>
      <c r="BU180" s="2"/>
      <c r="BV180" s="2"/>
    </row>
    <row r="181" spans="1:74">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1059"/>
      <c r="AE181" s="1059"/>
      <c r="AF181" s="1059"/>
      <c r="AG181" s="1059"/>
      <c r="AH181" s="1059"/>
      <c r="AI181" s="1059"/>
      <c r="AJ181" s="1059"/>
      <c r="AK181" s="1059"/>
      <c r="AL181" s="1059"/>
      <c r="AM181" s="1059"/>
      <c r="AN181" s="1059"/>
      <c r="AO181" s="1059"/>
      <c r="AP181" s="1059"/>
      <c r="AQ181" s="1059"/>
      <c r="AR181" s="1059"/>
      <c r="AS181" s="1059"/>
      <c r="AT181" s="1059"/>
      <c r="AU181" s="1059"/>
      <c r="AV181" s="1059"/>
      <c r="AW181" s="1059"/>
      <c r="AX181" s="1059"/>
      <c r="AY181" s="1059"/>
      <c r="AZ181" s="1059"/>
      <c r="BA181" s="1059"/>
      <c r="BB181" s="1059"/>
      <c r="BC181" s="2"/>
      <c r="BD181" s="2"/>
      <c r="BE181" s="2"/>
      <c r="BF181" s="2"/>
      <c r="BG181" s="2"/>
      <c r="BH181" s="2"/>
      <c r="BI181" s="2"/>
      <c r="BJ181" s="2"/>
      <c r="BK181" s="2"/>
      <c r="BL181" s="2"/>
      <c r="BM181" s="2"/>
      <c r="BN181" s="2"/>
      <c r="BO181" s="2"/>
      <c r="BP181" s="2"/>
      <c r="BQ181" s="2"/>
      <c r="BR181" s="2"/>
      <c r="BS181" s="2"/>
      <c r="BT181" s="2"/>
      <c r="BU181" s="2"/>
      <c r="BV181" s="2"/>
    </row>
    <row r="182" spans="1:74">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1059"/>
      <c r="AE182" s="1059"/>
      <c r="AF182" s="1059"/>
      <c r="AG182" s="1059"/>
      <c r="AH182" s="1059"/>
      <c r="AI182" s="1059"/>
      <c r="AJ182" s="1059"/>
      <c r="AK182" s="1059"/>
      <c r="AL182" s="1059"/>
      <c r="AM182" s="1059"/>
      <c r="AN182" s="1059"/>
      <c r="AO182" s="1059"/>
      <c r="AP182" s="1059"/>
      <c r="AQ182" s="1059"/>
      <c r="AR182" s="1059"/>
      <c r="AS182" s="1059"/>
      <c r="AT182" s="1059"/>
      <c r="AU182" s="1059"/>
      <c r="AV182" s="1059"/>
      <c r="AW182" s="1059"/>
      <c r="AX182" s="1059"/>
      <c r="AY182" s="1059"/>
      <c r="AZ182" s="1059"/>
      <c r="BA182" s="1059"/>
      <c r="BB182" s="1059"/>
      <c r="BC182" s="2"/>
      <c r="BD182" s="2"/>
      <c r="BE182" s="2"/>
      <c r="BF182" s="2"/>
      <c r="BG182" s="2"/>
      <c r="BH182" s="2"/>
      <c r="BI182" s="2"/>
      <c r="BJ182" s="2"/>
      <c r="BK182" s="2"/>
      <c r="BL182" s="2"/>
      <c r="BM182" s="2"/>
      <c r="BN182" s="2"/>
      <c r="BO182" s="2"/>
      <c r="BP182" s="2"/>
      <c r="BQ182" s="2"/>
      <c r="BR182" s="2"/>
      <c r="BS182" s="2"/>
      <c r="BT182" s="2"/>
      <c r="BU182" s="2"/>
      <c r="BV182" s="2"/>
    </row>
    <row r="183" spans="1:74">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1059"/>
      <c r="AE183" s="1059"/>
      <c r="AF183" s="1059"/>
      <c r="AG183" s="1059"/>
      <c r="AH183" s="1059"/>
      <c r="AI183" s="1059"/>
      <c r="AJ183" s="1059"/>
      <c r="AK183" s="1059"/>
      <c r="AL183" s="1059"/>
      <c r="AM183" s="1059"/>
      <c r="AN183" s="1059"/>
      <c r="AO183" s="1059"/>
      <c r="AP183" s="1059"/>
      <c r="AQ183" s="1059"/>
      <c r="AR183" s="1059"/>
      <c r="AS183" s="1059"/>
      <c r="AT183" s="1059"/>
      <c r="AU183" s="1059"/>
      <c r="AV183" s="1059"/>
      <c r="AW183" s="1059"/>
      <c r="AX183" s="1059"/>
      <c r="AY183" s="1059"/>
      <c r="AZ183" s="1059"/>
      <c r="BA183" s="1059"/>
      <c r="BB183" s="1059"/>
      <c r="BC183" s="2"/>
      <c r="BD183" s="2"/>
      <c r="BE183" s="2"/>
      <c r="BF183" s="2"/>
      <c r="BG183" s="2"/>
      <c r="BH183" s="2"/>
      <c r="BI183" s="2"/>
      <c r="BJ183" s="2"/>
      <c r="BK183" s="2"/>
      <c r="BL183" s="2"/>
      <c r="BM183" s="2"/>
      <c r="BN183" s="2"/>
      <c r="BO183" s="2"/>
      <c r="BP183" s="2"/>
      <c r="BQ183" s="2"/>
      <c r="BR183" s="2"/>
      <c r="BS183" s="2"/>
      <c r="BT183" s="2"/>
      <c r="BU183" s="2"/>
      <c r="BV183" s="2"/>
    </row>
    <row r="184" spans="1:74">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1059"/>
      <c r="AE184" s="1059"/>
      <c r="AF184" s="1059"/>
      <c r="AG184" s="1059"/>
      <c r="AH184" s="1059"/>
      <c r="AI184" s="1059"/>
      <c r="AJ184" s="1059"/>
      <c r="AK184" s="1059"/>
      <c r="AL184" s="1059"/>
      <c r="AM184" s="1059"/>
      <c r="AN184" s="1059"/>
      <c r="AO184" s="1059"/>
      <c r="AP184" s="1059"/>
      <c r="AQ184" s="1059"/>
      <c r="AR184" s="1059"/>
      <c r="AS184" s="1059"/>
      <c r="AT184" s="1059"/>
      <c r="AU184" s="1059"/>
      <c r="AV184" s="1059"/>
      <c r="AW184" s="1059"/>
      <c r="AX184" s="1059"/>
      <c r="AY184" s="1059"/>
      <c r="AZ184" s="1059"/>
      <c r="BA184" s="1059"/>
      <c r="BB184" s="1059"/>
      <c r="BC184" s="2"/>
      <c r="BD184" s="2"/>
      <c r="BE184" s="2"/>
      <c r="BF184" s="2"/>
      <c r="BG184" s="2"/>
      <c r="BH184" s="2"/>
      <c r="BI184" s="2"/>
      <c r="BJ184" s="2"/>
      <c r="BK184" s="2"/>
      <c r="BL184" s="2"/>
      <c r="BM184" s="2"/>
      <c r="BN184" s="2"/>
      <c r="BO184" s="2"/>
      <c r="BP184" s="2"/>
      <c r="BQ184" s="2"/>
      <c r="BR184" s="2"/>
      <c r="BS184" s="2"/>
      <c r="BT184" s="2"/>
      <c r="BU184" s="2"/>
      <c r="BV184" s="2"/>
    </row>
    <row r="185" spans="1:74">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1059"/>
      <c r="AE185" s="1059"/>
      <c r="AF185" s="1059"/>
      <c r="AG185" s="1059"/>
      <c r="AH185" s="1059"/>
      <c r="AI185" s="1059"/>
      <c r="AJ185" s="1059"/>
      <c r="AK185" s="1059"/>
      <c r="AL185" s="1059"/>
      <c r="AM185" s="1059"/>
      <c r="AN185" s="1059"/>
      <c r="AO185" s="1059"/>
      <c r="AP185" s="1059"/>
      <c r="AQ185" s="1059"/>
      <c r="AR185" s="1059"/>
      <c r="AS185" s="1059"/>
      <c r="AT185" s="1059"/>
      <c r="AU185" s="1059"/>
      <c r="AV185" s="1059"/>
      <c r="AW185" s="1059"/>
      <c r="AX185" s="1059"/>
      <c r="AY185" s="1059"/>
      <c r="AZ185" s="1059"/>
      <c r="BA185" s="1059"/>
      <c r="BB185" s="1059"/>
      <c r="BC185" s="2"/>
      <c r="BD185" s="2"/>
      <c r="BE185" s="2"/>
      <c r="BF185" s="2"/>
      <c r="BG185" s="2"/>
      <c r="BH185" s="2"/>
      <c r="BI185" s="2"/>
      <c r="BJ185" s="2"/>
      <c r="BK185" s="2"/>
      <c r="BL185" s="2"/>
      <c r="BM185" s="2"/>
      <c r="BN185" s="2"/>
      <c r="BO185" s="2"/>
      <c r="BP185" s="2"/>
      <c r="BQ185" s="2"/>
      <c r="BR185" s="2"/>
      <c r="BS185" s="2"/>
      <c r="BT185" s="2"/>
      <c r="BU185" s="2"/>
      <c r="BV185" s="2"/>
    </row>
    <row r="186" spans="1:74">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1059"/>
      <c r="AE186" s="1059"/>
      <c r="AF186" s="1059"/>
      <c r="AG186" s="1059"/>
      <c r="AH186" s="1059"/>
      <c r="AI186" s="1059"/>
      <c r="AJ186" s="1059"/>
      <c r="AK186" s="1059"/>
      <c r="AL186" s="1059"/>
      <c r="AM186" s="1059"/>
      <c r="AN186" s="1059"/>
      <c r="AO186" s="1059"/>
      <c r="AP186" s="1059"/>
      <c r="AQ186" s="1059"/>
      <c r="AR186" s="1059"/>
      <c r="AS186" s="1059"/>
      <c r="AT186" s="1059"/>
      <c r="AU186" s="1059"/>
      <c r="AV186" s="1059"/>
      <c r="AW186" s="1059"/>
      <c r="AX186" s="1059"/>
      <c r="AY186" s="1059"/>
      <c r="AZ186" s="1059"/>
      <c r="BA186" s="1059"/>
      <c r="BB186" s="1059"/>
      <c r="BC186" s="205"/>
      <c r="BD186" s="205"/>
      <c r="BE186" s="205"/>
      <c r="BF186" s="205"/>
      <c r="BG186" s="205"/>
      <c r="BH186" s="205"/>
      <c r="BI186" s="205"/>
      <c r="BJ186" s="205"/>
      <c r="BK186" s="205"/>
      <c r="BL186" s="205"/>
      <c r="BM186" s="205"/>
      <c r="BN186" s="205"/>
      <c r="BO186" s="205"/>
      <c r="BP186" s="205"/>
      <c r="BQ186" s="205"/>
      <c r="BR186" s="205"/>
      <c r="BS186" s="205"/>
      <c r="BT186" s="205"/>
      <c r="BU186" s="205"/>
      <c r="BV186" s="205"/>
    </row>
    <row r="187" spans="1:74">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1059"/>
      <c r="AE187" s="1059"/>
      <c r="AF187" s="1059"/>
      <c r="AG187" s="1059"/>
      <c r="AH187" s="1059"/>
      <c r="AI187" s="1059"/>
      <c r="AJ187" s="1059"/>
      <c r="AK187" s="1059"/>
      <c r="AL187" s="1059"/>
      <c r="AM187" s="1059"/>
      <c r="AN187" s="1059"/>
      <c r="AO187" s="1059"/>
      <c r="AP187" s="1059"/>
      <c r="AQ187" s="1059"/>
      <c r="AR187" s="1059"/>
      <c r="AS187" s="1059"/>
      <c r="AT187" s="1059"/>
      <c r="AU187" s="1059"/>
      <c r="AV187" s="1059"/>
      <c r="AW187" s="1059"/>
      <c r="AX187" s="1059"/>
      <c r="AY187" s="1059"/>
      <c r="AZ187" s="1059"/>
      <c r="BA187" s="1059"/>
      <c r="BB187" s="1059"/>
      <c r="BC187" s="2"/>
      <c r="BD187" s="2"/>
      <c r="BE187" s="2"/>
      <c r="BF187" s="2"/>
      <c r="BG187" s="2"/>
      <c r="BH187" s="2"/>
      <c r="BI187" s="2"/>
      <c r="BJ187" s="2"/>
      <c r="BK187" s="2"/>
      <c r="BL187" s="2"/>
      <c r="BM187" s="2"/>
      <c r="BN187" s="2"/>
      <c r="BO187" s="2"/>
      <c r="BP187" s="2"/>
      <c r="BQ187" s="2"/>
      <c r="BR187" s="2"/>
      <c r="BS187" s="2"/>
      <c r="BT187" s="2"/>
      <c r="BU187" s="2"/>
      <c r="BV187" s="2"/>
    </row>
    <row r="188" spans="1:74">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1059"/>
      <c r="AE188" s="1059"/>
      <c r="AF188" s="1059"/>
      <c r="AG188" s="1059"/>
      <c r="AH188" s="1059"/>
      <c r="AI188" s="1059"/>
      <c r="AJ188" s="1059"/>
      <c r="AK188" s="1059"/>
      <c r="AL188" s="1059"/>
      <c r="AM188" s="1059"/>
      <c r="AN188" s="1059"/>
      <c r="AO188" s="1059"/>
      <c r="AP188" s="1059"/>
      <c r="AQ188" s="1059"/>
      <c r="AR188" s="1059"/>
      <c r="AS188" s="1059"/>
      <c r="AT188" s="1059"/>
      <c r="AU188" s="1059"/>
      <c r="AV188" s="1059"/>
      <c r="AW188" s="1059"/>
      <c r="AX188" s="1059"/>
      <c r="AY188" s="1059"/>
      <c r="AZ188" s="1059"/>
      <c r="BA188" s="1059"/>
      <c r="BB188" s="1059"/>
      <c r="BC188" s="2"/>
      <c r="BD188" s="2"/>
      <c r="BE188" s="2"/>
      <c r="BF188" s="2"/>
      <c r="BG188" s="2"/>
      <c r="BH188" s="2"/>
      <c r="BI188" s="2"/>
      <c r="BJ188" s="2"/>
      <c r="BK188" s="2"/>
      <c r="BL188" s="2"/>
      <c r="BM188" s="2"/>
      <c r="BN188" s="2"/>
      <c r="BO188" s="2"/>
      <c r="BP188" s="2"/>
      <c r="BQ188" s="2"/>
      <c r="BR188" s="2"/>
      <c r="BS188" s="2"/>
      <c r="BT188" s="2"/>
      <c r="BU188" s="2"/>
      <c r="BV188" s="2"/>
    </row>
    <row r="189" spans="1:74">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1"/>
      <c r="AD189" s="1059"/>
      <c r="AE189" s="1059"/>
      <c r="AF189" s="1059"/>
      <c r="AG189" s="1059"/>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row>
    <row r="190" spans="1:74">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1"/>
      <c r="AD190" s="2"/>
      <c r="AE190" s="2"/>
      <c r="AF190" s="2"/>
      <c r="AG190" s="2"/>
      <c r="AH190" s="2"/>
      <c r="AI190" s="2"/>
      <c r="AJ190" s="2"/>
      <c r="AK190" s="2"/>
      <c r="AL190" s="2"/>
      <c r="AM190" s="2"/>
      <c r="AN190" s="2"/>
      <c r="AO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row>
    <row r="191" spans="1:74">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1"/>
      <c r="AD191" s="2"/>
      <c r="AE191" s="2"/>
      <c r="AF191" s="2"/>
      <c r="AG191" s="2"/>
      <c r="AH191" s="2"/>
      <c r="AI191" s="2"/>
      <c r="AJ191" s="2"/>
      <c r="AK191" s="2"/>
      <c r="AL191" s="2"/>
      <c r="AM191" s="2"/>
      <c r="AN191" s="2"/>
      <c r="AO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row>
    <row r="192" spans="1:74">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1"/>
      <c r="AD192" s="2"/>
      <c r="AE192" s="2"/>
      <c r="AF192" s="2"/>
      <c r="AG192" s="2"/>
      <c r="AH192" s="2"/>
      <c r="AI192" s="2"/>
      <c r="AJ192" s="2"/>
      <c r="AK192" s="2"/>
      <c r="AL192" s="2"/>
      <c r="AM192" s="2"/>
      <c r="AN192" s="2"/>
      <c r="AO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row>
    <row r="193" spans="1:74">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row>
    <row r="194" spans="1:74">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c r="BT194" s="2"/>
      <c r="BU194" s="2"/>
      <c r="BV194" s="2"/>
    </row>
    <row r="195" spans="1:74">
      <c r="A195" s="2"/>
      <c r="B195" s="6"/>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7"/>
      <c r="AI195" s="7"/>
      <c r="AJ195" s="7"/>
      <c r="AK195" s="7"/>
      <c r="AL195" s="7"/>
      <c r="AM195" s="7"/>
      <c r="AN195" s="7"/>
      <c r="AO195" s="7"/>
      <c r="AP195" s="7"/>
      <c r="AQ195" s="7"/>
      <c r="AR195" s="7"/>
      <c r="AS195" s="7"/>
      <c r="AT195" s="7"/>
      <c r="AU195" s="7"/>
      <c r="AV195" s="7"/>
      <c r="AW195" s="7"/>
      <c r="AX195" s="7"/>
      <c r="AY195" s="7"/>
      <c r="AZ195" s="7"/>
      <c r="BA195" s="7"/>
      <c r="BB195" s="7"/>
      <c r="BC195" s="7"/>
      <c r="BD195" s="7"/>
      <c r="BE195" s="7"/>
      <c r="BF195" s="7"/>
      <c r="BG195" s="7"/>
      <c r="BH195" s="7"/>
      <c r="BI195" s="7"/>
      <c r="BJ195" s="7"/>
      <c r="BK195" s="7"/>
      <c r="BL195" s="7"/>
      <c r="BM195" s="7"/>
      <c r="BN195" s="7"/>
      <c r="BO195" s="7"/>
      <c r="BP195" s="7"/>
      <c r="BQ195" s="7"/>
      <c r="BR195" s="7"/>
      <c r="BS195" s="7"/>
      <c r="BT195" s="7"/>
      <c r="BU195" s="7"/>
      <c r="BV195" s="7"/>
    </row>
    <row r="196" spans="1:74">
      <c r="A196" s="2"/>
      <c r="B196" s="6"/>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7"/>
      <c r="AE196" s="7"/>
      <c r="AF196" s="7"/>
      <c r="AG196" s="7"/>
      <c r="AH196" s="7"/>
      <c r="AI196" s="7"/>
      <c r="AJ196" s="7"/>
      <c r="AK196" s="7"/>
      <c r="AL196" s="7"/>
      <c r="AM196" s="7"/>
      <c r="AN196" s="7"/>
      <c r="AO196" s="7"/>
      <c r="AP196" s="7"/>
      <c r="AQ196" s="7"/>
      <c r="AR196" s="7"/>
      <c r="AS196" s="7"/>
      <c r="AT196" s="7"/>
      <c r="AU196" s="7"/>
      <c r="AV196" s="7"/>
      <c r="AW196" s="7"/>
      <c r="AX196" s="7"/>
      <c r="AY196" s="7"/>
      <c r="AZ196" s="7"/>
      <c r="BA196" s="7"/>
      <c r="BB196" s="7"/>
      <c r="BC196" s="7"/>
      <c r="BD196" s="7"/>
      <c r="BE196" s="7"/>
      <c r="BF196" s="7"/>
      <c r="BG196" s="7"/>
      <c r="BH196" s="7"/>
      <c r="BI196" s="7"/>
      <c r="BJ196" s="7"/>
      <c r="BK196" s="7"/>
      <c r="BL196" s="7"/>
      <c r="BM196" s="7"/>
      <c r="BN196" s="7"/>
      <c r="BO196" s="7"/>
      <c r="BP196" s="7"/>
      <c r="BQ196" s="7"/>
      <c r="BR196" s="7"/>
      <c r="BS196" s="7"/>
      <c r="BT196" s="7"/>
      <c r="BU196" s="7"/>
      <c r="BV196" s="7"/>
    </row>
    <row r="197" spans="1:74">
      <c r="A197" s="2"/>
      <c r="B197" s="6"/>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7"/>
      <c r="AE197" s="7"/>
      <c r="AF197" s="7"/>
      <c r="AG197" s="7"/>
      <c r="AH197" s="7"/>
      <c r="AI197" s="7"/>
      <c r="AJ197" s="7"/>
      <c r="AK197" s="7"/>
      <c r="AL197" s="7"/>
      <c r="AM197" s="7"/>
      <c r="AN197" s="7"/>
      <c r="AO197" s="7"/>
      <c r="AP197" s="7"/>
      <c r="AQ197" s="7"/>
      <c r="AR197" s="7"/>
      <c r="AS197" s="7"/>
      <c r="AT197" s="7"/>
      <c r="AU197" s="7"/>
      <c r="AV197" s="7"/>
      <c r="AW197" s="7"/>
      <c r="AX197" s="7"/>
      <c r="AY197" s="7"/>
      <c r="AZ197" s="7"/>
      <c r="BA197" s="7"/>
      <c r="BB197" s="7"/>
      <c r="BC197" s="7"/>
      <c r="BD197" s="7"/>
      <c r="BE197" s="7"/>
      <c r="BF197" s="7"/>
      <c r="BG197" s="7"/>
      <c r="BH197" s="7"/>
      <c r="BI197" s="7"/>
      <c r="BJ197" s="7"/>
      <c r="BK197" s="7"/>
      <c r="BL197" s="7"/>
      <c r="BM197" s="7"/>
      <c r="BN197" s="7"/>
      <c r="BO197" s="7"/>
      <c r="BP197" s="7"/>
      <c r="BQ197" s="7"/>
      <c r="BR197" s="7"/>
      <c r="BS197" s="7"/>
      <c r="BT197" s="7"/>
      <c r="BU197" s="7"/>
      <c r="BV197" s="7"/>
    </row>
    <row r="198" spans="1:74">
      <c r="A198" s="2"/>
      <c r="B198" s="6"/>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7"/>
      <c r="AE198" s="7"/>
      <c r="AF198" s="7"/>
      <c r="AG198" s="7"/>
      <c r="AH198" s="7"/>
      <c r="AI198" s="7"/>
      <c r="AJ198" s="7"/>
      <c r="AK198" s="7"/>
      <c r="AL198" s="7"/>
      <c r="AM198" s="7"/>
      <c r="AN198" s="7"/>
      <c r="AO198" s="7"/>
      <c r="AP198" s="7"/>
      <c r="AQ198" s="7"/>
      <c r="AR198" s="7"/>
      <c r="AS198" s="7"/>
      <c r="AT198" s="7"/>
      <c r="AU198" s="7"/>
      <c r="AV198" s="7"/>
      <c r="AW198" s="7"/>
      <c r="AX198" s="7"/>
      <c r="AY198" s="7"/>
      <c r="AZ198" s="7"/>
      <c r="BA198" s="7"/>
      <c r="BB198" s="7"/>
      <c r="BC198" s="7"/>
      <c r="BD198" s="7"/>
      <c r="BE198" s="7"/>
      <c r="BF198" s="7"/>
      <c r="BG198" s="7"/>
      <c r="BH198" s="7"/>
      <c r="BI198" s="7"/>
      <c r="BJ198" s="7"/>
      <c r="BK198" s="7"/>
      <c r="BL198" s="7"/>
      <c r="BM198" s="7"/>
      <c r="BN198" s="7"/>
      <c r="BO198" s="7"/>
      <c r="BP198" s="7"/>
      <c r="BQ198" s="7"/>
      <c r="BR198" s="7"/>
      <c r="BS198" s="7"/>
      <c r="BT198" s="7"/>
      <c r="BU198" s="7"/>
      <c r="BV198" s="7"/>
    </row>
    <row r="199" spans="1:74">
      <c r="A199" s="2"/>
      <c r="B199" s="6"/>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7"/>
      <c r="AE199" s="7"/>
      <c r="AF199" s="7"/>
      <c r="AG199" s="7"/>
      <c r="AH199" s="7"/>
      <c r="AI199" s="7"/>
      <c r="AJ199" s="7"/>
      <c r="AK199" s="7"/>
      <c r="AL199" s="7"/>
      <c r="AM199" s="7"/>
      <c r="AN199" s="7"/>
      <c r="AO199" s="7"/>
      <c r="AP199" s="7"/>
      <c r="AQ199" s="7"/>
      <c r="AR199" s="7"/>
      <c r="AS199" s="7"/>
      <c r="AT199" s="7"/>
      <c r="AU199" s="7"/>
      <c r="AV199" s="7"/>
      <c r="AW199" s="7"/>
      <c r="AX199" s="7"/>
      <c r="AY199" s="7"/>
      <c r="AZ199" s="7"/>
      <c r="BA199" s="7"/>
      <c r="BB199" s="7"/>
      <c r="BC199" s="7"/>
      <c r="BD199" s="7"/>
      <c r="BE199" s="7"/>
      <c r="BF199" s="7"/>
      <c r="BG199" s="7"/>
      <c r="BH199" s="7"/>
      <c r="BI199" s="7"/>
      <c r="BJ199" s="7"/>
      <c r="BK199" s="7"/>
      <c r="BL199" s="7"/>
      <c r="BM199" s="7"/>
      <c r="BN199" s="7"/>
      <c r="BO199" s="7"/>
      <c r="BP199" s="7"/>
      <c r="BQ199" s="7"/>
      <c r="BR199" s="7"/>
      <c r="BS199" s="7"/>
      <c r="BT199" s="7"/>
      <c r="BU199" s="7"/>
      <c r="BV199" s="7"/>
    </row>
    <row r="200" spans="1:74">
      <c r="A200" s="2"/>
      <c r="B200" s="6"/>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7"/>
      <c r="AE200" s="7"/>
      <c r="AF200" s="7"/>
      <c r="AG200" s="7"/>
      <c r="AH200" s="7"/>
      <c r="AI200" s="7"/>
      <c r="AJ200" s="7"/>
      <c r="AK200" s="7"/>
      <c r="AL200" s="7"/>
      <c r="AM200" s="7"/>
      <c r="AN200" s="7"/>
      <c r="AO200" s="7"/>
      <c r="AP200" s="7"/>
      <c r="AQ200" s="7"/>
      <c r="AR200" s="7"/>
      <c r="AS200" s="7"/>
      <c r="AT200" s="7"/>
      <c r="AU200" s="7"/>
      <c r="AV200" s="7"/>
      <c r="AW200" s="7"/>
      <c r="AX200" s="7"/>
      <c r="AY200" s="7"/>
      <c r="AZ200" s="7"/>
      <c r="BA200" s="7"/>
      <c r="BB200" s="7"/>
      <c r="BC200" s="7"/>
      <c r="BD200" s="7"/>
      <c r="BE200" s="7"/>
      <c r="BF200" s="7"/>
      <c r="BG200" s="7"/>
      <c r="BH200" s="7"/>
      <c r="BI200" s="7"/>
      <c r="BJ200" s="7"/>
      <c r="BK200" s="7"/>
      <c r="BL200" s="7"/>
      <c r="BM200" s="7"/>
      <c r="BN200" s="7"/>
      <c r="BO200" s="7"/>
      <c r="BP200" s="7"/>
      <c r="BQ200" s="7"/>
      <c r="BR200" s="7"/>
      <c r="BS200" s="7"/>
      <c r="BT200" s="7"/>
      <c r="BU200" s="7"/>
      <c r="BV200" s="7"/>
    </row>
    <row r="201" spans="1:74">
      <c r="A201" s="2"/>
      <c r="B201" s="6"/>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7"/>
      <c r="AE201" s="7"/>
      <c r="AF201" s="7"/>
      <c r="AG201" s="7"/>
      <c r="AH201" s="7"/>
      <c r="AI201" s="7"/>
      <c r="AJ201" s="7"/>
      <c r="AK201" s="7"/>
      <c r="AL201" s="7"/>
      <c r="AM201" s="7"/>
      <c r="AN201" s="7"/>
      <c r="AO201" s="7"/>
      <c r="AP201" s="7"/>
      <c r="AQ201" s="7"/>
      <c r="AR201" s="7"/>
      <c r="AS201" s="7"/>
      <c r="AT201" s="7"/>
      <c r="AU201" s="7"/>
      <c r="AV201" s="7"/>
      <c r="AW201" s="7"/>
      <c r="AX201" s="7"/>
      <c r="AY201" s="7"/>
      <c r="AZ201" s="7"/>
      <c r="BA201" s="7"/>
      <c r="BB201" s="7"/>
      <c r="BC201" s="7"/>
      <c r="BD201" s="7"/>
      <c r="BE201" s="7"/>
      <c r="BF201" s="7"/>
      <c r="BG201" s="7"/>
      <c r="BH201" s="7"/>
      <c r="BI201" s="7"/>
      <c r="BJ201" s="7"/>
      <c r="BK201" s="7"/>
      <c r="BL201" s="7"/>
      <c r="BM201" s="7"/>
      <c r="BN201" s="7"/>
      <c r="BO201" s="7"/>
      <c r="BP201" s="7"/>
      <c r="BQ201" s="7"/>
      <c r="BR201" s="7"/>
      <c r="BS201" s="7"/>
      <c r="BT201" s="7"/>
      <c r="BU201" s="7"/>
      <c r="BV201" s="7"/>
    </row>
    <row r="202" spans="1:74">
      <c r="A202" s="2"/>
      <c r="B202" s="6"/>
      <c r="C202" s="1068"/>
      <c r="D202" s="1068"/>
      <c r="E202" s="1068"/>
      <c r="F202" s="1068"/>
      <c r="G202" s="1068"/>
      <c r="H202" s="1068"/>
      <c r="I202" s="1068"/>
      <c r="J202" s="1068"/>
      <c r="K202" s="1068"/>
      <c r="L202" s="1068"/>
      <c r="M202" s="1068"/>
      <c r="N202" s="1068"/>
      <c r="O202" s="1068"/>
      <c r="P202" s="1068"/>
      <c r="Q202" s="1068"/>
      <c r="R202" s="1068"/>
      <c r="S202" s="1068"/>
      <c r="T202" s="1068"/>
      <c r="U202" s="1068"/>
      <c r="V202" s="1068"/>
      <c r="W202" s="1068"/>
      <c r="X202" s="1068"/>
      <c r="Y202" s="1068"/>
      <c r="Z202" s="1068"/>
      <c r="AA202" s="1068"/>
      <c r="AB202" s="2"/>
      <c r="AC202" s="2"/>
      <c r="AD202" s="7"/>
      <c r="AE202" s="7"/>
      <c r="AF202" s="7"/>
      <c r="AG202" s="7"/>
      <c r="AH202" s="7"/>
      <c r="AI202" s="7"/>
      <c r="AJ202" s="7"/>
      <c r="AK202" s="7"/>
      <c r="AL202" s="7"/>
      <c r="AM202" s="7"/>
      <c r="AN202" s="7"/>
      <c r="AO202" s="7"/>
      <c r="AP202" s="7"/>
      <c r="AQ202" s="7"/>
      <c r="AR202" s="7"/>
      <c r="AS202" s="7"/>
      <c r="AT202" s="7"/>
      <c r="AU202" s="7"/>
      <c r="AV202" s="7"/>
      <c r="AW202" s="7"/>
      <c r="AX202" s="7"/>
      <c r="AY202" s="7"/>
      <c r="AZ202" s="7"/>
      <c r="BA202" s="7"/>
      <c r="BB202" s="7"/>
      <c r="BC202" s="7"/>
      <c r="BD202" s="7"/>
      <c r="BE202" s="7"/>
      <c r="BF202" s="7"/>
      <c r="BG202" s="7"/>
      <c r="BH202" s="7"/>
      <c r="BI202" s="7"/>
      <c r="BJ202" s="7"/>
      <c r="BK202" s="7"/>
      <c r="BL202" s="7"/>
      <c r="BM202" s="7"/>
      <c r="BN202" s="7"/>
      <c r="BO202" s="7"/>
      <c r="BP202" s="7"/>
      <c r="BQ202" s="7"/>
      <c r="BR202" s="7"/>
      <c r="BS202" s="7"/>
      <c r="BT202" s="7"/>
      <c r="BU202" s="7"/>
      <c r="BV202" s="7"/>
    </row>
    <row r="203" spans="1:74">
      <c r="A203" s="2"/>
      <c r="B203" s="6"/>
      <c r="C203" s="1068"/>
      <c r="D203" s="1068"/>
      <c r="E203" s="1068"/>
      <c r="F203" s="1068"/>
      <c r="G203" s="1068"/>
      <c r="H203" s="1068"/>
      <c r="I203" s="1068"/>
      <c r="J203" s="1068"/>
      <c r="K203" s="1068"/>
      <c r="L203" s="1068"/>
      <c r="M203" s="1068"/>
      <c r="N203" s="1068"/>
      <c r="O203" s="1068"/>
      <c r="P203" s="1068"/>
      <c r="Q203" s="1068"/>
      <c r="R203" s="1068"/>
      <c r="S203" s="1068"/>
      <c r="T203" s="1068"/>
      <c r="U203" s="1068"/>
      <c r="V203" s="1068"/>
      <c r="W203" s="1068"/>
      <c r="X203" s="1068"/>
      <c r="Y203" s="1068"/>
      <c r="Z203" s="1068"/>
      <c r="AA203" s="1068"/>
      <c r="AB203" s="2"/>
      <c r="AC203" s="18"/>
      <c r="AD203" s="7"/>
      <c r="AE203" s="7"/>
      <c r="AF203" s="7"/>
      <c r="AG203" s="7"/>
      <c r="AH203" s="7"/>
      <c r="AI203" s="7"/>
      <c r="AJ203" s="7"/>
      <c r="AK203" s="7"/>
      <c r="AL203" s="7"/>
      <c r="AM203" s="7"/>
      <c r="AN203" s="7"/>
      <c r="AO203" s="7"/>
      <c r="AP203" s="7"/>
      <c r="AQ203" s="7"/>
      <c r="AR203" s="7"/>
      <c r="AS203" s="7"/>
      <c r="AT203" s="7"/>
      <c r="AU203" s="7"/>
      <c r="AV203" s="7"/>
      <c r="AW203" s="7"/>
      <c r="AX203" s="7"/>
      <c r="AY203" s="7"/>
      <c r="AZ203" s="7"/>
      <c r="BA203" s="7"/>
      <c r="BB203" s="7"/>
      <c r="BC203" s="7"/>
      <c r="BD203" s="7"/>
      <c r="BE203" s="7"/>
      <c r="BF203" s="7"/>
      <c r="BG203" s="7"/>
      <c r="BH203" s="7"/>
      <c r="BI203" s="7"/>
      <c r="BJ203" s="7"/>
      <c r="BK203" s="7"/>
      <c r="BL203" s="7"/>
      <c r="BM203" s="7"/>
      <c r="BN203" s="7"/>
      <c r="BO203" s="7"/>
      <c r="BP203" s="7"/>
      <c r="BQ203" s="7"/>
      <c r="BR203" s="7"/>
      <c r="BS203" s="7"/>
      <c r="BT203" s="7"/>
      <c r="BU203" s="7"/>
      <c r="BV203" s="7"/>
    </row>
    <row r="204" spans="1:74">
      <c r="A204" s="2"/>
      <c r="B204" s="6"/>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
      <c r="AC204" s="7"/>
      <c r="AD204" s="7"/>
      <c r="AE204" s="7"/>
      <c r="AF204" s="7"/>
      <c r="AG204" s="7"/>
      <c r="AH204" s="7"/>
      <c r="AI204" s="7"/>
      <c r="AJ204" s="7"/>
      <c r="AK204" s="7"/>
      <c r="AL204" s="7"/>
      <c r="AM204" s="7"/>
      <c r="AN204" s="7"/>
      <c r="AO204" s="7"/>
      <c r="AP204" s="7"/>
      <c r="AQ204" s="7"/>
      <c r="AR204" s="7"/>
      <c r="AS204" s="7"/>
      <c r="AT204" s="7"/>
      <c r="AU204" s="7"/>
      <c r="AV204" s="7"/>
      <c r="AW204" s="7"/>
      <c r="AX204" s="7"/>
      <c r="AY204" s="7"/>
      <c r="AZ204" s="7"/>
      <c r="BA204" s="7"/>
      <c r="BB204" s="7"/>
      <c r="BC204" s="7"/>
      <c r="BD204" s="7"/>
      <c r="BE204" s="7"/>
      <c r="BF204" s="7"/>
      <c r="BG204" s="7"/>
      <c r="BH204" s="7"/>
      <c r="BI204" s="7"/>
      <c r="BJ204" s="7"/>
      <c r="BK204" s="7"/>
      <c r="BL204" s="7"/>
      <c r="BM204" s="7"/>
      <c r="BN204" s="7"/>
      <c r="BO204" s="7"/>
      <c r="BP204" s="7"/>
      <c r="BQ204" s="7"/>
      <c r="BR204" s="7"/>
      <c r="BS204" s="7"/>
      <c r="BT204" s="7"/>
      <c r="BU204" s="7"/>
      <c r="BV204" s="7"/>
    </row>
    <row r="205" spans="1:74">
      <c r="A205" s="2"/>
      <c r="B205" s="6"/>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05"/>
      <c r="AD205" s="7"/>
      <c r="AE205" s="7"/>
      <c r="AF205" s="7"/>
      <c r="AG205" s="7"/>
      <c r="AH205" s="7"/>
      <c r="AI205" s="7"/>
      <c r="AJ205" s="7"/>
      <c r="AK205" s="7"/>
      <c r="AL205" s="7"/>
      <c r="AM205" s="7"/>
      <c r="AN205" s="7"/>
      <c r="AO205" s="7"/>
      <c r="AP205" s="7"/>
      <c r="AQ205" s="7"/>
      <c r="AR205" s="7"/>
      <c r="AS205" s="7"/>
      <c r="AT205" s="7"/>
      <c r="AU205" s="7"/>
      <c r="AV205" s="7"/>
      <c r="AW205" s="7"/>
      <c r="AX205" s="7"/>
      <c r="AY205" s="7"/>
      <c r="AZ205" s="7"/>
      <c r="BA205" s="7"/>
      <c r="BB205" s="7"/>
      <c r="BC205" s="7"/>
      <c r="BD205" s="7"/>
      <c r="BE205" s="7"/>
      <c r="BF205" s="7"/>
      <c r="BG205" s="7"/>
      <c r="BH205" s="7"/>
      <c r="BI205" s="7"/>
      <c r="BJ205" s="7"/>
      <c r="BK205" s="7"/>
      <c r="BL205" s="7"/>
      <c r="BM205" s="7"/>
      <c r="BN205" s="7"/>
      <c r="BO205" s="7"/>
      <c r="BP205" s="7"/>
      <c r="BQ205" s="7"/>
      <c r="BR205" s="7"/>
      <c r="BS205" s="7"/>
      <c r="BT205" s="7"/>
      <c r="BU205" s="7"/>
      <c r="BV205" s="7"/>
    </row>
    <row r="206" spans="1:74">
      <c r="A206" s="2"/>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204"/>
      <c r="AD206" s="7"/>
      <c r="AE206" s="7"/>
      <c r="AF206" s="7"/>
      <c r="AG206" s="7"/>
      <c r="AH206" s="7"/>
      <c r="AI206" s="7"/>
      <c r="AJ206" s="7"/>
      <c r="AK206" s="7"/>
      <c r="AL206" s="7"/>
      <c r="AM206" s="7"/>
      <c r="AN206" s="7"/>
      <c r="AO206" s="7"/>
      <c r="AP206" s="7"/>
      <c r="AQ206" s="7"/>
      <c r="AR206" s="7"/>
      <c r="AS206" s="7"/>
      <c r="AT206" s="7"/>
      <c r="AU206" s="7"/>
      <c r="AV206" s="7"/>
      <c r="AW206" s="7"/>
      <c r="AX206" s="7"/>
      <c r="AY206" s="7"/>
      <c r="AZ206" s="7"/>
      <c r="BA206" s="7"/>
      <c r="BB206" s="7"/>
      <c r="BC206" s="7"/>
      <c r="BD206" s="7"/>
      <c r="BE206" s="7"/>
      <c r="BF206" s="7"/>
      <c r="BG206" s="7"/>
      <c r="BH206" s="7"/>
      <c r="BI206" s="7"/>
      <c r="BJ206" s="7"/>
      <c r="BK206" s="7"/>
      <c r="BL206" s="7"/>
      <c r="BM206" s="7"/>
      <c r="BN206" s="7"/>
      <c r="BO206" s="7"/>
      <c r="BP206" s="7"/>
      <c r="BQ206" s="7"/>
      <c r="BR206" s="7"/>
      <c r="BS206" s="7"/>
      <c r="BT206" s="7"/>
      <c r="BU206" s="7"/>
      <c r="BV206" s="7"/>
    </row>
    <row r="207" spans="1:74">
      <c r="A207" s="2"/>
      <c r="B207" s="6"/>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05"/>
      <c r="AD207" s="7"/>
      <c r="AE207" s="7"/>
      <c r="AF207" s="7"/>
      <c r="AG207" s="7"/>
      <c r="AH207" s="7"/>
      <c r="AI207" s="7"/>
      <c r="AJ207" s="7"/>
      <c r="AK207" s="7"/>
      <c r="AL207" s="7"/>
      <c r="AM207" s="7"/>
      <c r="AN207" s="7"/>
      <c r="AO207" s="7"/>
      <c r="AP207" s="7"/>
      <c r="AQ207" s="7"/>
      <c r="AR207" s="7"/>
      <c r="AS207" s="7"/>
      <c r="AT207" s="7"/>
      <c r="AU207" s="7"/>
      <c r="AV207" s="7"/>
      <c r="AW207" s="7"/>
      <c r="AX207" s="7"/>
      <c r="AY207" s="7"/>
      <c r="AZ207" s="7"/>
      <c r="BA207" s="7"/>
      <c r="BB207" s="7"/>
      <c r="BC207" s="7"/>
      <c r="BD207" s="7"/>
      <c r="BE207" s="7"/>
      <c r="BF207" s="7"/>
      <c r="BG207" s="7"/>
      <c r="BH207" s="7"/>
      <c r="BI207" s="7"/>
      <c r="BJ207" s="7"/>
      <c r="BK207" s="7"/>
      <c r="BL207" s="7"/>
      <c r="BM207" s="7"/>
      <c r="BN207" s="7"/>
      <c r="BO207" s="7"/>
      <c r="BP207" s="7"/>
      <c r="BQ207" s="7"/>
      <c r="BR207" s="7"/>
      <c r="BS207" s="7"/>
      <c r="BT207" s="7"/>
      <c r="BU207" s="7"/>
      <c r="BV207" s="7"/>
    </row>
    <row r="208" spans="1:74">
      <c r="A208" s="2"/>
      <c r="B208" s="6"/>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05"/>
      <c r="AD208" s="7"/>
      <c r="AE208" s="7"/>
      <c r="AF208" s="7"/>
      <c r="AG208" s="7"/>
      <c r="AH208" s="7"/>
      <c r="AI208" s="7"/>
      <c r="AJ208" s="7"/>
      <c r="AK208" s="7"/>
      <c r="AL208" s="7"/>
      <c r="AM208" s="7"/>
      <c r="AN208" s="7"/>
      <c r="AO208" s="7"/>
      <c r="AP208" s="7"/>
      <c r="AQ208" s="7"/>
      <c r="AR208" s="7"/>
      <c r="AS208" s="7"/>
      <c r="AT208" s="7"/>
      <c r="AU208" s="7"/>
      <c r="AV208" s="7"/>
      <c r="AW208" s="7"/>
      <c r="AX208" s="7"/>
      <c r="AY208" s="7"/>
      <c r="AZ208" s="7"/>
      <c r="BA208" s="7"/>
      <c r="BB208" s="7"/>
      <c r="BC208" s="7"/>
      <c r="BD208" s="7"/>
      <c r="BE208" s="7"/>
      <c r="BF208" s="7"/>
      <c r="BG208" s="7"/>
      <c r="BH208" s="7"/>
      <c r="BI208" s="7"/>
      <c r="BJ208" s="7"/>
      <c r="BK208" s="7"/>
      <c r="BL208" s="7"/>
      <c r="BM208" s="7"/>
      <c r="BN208" s="7"/>
      <c r="BO208" s="7"/>
      <c r="BP208" s="7"/>
      <c r="BQ208" s="7"/>
      <c r="BR208" s="7"/>
      <c r="BS208" s="7"/>
      <c r="BT208" s="7"/>
      <c r="BU208" s="7"/>
      <c r="BV208" s="7"/>
    </row>
    <row r="209" spans="1:74">
      <c r="A209" s="2"/>
      <c r="B209" s="6"/>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1067"/>
      <c r="AD209" s="7"/>
      <c r="AE209" s="7"/>
      <c r="AF209" s="7"/>
      <c r="AG209" s="7"/>
      <c r="AH209" s="7"/>
      <c r="AI209" s="7"/>
      <c r="AJ209" s="7"/>
      <c r="AK209" s="7"/>
      <c r="AL209" s="7"/>
      <c r="AM209" s="7"/>
      <c r="AN209" s="7"/>
      <c r="AO209" s="7"/>
      <c r="AP209" s="7"/>
      <c r="AQ209" s="7"/>
      <c r="AR209" s="7"/>
      <c r="AS209" s="7"/>
      <c r="AT209" s="7"/>
      <c r="AU209" s="7"/>
      <c r="AV209" s="7"/>
      <c r="AW209" s="7"/>
      <c r="AX209" s="7"/>
      <c r="AY209" s="7"/>
      <c r="AZ209" s="7"/>
      <c r="BA209" s="7"/>
      <c r="BB209" s="7"/>
      <c r="BC209" s="7"/>
      <c r="BD209" s="7"/>
      <c r="BE209" s="7"/>
      <c r="BF209" s="7"/>
      <c r="BG209" s="7"/>
      <c r="BH209" s="7"/>
      <c r="BI209" s="7"/>
      <c r="BJ209" s="7"/>
      <c r="BK209" s="7"/>
      <c r="BL209" s="7"/>
      <c r="BM209" s="7"/>
      <c r="BN209" s="7"/>
      <c r="BO209" s="7"/>
      <c r="BP209" s="7"/>
      <c r="BQ209" s="7"/>
      <c r="BR209" s="7"/>
      <c r="BS209" s="7"/>
      <c r="BT209" s="7"/>
      <c r="BU209" s="7"/>
      <c r="BV209" s="7"/>
    </row>
    <row r="210" spans="1:74">
      <c r="A210" s="2"/>
      <c r="B210" s="55"/>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05"/>
      <c r="AD210" s="7"/>
      <c r="AE210" s="7"/>
      <c r="AF210" s="7"/>
      <c r="AG210" s="7"/>
      <c r="AH210" s="205"/>
      <c r="AI210" s="205"/>
      <c r="AJ210" s="205"/>
      <c r="AK210" s="205"/>
      <c r="AL210" s="205"/>
      <c r="AM210" s="205"/>
      <c r="AN210" s="205"/>
      <c r="AO210" s="205"/>
      <c r="AP210" s="205"/>
      <c r="AQ210" s="205"/>
      <c r="AR210" s="205"/>
      <c r="AS210" s="205"/>
      <c r="AT210" s="205"/>
      <c r="AU210" s="205"/>
      <c r="AV210" s="205"/>
      <c r="AW210" s="205"/>
      <c r="AX210" s="205"/>
      <c r="AY210" s="205"/>
      <c r="AZ210" s="205"/>
      <c r="BA210" s="205"/>
      <c r="BB210" s="205"/>
      <c r="BC210" s="92"/>
      <c r="BD210" s="92"/>
      <c r="BE210" s="92"/>
      <c r="BF210" s="92"/>
      <c r="BG210" s="92"/>
      <c r="BH210" s="92"/>
      <c r="BI210" s="92"/>
      <c r="BJ210" s="92"/>
      <c r="BK210" s="92"/>
      <c r="BL210" s="92"/>
      <c r="BM210" s="92"/>
      <c r="BN210" s="92"/>
      <c r="BO210" s="92"/>
      <c r="BP210" s="92"/>
      <c r="BQ210" s="92"/>
      <c r="BR210" s="92"/>
      <c r="BS210" s="92"/>
      <c r="BT210" s="92"/>
      <c r="BU210" s="92"/>
      <c r="BV210" s="92"/>
    </row>
    <row r="211" spans="1:74">
      <c r="A211" s="2"/>
      <c r="B211" s="55"/>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05"/>
      <c r="AD211" s="205"/>
      <c r="AE211" s="205"/>
      <c r="AF211" s="205"/>
      <c r="AG211" s="205"/>
      <c r="AH211" s="205"/>
      <c r="AI211" s="205"/>
      <c r="AJ211" s="205"/>
      <c r="AK211" s="205"/>
      <c r="AL211" s="205"/>
      <c r="AM211" s="205"/>
      <c r="AN211" s="205"/>
      <c r="AO211" s="205"/>
      <c r="AP211" s="205"/>
      <c r="AQ211" s="205"/>
      <c r="AR211" s="205"/>
      <c r="AS211" s="205"/>
      <c r="AT211" s="205"/>
      <c r="AU211" s="205"/>
      <c r="AV211" s="205"/>
      <c r="AW211" s="205"/>
      <c r="AX211" s="205"/>
      <c r="AY211" s="205"/>
      <c r="AZ211" s="205"/>
      <c r="BA211" s="205"/>
      <c r="BB211" s="205"/>
      <c r="BC211" s="92"/>
      <c r="BD211" s="92"/>
      <c r="BE211" s="92"/>
      <c r="BF211" s="92"/>
      <c r="BG211" s="92"/>
      <c r="BH211" s="92"/>
      <c r="BI211" s="92"/>
      <c r="BJ211" s="92"/>
      <c r="BK211" s="92"/>
      <c r="BL211" s="92"/>
      <c r="BM211" s="92"/>
      <c r="BN211" s="92"/>
      <c r="BO211" s="92"/>
      <c r="BP211" s="92"/>
      <c r="BQ211" s="92"/>
      <c r="BR211" s="92"/>
      <c r="BS211" s="92"/>
      <c r="BT211" s="92"/>
      <c r="BU211" s="92"/>
      <c r="BV211" s="92"/>
    </row>
    <row r="212" spans="1:74">
      <c r="A212" s="2"/>
      <c r="B212" s="55"/>
      <c r="C212" s="75"/>
      <c r="D212" s="75"/>
      <c r="E212" s="75"/>
      <c r="F212" s="75"/>
      <c r="G212" s="75"/>
      <c r="H212" s="75"/>
      <c r="I212" s="75"/>
      <c r="J212" s="75"/>
      <c r="K212" s="75"/>
      <c r="L212" s="75"/>
      <c r="M212" s="75"/>
      <c r="N212" s="75"/>
      <c r="O212" s="75"/>
      <c r="P212" s="75"/>
      <c r="Q212" s="75"/>
      <c r="R212" s="75"/>
      <c r="S212" s="75"/>
      <c r="T212" s="75"/>
      <c r="U212" s="75"/>
      <c r="V212" s="75"/>
      <c r="W212" s="75"/>
      <c r="X212" s="75"/>
      <c r="Y212" s="75"/>
      <c r="Z212" s="75"/>
      <c r="AA212" s="75"/>
      <c r="AB212" s="2"/>
      <c r="AC212" s="1069"/>
      <c r="AD212" s="205"/>
      <c r="AE212" s="205"/>
      <c r="AF212" s="205"/>
      <c r="AG212" s="205"/>
      <c r="AH212" s="205"/>
      <c r="AI212" s="205"/>
      <c r="AJ212" s="205"/>
      <c r="AK212" s="205"/>
      <c r="AL212" s="205"/>
      <c r="AM212" s="205"/>
      <c r="AN212" s="205"/>
      <c r="AO212" s="205"/>
      <c r="AP212" s="205"/>
      <c r="AQ212" s="205"/>
      <c r="AR212" s="205"/>
      <c r="AS212" s="205"/>
      <c r="AT212" s="205"/>
      <c r="AU212" s="205"/>
      <c r="AV212" s="205"/>
      <c r="AW212" s="205"/>
      <c r="AX212" s="205"/>
      <c r="AY212" s="205"/>
      <c r="AZ212" s="205"/>
      <c r="BA212" s="205"/>
      <c r="BB212" s="205"/>
      <c r="BC212" s="92"/>
      <c r="BD212" s="92"/>
      <c r="BE212" s="92"/>
      <c r="BF212" s="92"/>
      <c r="BG212" s="92"/>
      <c r="BH212" s="92"/>
      <c r="BI212" s="92"/>
      <c r="BJ212" s="92"/>
      <c r="BK212" s="92"/>
      <c r="BL212" s="92"/>
      <c r="BM212" s="92"/>
      <c r="BN212" s="92"/>
      <c r="BO212" s="92"/>
      <c r="BP212" s="92"/>
      <c r="BQ212" s="92"/>
      <c r="BR212" s="92"/>
      <c r="BS212" s="92"/>
      <c r="BT212" s="92"/>
      <c r="BU212" s="92"/>
      <c r="BV212" s="92"/>
    </row>
    <row r="213" spans="1:74">
      <c r="A213" s="2"/>
      <c r="B213" s="55"/>
      <c r="C213" s="75"/>
      <c r="D213" s="75"/>
      <c r="E213" s="75"/>
      <c r="F213" s="75"/>
      <c r="G213" s="75"/>
      <c r="H213" s="75"/>
      <c r="I213" s="75"/>
      <c r="J213" s="75"/>
      <c r="K213" s="75"/>
      <c r="L213" s="75"/>
      <c r="M213" s="75"/>
      <c r="N213" s="75"/>
      <c r="O213" s="75"/>
      <c r="P213" s="75"/>
      <c r="Q213" s="75"/>
      <c r="R213" s="75"/>
      <c r="S213" s="75"/>
      <c r="T213" s="75"/>
      <c r="U213" s="75"/>
      <c r="V213" s="75"/>
      <c r="W213" s="75"/>
      <c r="X213" s="75"/>
      <c r="Y213" s="75"/>
      <c r="Z213" s="75"/>
      <c r="AA213" s="75"/>
      <c r="AB213" s="2"/>
      <c r="AC213" s="1069"/>
      <c r="AD213" s="205"/>
      <c r="AE213" s="205"/>
      <c r="AF213" s="205"/>
      <c r="AG213" s="205"/>
      <c r="AH213" s="205"/>
      <c r="AI213" s="205"/>
      <c r="AJ213" s="205"/>
      <c r="AK213" s="205"/>
      <c r="AL213" s="205"/>
      <c r="AM213" s="205"/>
      <c r="AN213" s="205"/>
      <c r="AO213" s="205"/>
      <c r="AP213" s="205"/>
      <c r="AQ213" s="205"/>
      <c r="AR213" s="205"/>
      <c r="AS213" s="205"/>
      <c r="AT213" s="205"/>
      <c r="AU213" s="205"/>
      <c r="AV213" s="205"/>
      <c r="AW213" s="205"/>
      <c r="AX213" s="205"/>
      <c r="AY213" s="205"/>
      <c r="AZ213" s="205"/>
      <c r="BA213" s="205"/>
      <c r="BB213" s="205"/>
      <c r="BC213" s="92"/>
      <c r="BD213" s="92"/>
      <c r="BE213" s="92"/>
      <c r="BF213" s="92"/>
      <c r="BG213" s="92"/>
      <c r="BH213" s="92"/>
      <c r="BI213" s="92"/>
      <c r="BJ213" s="92"/>
      <c r="BK213" s="92"/>
      <c r="BL213" s="92"/>
      <c r="BM213" s="92"/>
      <c r="BN213" s="92"/>
      <c r="BO213" s="92"/>
      <c r="BP213" s="92"/>
      <c r="BQ213" s="92"/>
      <c r="BR213" s="92"/>
      <c r="BS213" s="92"/>
      <c r="BT213" s="92"/>
      <c r="BU213" s="92"/>
      <c r="BV213" s="92"/>
    </row>
    <row r="214" spans="1:74">
      <c r="A214" s="2"/>
      <c r="B214" s="18"/>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2"/>
      <c r="AC214" s="201"/>
      <c r="AD214" s="205"/>
      <c r="AE214" s="205"/>
      <c r="AF214" s="205"/>
      <c r="AG214" s="205"/>
      <c r="AH214" s="205"/>
      <c r="AI214" s="205"/>
      <c r="AJ214" s="205"/>
      <c r="AK214" s="205"/>
      <c r="AL214" s="205"/>
      <c r="AM214" s="205"/>
      <c r="AN214" s="205"/>
      <c r="AO214" s="205"/>
      <c r="AP214" s="205"/>
      <c r="AQ214" s="205"/>
      <c r="AR214" s="205"/>
      <c r="AS214" s="205"/>
      <c r="AT214" s="205"/>
      <c r="AU214" s="205"/>
      <c r="AV214" s="205"/>
      <c r="AW214" s="205"/>
      <c r="AX214" s="205"/>
      <c r="AY214" s="205"/>
      <c r="AZ214" s="205"/>
      <c r="BA214" s="205"/>
      <c r="BB214" s="205"/>
      <c r="BC214" s="92"/>
      <c r="BD214" s="92"/>
      <c r="BE214" s="92"/>
      <c r="BF214" s="92"/>
      <c r="BG214" s="92"/>
      <c r="BH214" s="92"/>
      <c r="BI214" s="92"/>
      <c r="BJ214" s="92"/>
      <c r="BK214" s="92"/>
      <c r="BL214" s="92"/>
      <c r="BM214" s="92"/>
      <c r="BN214" s="92"/>
      <c r="BO214" s="92"/>
      <c r="BP214" s="92"/>
      <c r="BQ214" s="92"/>
      <c r="BR214" s="92"/>
      <c r="BS214" s="92"/>
      <c r="BT214" s="92"/>
      <c r="BU214" s="92"/>
      <c r="BV214" s="92"/>
    </row>
    <row r="215" spans="1:74">
      <c r="A215" s="2"/>
      <c r="B215" s="6"/>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2"/>
      <c r="AC215" s="201"/>
      <c r="AD215" s="205"/>
      <c r="AE215" s="205"/>
      <c r="AF215" s="205"/>
      <c r="AG215" s="205"/>
      <c r="AH215" s="205"/>
      <c r="AI215" s="205"/>
      <c r="AJ215" s="205"/>
      <c r="AK215" s="205"/>
      <c r="AL215" s="205"/>
      <c r="AM215" s="205"/>
      <c r="AN215" s="205"/>
      <c r="AO215" s="205"/>
      <c r="AP215" s="205"/>
      <c r="AQ215" s="205"/>
      <c r="AR215" s="205"/>
      <c r="AS215" s="205"/>
      <c r="AT215" s="205"/>
      <c r="AU215" s="205"/>
      <c r="AV215" s="205"/>
      <c r="AW215" s="205"/>
      <c r="AX215" s="205"/>
      <c r="AY215" s="205"/>
      <c r="AZ215" s="205"/>
      <c r="BA215" s="205"/>
      <c r="BB215" s="205"/>
      <c r="BC215" s="92"/>
      <c r="BD215" s="92"/>
      <c r="BE215" s="92"/>
      <c r="BF215" s="92"/>
      <c r="BG215" s="92"/>
      <c r="BH215" s="92"/>
      <c r="BI215" s="92"/>
      <c r="BJ215" s="92"/>
      <c r="BK215" s="92"/>
      <c r="BL215" s="92"/>
      <c r="BM215" s="92"/>
      <c r="BN215" s="92"/>
      <c r="BO215" s="92"/>
      <c r="BP215" s="92"/>
      <c r="BQ215" s="92"/>
      <c r="BR215" s="92"/>
      <c r="BS215" s="92"/>
      <c r="BT215" s="92"/>
      <c r="BU215" s="92"/>
      <c r="BV215" s="92"/>
    </row>
    <row r="216" spans="1:74">
      <c r="A216" s="2"/>
      <c r="B216" s="18"/>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2"/>
      <c r="AC216" s="201"/>
      <c r="AD216" s="205"/>
      <c r="AE216" s="205"/>
      <c r="AF216" s="205"/>
      <c r="AG216" s="205"/>
      <c r="AH216" s="205"/>
      <c r="AI216" s="205"/>
      <c r="AJ216" s="205"/>
      <c r="AK216" s="205"/>
      <c r="AL216" s="205"/>
      <c r="AM216" s="205"/>
      <c r="AN216" s="205"/>
      <c r="AO216" s="205"/>
      <c r="AP216" s="205"/>
      <c r="AQ216" s="205"/>
      <c r="AR216" s="205"/>
      <c r="AS216" s="205"/>
      <c r="AT216" s="205"/>
      <c r="AU216" s="205"/>
      <c r="AV216" s="205"/>
      <c r="AW216" s="205"/>
      <c r="AX216" s="205"/>
      <c r="AY216" s="205"/>
      <c r="AZ216" s="205"/>
      <c r="BA216" s="205"/>
      <c r="BB216" s="205"/>
      <c r="BC216" s="92"/>
      <c r="BD216" s="92"/>
      <c r="BE216" s="92"/>
      <c r="BF216" s="92"/>
      <c r="BG216" s="92"/>
      <c r="BH216" s="92"/>
      <c r="BI216" s="92"/>
      <c r="BJ216" s="92"/>
      <c r="BK216" s="92"/>
      <c r="BL216" s="92"/>
      <c r="BM216" s="92"/>
      <c r="BN216" s="92"/>
      <c r="BO216" s="92"/>
      <c r="BP216" s="92"/>
      <c r="BQ216" s="92"/>
      <c r="BR216" s="92"/>
      <c r="BS216" s="92"/>
      <c r="BT216" s="92"/>
      <c r="BU216" s="92"/>
      <c r="BV216" s="92"/>
    </row>
    <row r="217" spans="1:74">
      <c r="A217" s="2"/>
      <c r="B217" s="18"/>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2"/>
      <c r="AC217" s="201"/>
      <c r="AD217" s="205"/>
      <c r="AE217" s="205"/>
      <c r="AF217" s="205"/>
      <c r="AG217" s="205"/>
      <c r="AH217" s="205"/>
      <c r="AI217" s="205"/>
      <c r="AJ217" s="205"/>
      <c r="AK217" s="205"/>
      <c r="AL217" s="205"/>
      <c r="AM217" s="205"/>
      <c r="AN217" s="205"/>
      <c r="AO217" s="205"/>
      <c r="AP217" s="205"/>
      <c r="AQ217" s="205"/>
      <c r="AR217" s="205"/>
      <c r="AS217" s="205"/>
      <c r="AT217" s="205"/>
      <c r="AU217" s="205"/>
      <c r="AV217" s="205"/>
      <c r="AW217" s="205"/>
      <c r="AX217" s="205"/>
      <c r="AY217" s="205"/>
      <c r="AZ217" s="205"/>
      <c r="BA217" s="205"/>
      <c r="BB217" s="205"/>
      <c r="BC217" s="92"/>
      <c r="BD217" s="92"/>
      <c r="BE217" s="92"/>
      <c r="BF217" s="92"/>
      <c r="BG217" s="92"/>
      <c r="BH217" s="92"/>
      <c r="BI217" s="92"/>
      <c r="BJ217" s="92"/>
      <c r="BK217" s="92"/>
      <c r="BL217" s="92"/>
      <c r="BM217" s="92"/>
      <c r="BN217" s="92"/>
      <c r="BO217" s="92"/>
      <c r="BP217" s="92"/>
      <c r="BQ217" s="92"/>
      <c r="BR217" s="92"/>
      <c r="BS217" s="92"/>
      <c r="BT217" s="92"/>
      <c r="BU217" s="92"/>
      <c r="BV217" s="92"/>
    </row>
    <row r="218" spans="1:74">
      <c r="A218" s="2"/>
      <c r="B218" s="18"/>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2"/>
      <c r="AC218" s="1070"/>
      <c r="AD218" s="205"/>
      <c r="AE218" s="205"/>
      <c r="AF218" s="205"/>
      <c r="AG218" s="205"/>
      <c r="AH218" s="205"/>
      <c r="AI218" s="205"/>
      <c r="AJ218" s="205"/>
      <c r="AK218" s="205"/>
      <c r="AL218" s="205"/>
      <c r="AM218" s="205"/>
      <c r="AN218" s="205"/>
      <c r="AO218" s="205"/>
      <c r="AP218" s="205"/>
      <c r="AQ218" s="205"/>
      <c r="AR218" s="205"/>
      <c r="AS218" s="205"/>
      <c r="AT218" s="205"/>
      <c r="AU218" s="205"/>
      <c r="AV218" s="205"/>
      <c r="AW218" s="205"/>
      <c r="AX218" s="205"/>
      <c r="AY218" s="205"/>
      <c r="AZ218" s="205"/>
      <c r="BA218" s="205"/>
      <c r="BB218" s="205"/>
      <c r="BC218" s="92"/>
      <c r="BD218" s="92"/>
      <c r="BE218" s="92"/>
      <c r="BF218" s="92"/>
      <c r="BG218" s="92"/>
      <c r="BH218" s="92"/>
      <c r="BI218" s="92"/>
      <c r="BJ218" s="92"/>
      <c r="BK218" s="92"/>
      <c r="BL218" s="92"/>
      <c r="BM218" s="92"/>
      <c r="BN218" s="92"/>
      <c r="BO218" s="92"/>
      <c r="BP218" s="92"/>
      <c r="BQ218" s="92"/>
      <c r="BR218" s="92"/>
      <c r="BS218" s="92"/>
      <c r="BT218" s="92"/>
      <c r="BU218" s="92"/>
      <c r="BV218" s="92"/>
    </row>
    <row r="219" spans="1:74">
      <c r="A219" s="2"/>
      <c r="B219" s="18"/>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2"/>
      <c r="AC219" s="1071"/>
      <c r="AD219" s="205"/>
      <c r="AE219" s="205"/>
      <c r="AF219" s="205"/>
      <c r="AG219" s="205"/>
      <c r="AH219" s="205"/>
      <c r="AI219" s="205"/>
      <c r="AJ219" s="205"/>
      <c r="AK219" s="205"/>
      <c r="AL219" s="205"/>
      <c r="AM219" s="205"/>
      <c r="AN219" s="205"/>
      <c r="AO219" s="205"/>
      <c r="AP219" s="205"/>
      <c r="AQ219" s="205"/>
      <c r="AR219" s="205"/>
      <c r="AS219" s="205"/>
      <c r="AT219" s="205"/>
      <c r="AU219" s="205"/>
      <c r="AV219" s="205"/>
      <c r="AW219" s="205"/>
      <c r="AX219" s="205"/>
      <c r="AY219" s="205"/>
      <c r="AZ219" s="205"/>
      <c r="BA219" s="205"/>
      <c r="BB219" s="205"/>
      <c r="BC219" s="92"/>
      <c r="BD219" s="92"/>
      <c r="BE219" s="92"/>
      <c r="BF219" s="92"/>
      <c r="BG219" s="92"/>
      <c r="BH219" s="92"/>
      <c r="BI219" s="92"/>
      <c r="BJ219" s="92"/>
      <c r="BK219" s="92"/>
      <c r="BL219" s="92"/>
      <c r="BM219" s="92"/>
      <c r="BN219" s="92"/>
      <c r="BO219" s="92"/>
      <c r="BP219" s="92"/>
      <c r="BQ219" s="92"/>
      <c r="BR219" s="92"/>
      <c r="BS219" s="92"/>
      <c r="BT219" s="92"/>
      <c r="BU219" s="92"/>
      <c r="BV219" s="92"/>
    </row>
    <row r="220" spans="1:74">
      <c r="A220" s="2"/>
      <c r="B220" s="18"/>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2"/>
      <c r="AC220" s="1072"/>
      <c r="AD220" s="205"/>
      <c r="AE220" s="205"/>
      <c r="AF220" s="205"/>
      <c r="AG220" s="205"/>
      <c r="AH220" s="205"/>
      <c r="AI220" s="205"/>
      <c r="AJ220" s="205"/>
      <c r="AK220" s="205"/>
      <c r="AL220" s="205"/>
      <c r="AM220" s="205"/>
      <c r="AN220" s="205"/>
      <c r="AO220" s="205"/>
      <c r="AP220" s="205"/>
      <c r="AQ220" s="205"/>
      <c r="AR220" s="205"/>
      <c r="AS220" s="205"/>
      <c r="AT220" s="205"/>
      <c r="AU220" s="205"/>
      <c r="AV220" s="205"/>
      <c r="AW220" s="205"/>
      <c r="AX220" s="205"/>
      <c r="AY220" s="205"/>
      <c r="AZ220" s="205"/>
      <c r="BA220" s="205"/>
      <c r="BB220" s="205"/>
      <c r="BC220" s="92"/>
      <c r="BD220" s="92"/>
      <c r="BE220" s="92"/>
      <c r="BF220" s="92"/>
      <c r="BG220" s="92"/>
      <c r="BH220" s="92"/>
      <c r="BI220" s="92"/>
      <c r="BJ220" s="92"/>
      <c r="BK220" s="92"/>
      <c r="BL220" s="92"/>
      <c r="BM220" s="92"/>
      <c r="BN220" s="92"/>
      <c r="BO220" s="92"/>
      <c r="BP220" s="92"/>
      <c r="BQ220" s="92"/>
      <c r="BR220" s="92"/>
      <c r="BS220" s="92"/>
      <c r="BT220" s="92"/>
      <c r="BU220" s="92"/>
      <c r="BV220" s="92"/>
    </row>
    <row r="221" spans="1:74">
      <c r="A221" s="2"/>
      <c r="B221" s="18"/>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2"/>
      <c r="AC221" s="201"/>
      <c r="AD221" s="205"/>
      <c r="AE221" s="205"/>
      <c r="AF221" s="205"/>
      <c r="AG221" s="205"/>
      <c r="AH221" s="205"/>
      <c r="AI221" s="205"/>
      <c r="AJ221" s="205"/>
      <c r="AK221" s="205"/>
      <c r="AL221" s="205"/>
      <c r="AM221" s="205"/>
      <c r="AN221" s="205"/>
      <c r="AO221" s="205"/>
      <c r="AP221" s="205"/>
      <c r="AQ221" s="205"/>
      <c r="AR221" s="205"/>
      <c r="AS221" s="205"/>
      <c r="AT221" s="205"/>
      <c r="AU221" s="205"/>
      <c r="AV221" s="205"/>
      <c r="AW221" s="205"/>
      <c r="AX221" s="205"/>
      <c r="AY221" s="205"/>
      <c r="AZ221" s="205"/>
      <c r="BA221" s="205"/>
      <c r="BB221" s="205"/>
      <c r="BC221" s="92"/>
      <c r="BD221" s="92"/>
      <c r="BE221" s="92"/>
      <c r="BF221" s="92"/>
      <c r="BG221" s="92"/>
      <c r="BH221" s="92"/>
      <c r="BI221" s="92"/>
      <c r="BJ221" s="92"/>
      <c r="BK221" s="92"/>
      <c r="BL221" s="92"/>
      <c r="BM221" s="92"/>
      <c r="BN221" s="92"/>
      <c r="BO221" s="92"/>
      <c r="BP221" s="92"/>
      <c r="BQ221" s="92"/>
      <c r="BR221" s="92"/>
      <c r="BS221" s="92"/>
      <c r="BT221" s="92"/>
      <c r="BU221" s="92"/>
      <c r="BV221" s="92"/>
    </row>
    <row r="222" spans="1:74">
      <c r="A222" s="2"/>
      <c r="B222" s="18"/>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2"/>
      <c r="AC222" s="201"/>
      <c r="AD222" s="205"/>
      <c r="AE222" s="205"/>
      <c r="AF222" s="205"/>
      <c r="AG222" s="205"/>
      <c r="AH222" s="205"/>
      <c r="AI222" s="205"/>
      <c r="AJ222" s="205"/>
      <c r="AK222" s="205"/>
      <c r="AL222" s="205"/>
      <c r="AM222" s="205"/>
      <c r="AN222" s="205"/>
      <c r="AO222" s="205"/>
      <c r="AP222" s="205"/>
      <c r="AQ222" s="205"/>
      <c r="AR222" s="205"/>
      <c r="AS222" s="205"/>
      <c r="AT222" s="205"/>
      <c r="AU222" s="205"/>
      <c r="AV222" s="205"/>
      <c r="AW222" s="205"/>
      <c r="AX222" s="205"/>
      <c r="AY222" s="205"/>
      <c r="AZ222" s="205"/>
      <c r="BA222" s="205"/>
      <c r="BB222" s="205"/>
      <c r="BC222" s="92"/>
      <c r="BD222" s="92"/>
      <c r="BE222" s="92"/>
      <c r="BF222" s="92"/>
      <c r="BG222" s="92"/>
      <c r="BH222" s="92"/>
      <c r="BI222" s="92"/>
      <c r="BJ222" s="92"/>
      <c r="BK222" s="92"/>
      <c r="BL222" s="92"/>
      <c r="BM222" s="92"/>
      <c r="BN222" s="92"/>
      <c r="BO222" s="92"/>
      <c r="BP222" s="92"/>
      <c r="BQ222" s="92"/>
      <c r="BR222" s="92"/>
      <c r="BS222" s="92"/>
      <c r="BT222" s="92"/>
      <c r="BU222" s="92"/>
      <c r="BV222" s="92"/>
    </row>
    <row r="223" spans="1:74">
      <c r="A223" s="2"/>
      <c r="B223" s="18"/>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2"/>
      <c r="AC223" s="201"/>
      <c r="AD223" s="205"/>
      <c r="AE223" s="205"/>
      <c r="AF223" s="205"/>
      <c r="AG223" s="205"/>
      <c r="AH223" s="205"/>
      <c r="AI223" s="205"/>
      <c r="AJ223" s="205"/>
      <c r="AK223" s="205"/>
      <c r="AL223" s="205"/>
      <c r="AM223" s="205"/>
      <c r="AN223" s="205"/>
      <c r="AO223" s="205"/>
      <c r="AP223" s="205"/>
      <c r="AQ223" s="205"/>
      <c r="AR223" s="205"/>
      <c r="AS223" s="205"/>
      <c r="AT223" s="205"/>
      <c r="AU223" s="205"/>
      <c r="AV223" s="205"/>
      <c r="AW223" s="205"/>
      <c r="AX223" s="205"/>
      <c r="AY223" s="205"/>
      <c r="AZ223" s="205"/>
      <c r="BA223" s="205"/>
      <c r="BB223" s="205"/>
      <c r="BC223" s="92"/>
      <c r="BD223" s="92"/>
      <c r="BE223" s="92"/>
      <c r="BF223" s="92"/>
      <c r="BG223" s="92"/>
      <c r="BH223" s="92"/>
      <c r="BI223" s="92"/>
      <c r="BJ223" s="92"/>
      <c r="BK223" s="92"/>
      <c r="BL223" s="92"/>
      <c r="BM223" s="92"/>
      <c r="BN223" s="92"/>
      <c r="BO223" s="92"/>
      <c r="BP223" s="92"/>
      <c r="BQ223" s="92"/>
      <c r="BR223" s="92"/>
      <c r="BS223" s="92"/>
      <c r="BT223" s="92"/>
      <c r="BU223" s="92"/>
      <c r="BV223" s="92"/>
    </row>
    <row r="224" spans="1:74">
      <c r="A224" s="2"/>
      <c r="B224" s="18"/>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2"/>
      <c r="AC224" s="201"/>
      <c r="AD224" s="205"/>
      <c r="AE224" s="205"/>
      <c r="AF224" s="205"/>
      <c r="AG224" s="205"/>
      <c r="AH224" s="205"/>
      <c r="AI224" s="205"/>
      <c r="AJ224" s="205"/>
      <c r="AK224" s="205"/>
      <c r="AL224" s="205"/>
      <c r="AM224" s="205"/>
      <c r="AN224" s="205"/>
      <c r="AO224" s="205"/>
      <c r="AP224" s="205"/>
      <c r="AQ224" s="205"/>
      <c r="AR224" s="205"/>
      <c r="AS224" s="205"/>
      <c r="AT224" s="205"/>
      <c r="AU224" s="205"/>
      <c r="AV224" s="205"/>
      <c r="AW224" s="205"/>
      <c r="AX224" s="205"/>
      <c r="AY224" s="205"/>
      <c r="AZ224" s="205"/>
      <c r="BA224" s="205"/>
      <c r="BB224" s="205"/>
      <c r="BC224" s="92"/>
      <c r="BD224" s="92"/>
      <c r="BE224" s="92"/>
      <c r="BF224" s="92"/>
      <c r="BG224" s="92"/>
      <c r="BH224" s="92"/>
      <c r="BI224" s="92"/>
      <c r="BJ224" s="92"/>
      <c r="BK224" s="92"/>
      <c r="BL224" s="92"/>
      <c r="BM224" s="92"/>
      <c r="BN224" s="92"/>
      <c r="BO224" s="92"/>
      <c r="BP224" s="92"/>
      <c r="BQ224" s="92"/>
      <c r="BR224" s="92"/>
      <c r="BS224" s="92"/>
      <c r="BT224" s="92"/>
      <c r="BU224" s="92"/>
      <c r="BV224" s="92"/>
    </row>
    <row r="225" spans="1:74">
      <c r="A225" s="2"/>
      <c r="B225" s="18"/>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2"/>
      <c r="AC225" s="201"/>
      <c r="AD225" s="205"/>
      <c r="AE225" s="205"/>
      <c r="AF225" s="205"/>
      <c r="AG225" s="205"/>
      <c r="AH225" s="205"/>
      <c r="AI225" s="205"/>
      <c r="AJ225" s="205"/>
      <c r="AK225" s="205"/>
      <c r="AL225" s="205"/>
      <c r="AM225" s="205"/>
      <c r="AN225" s="205"/>
      <c r="AO225" s="205"/>
      <c r="AP225" s="205"/>
      <c r="AQ225" s="205"/>
      <c r="AR225" s="205"/>
      <c r="AS225" s="205"/>
      <c r="AT225" s="205"/>
      <c r="AU225" s="205"/>
      <c r="AV225" s="205"/>
      <c r="AW225" s="205"/>
      <c r="AX225" s="205"/>
      <c r="AY225" s="205"/>
      <c r="AZ225" s="205"/>
      <c r="BA225" s="205"/>
      <c r="BB225" s="205"/>
      <c r="BC225" s="92"/>
      <c r="BD225" s="92"/>
      <c r="BE225" s="92"/>
      <c r="BF225" s="92"/>
      <c r="BG225" s="92"/>
      <c r="BH225" s="92"/>
      <c r="BI225" s="92"/>
      <c r="BJ225" s="92"/>
      <c r="BK225" s="92"/>
      <c r="BL225" s="92"/>
      <c r="BM225" s="92"/>
      <c r="BN225" s="92"/>
      <c r="BO225" s="92"/>
      <c r="BP225" s="92"/>
      <c r="BQ225" s="92"/>
      <c r="BR225" s="92"/>
      <c r="BS225" s="92"/>
      <c r="BT225" s="92"/>
      <c r="BU225" s="92"/>
      <c r="BV225" s="92"/>
    </row>
    <row r="226" spans="1:74">
      <c r="A226" s="2"/>
      <c r="B226" s="18"/>
      <c r="C226" s="31"/>
      <c r="D226" s="31"/>
      <c r="E226" s="31"/>
      <c r="F226" s="31"/>
      <c r="G226" s="31"/>
      <c r="H226" s="31"/>
      <c r="I226" s="31"/>
      <c r="J226" s="31"/>
      <c r="K226" s="31"/>
      <c r="L226" s="31"/>
      <c r="M226" s="31"/>
      <c r="N226" s="31"/>
      <c r="O226" s="31"/>
      <c r="P226" s="31"/>
      <c r="Q226" s="31"/>
      <c r="R226" s="31"/>
      <c r="S226" s="31"/>
      <c r="T226" s="31"/>
      <c r="U226" s="31"/>
      <c r="V226" s="31"/>
      <c r="W226" s="31"/>
      <c r="X226" s="31"/>
      <c r="Y226" s="31"/>
      <c r="Z226" s="31"/>
      <c r="AA226" s="31"/>
      <c r="AB226" s="2"/>
      <c r="AC226" s="205"/>
      <c r="AD226" s="205"/>
      <c r="AE226" s="205"/>
      <c r="AF226" s="205"/>
      <c r="AG226" s="205"/>
      <c r="AH226" s="205"/>
      <c r="AI226" s="205"/>
      <c r="AJ226" s="205"/>
      <c r="AK226" s="205"/>
      <c r="AL226" s="205"/>
      <c r="AM226" s="205"/>
      <c r="AN226" s="205"/>
      <c r="AO226" s="205"/>
      <c r="AP226" s="205"/>
      <c r="AQ226" s="205"/>
      <c r="AR226" s="205"/>
      <c r="AS226" s="205"/>
      <c r="AT226" s="205"/>
      <c r="AU226" s="205"/>
      <c r="AV226" s="205"/>
      <c r="AW226" s="205"/>
      <c r="AX226" s="205"/>
      <c r="AY226" s="205"/>
      <c r="AZ226" s="205"/>
      <c r="BA226" s="205"/>
      <c r="BB226" s="205"/>
      <c r="BC226" s="92"/>
      <c r="BD226" s="92"/>
      <c r="BE226" s="92"/>
      <c r="BF226" s="92"/>
      <c r="BG226" s="92"/>
      <c r="BH226" s="92"/>
      <c r="BI226" s="92"/>
      <c r="BJ226" s="92"/>
      <c r="BK226" s="92"/>
      <c r="BL226" s="92"/>
      <c r="BM226" s="92"/>
      <c r="BN226" s="92"/>
      <c r="BO226" s="92"/>
      <c r="BP226" s="92"/>
      <c r="BQ226" s="92"/>
      <c r="BR226" s="92"/>
      <c r="BS226" s="92"/>
      <c r="BT226" s="92"/>
      <c r="BU226" s="92"/>
      <c r="BV226" s="92"/>
    </row>
    <row r="227" spans="1:74">
      <c r="A227" s="2"/>
      <c r="B227" s="18"/>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2"/>
      <c r="AC227" s="205"/>
      <c r="AD227" s="205"/>
      <c r="AE227" s="205"/>
      <c r="AF227" s="205"/>
      <c r="AG227" s="205"/>
      <c r="AH227" s="205"/>
      <c r="AI227" s="205"/>
      <c r="AJ227" s="205"/>
      <c r="AK227" s="205"/>
      <c r="AL227" s="205"/>
      <c r="AM227" s="205"/>
      <c r="AN227" s="205"/>
      <c r="AO227" s="205"/>
      <c r="AP227" s="205"/>
      <c r="AQ227" s="205"/>
      <c r="AR227" s="205"/>
      <c r="AS227" s="205"/>
      <c r="AT227" s="205"/>
      <c r="AU227" s="205"/>
      <c r="AV227" s="205"/>
      <c r="AW227" s="205"/>
      <c r="AX227" s="205"/>
      <c r="AY227" s="205"/>
      <c r="AZ227" s="205"/>
      <c r="BA227" s="205"/>
      <c r="BB227" s="205"/>
      <c r="BC227" s="92"/>
      <c r="BD227" s="92"/>
      <c r="BE227" s="92"/>
      <c r="BF227" s="92"/>
      <c r="BG227" s="92"/>
      <c r="BH227" s="92"/>
      <c r="BI227" s="92"/>
      <c r="BJ227" s="92"/>
      <c r="BK227" s="92"/>
      <c r="BL227" s="92"/>
      <c r="BM227" s="92"/>
      <c r="BN227" s="92"/>
      <c r="BO227" s="92"/>
      <c r="BP227" s="92"/>
      <c r="BQ227" s="92"/>
      <c r="BR227" s="92"/>
      <c r="BS227" s="92"/>
      <c r="BT227" s="92"/>
      <c r="BU227" s="92"/>
      <c r="BV227" s="92"/>
    </row>
    <row r="228" spans="1:74">
      <c r="A228" s="2"/>
      <c r="B228" s="18"/>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2"/>
      <c r="AC228" s="205"/>
      <c r="AD228" s="205"/>
      <c r="AE228" s="205"/>
      <c r="AF228" s="205"/>
      <c r="AG228" s="205"/>
      <c r="AH228" s="205"/>
      <c r="AI228" s="205"/>
      <c r="AJ228" s="205"/>
      <c r="AK228" s="205"/>
      <c r="AL228" s="205"/>
      <c r="AM228" s="205"/>
      <c r="AN228" s="205"/>
      <c r="AO228" s="205"/>
      <c r="AP228" s="205"/>
      <c r="AQ228" s="205"/>
      <c r="AR228" s="205"/>
      <c r="AS228" s="205"/>
      <c r="AT228" s="205"/>
      <c r="AU228" s="205"/>
      <c r="AV228" s="205"/>
      <c r="AW228" s="205"/>
      <c r="AX228" s="205"/>
      <c r="AY228" s="205"/>
      <c r="AZ228" s="205"/>
      <c r="BA228" s="205"/>
      <c r="BB228" s="205"/>
      <c r="BC228" s="92"/>
      <c r="BD228" s="92"/>
      <c r="BE228" s="92"/>
      <c r="BF228" s="92"/>
      <c r="BG228" s="92"/>
      <c r="BH228" s="92"/>
      <c r="BI228" s="92"/>
      <c r="BJ228" s="92"/>
      <c r="BK228" s="92"/>
      <c r="BL228" s="92"/>
      <c r="BM228" s="92"/>
      <c r="BN228" s="92"/>
      <c r="BO228" s="92"/>
      <c r="BP228" s="92"/>
      <c r="BQ228" s="92"/>
      <c r="BR228" s="92"/>
      <c r="BS228" s="92"/>
      <c r="BT228" s="92"/>
      <c r="BU228" s="92"/>
      <c r="BV228" s="92"/>
    </row>
    <row r="229" spans="1:74">
      <c r="A229" s="2"/>
      <c r="B229" s="18"/>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2"/>
      <c r="AC229" s="205"/>
      <c r="AD229" s="205"/>
      <c r="AE229" s="205"/>
      <c r="AF229" s="205"/>
      <c r="AG229" s="205"/>
      <c r="AH229" s="205"/>
      <c r="AI229" s="205"/>
      <c r="AJ229" s="205"/>
      <c r="AK229" s="205"/>
      <c r="AL229" s="205"/>
      <c r="AM229" s="205"/>
      <c r="AN229" s="205"/>
      <c r="AO229" s="205"/>
      <c r="AP229" s="205"/>
      <c r="AQ229" s="205"/>
      <c r="AR229" s="205"/>
      <c r="AS229" s="205"/>
      <c r="AT229" s="205"/>
      <c r="AU229" s="205"/>
      <c r="AV229" s="205"/>
      <c r="AW229" s="205"/>
      <c r="AX229" s="205"/>
      <c r="AY229" s="205"/>
      <c r="AZ229" s="205"/>
      <c r="BA229" s="205"/>
      <c r="BB229" s="205"/>
      <c r="BC229" s="92"/>
      <c r="BD229" s="92"/>
      <c r="BE229" s="92"/>
      <c r="BF229" s="92"/>
      <c r="BG229" s="92"/>
      <c r="BH229" s="92"/>
      <c r="BI229" s="92"/>
      <c r="BJ229" s="92"/>
      <c r="BK229" s="92"/>
      <c r="BL229" s="92"/>
      <c r="BM229" s="92"/>
      <c r="BN229" s="92"/>
      <c r="BO229" s="92"/>
      <c r="BP229" s="92"/>
      <c r="BQ229" s="92"/>
      <c r="BR229" s="92"/>
      <c r="BS229" s="92"/>
      <c r="BT229" s="92"/>
      <c r="BU229" s="92"/>
      <c r="BV229" s="92"/>
    </row>
    <row r="230" spans="1:74">
      <c r="A230" s="2"/>
      <c r="B230" s="18"/>
      <c r="C230" s="7"/>
      <c r="D230" s="7"/>
      <c r="E230" s="7"/>
      <c r="F230" s="7"/>
      <c r="G230" s="7"/>
      <c r="H230" s="7"/>
      <c r="I230" s="7"/>
      <c r="J230" s="7"/>
      <c r="K230" s="7"/>
      <c r="L230" s="7"/>
      <c r="M230" s="7"/>
      <c r="N230" s="7"/>
      <c r="O230" s="7"/>
      <c r="P230" s="7"/>
      <c r="Q230" s="7"/>
      <c r="R230" s="7"/>
      <c r="S230" s="7"/>
      <c r="T230" s="7"/>
      <c r="U230" s="7"/>
      <c r="V230" s="7"/>
      <c r="W230" s="7"/>
      <c r="X230" s="7"/>
      <c r="Y230" s="7"/>
      <c r="Z230" s="7"/>
      <c r="AA230" s="7"/>
      <c r="AB230" s="2"/>
      <c r="AC230" s="2"/>
      <c r="AD230" s="205"/>
      <c r="AE230" s="205"/>
      <c r="AF230" s="205"/>
      <c r="AG230" s="205"/>
      <c r="AH230" s="205"/>
      <c r="AI230" s="205"/>
      <c r="AJ230" s="205"/>
      <c r="AK230" s="205"/>
      <c r="AL230" s="205"/>
      <c r="AM230" s="205"/>
      <c r="AN230" s="205"/>
      <c r="AO230" s="205"/>
      <c r="AP230" s="205"/>
      <c r="AQ230" s="205"/>
      <c r="AR230" s="205"/>
      <c r="AS230" s="205"/>
      <c r="AT230" s="205"/>
      <c r="AU230" s="205"/>
      <c r="AV230" s="205"/>
      <c r="AW230" s="205"/>
      <c r="AX230" s="205"/>
      <c r="AY230" s="205"/>
      <c r="AZ230" s="205"/>
      <c r="BA230" s="205"/>
      <c r="BB230" s="205"/>
      <c r="BC230" s="92"/>
      <c r="BD230" s="92"/>
      <c r="BE230" s="92"/>
      <c r="BF230" s="92"/>
      <c r="BG230" s="92"/>
      <c r="BH230" s="92"/>
      <c r="BI230" s="92"/>
      <c r="BJ230" s="92"/>
      <c r="BK230" s="92"/>
      <c r="BL230" s="92"/>
      <c r="BM230" s="92"/>
      <c r="BN230" s="92"/>
      <c r="BO230" s="92"/>
      <c r="BP230" s="92"/>
      <c r="BQ230" s="92"/>
      <c r="BR230" s="92"/>
      <c r="BS230" s="92"/>
      <c r="BT230" s="92"/>
      <c r="BU230" s="92"/>
      <c r="BV230" s="92"/>
    </row>
    <row r="231" spans="1:74">
      <c r="A231" s="2"/>
      <c r="B231" s="18"/>
      <c r="C231" s="7"/>
      <c r="D231" s="7"/>
      <c r="E231" s="7"/>
      <c r="F231" s="7"/>
      <c r="G231" s="7"/>
      <c r="H231" s="7"/>
      <c r="I231" s="7"/>
      <c r="J231" s="7"/>
      <c r="K231" s="7"/>
      <c r="L231" s="7"/>
      <c r="M231" s="7"/>
      <c r="N231" s="7"/>
      <c r="O231" s="7"/>
      <c r="P231" s="7"/>
      <c r="Q231" s="7"/>
      <c r="R231" s="7"/>
      <c r="S231" s="7"/>
      <c r="T231" s="7"/>
      <c r="U231" s="7"/>
      <c r="V231" s="7"/>
      <c r="W231" s="7"/>
      <c r="X231" s="7"/>
      <c r="Y231" s="7"/>
      <c r="Z231" s="7"/>
      <c r="AA231" s="7"/>
      <c r="AB231" s="2"/>
      <c r="AC231" s="205"/>
      <c r="AD231" s="205"/>
      <c r="AE231" s="205"/>
      <c r="AF231" s="205"/>
      <c r="AG231" s="205"/>
      <c r="AH231" s="205"/>
      <c r="AI231" s="205"/>
      <c r="AJ231" s="205"/>
      <c r="AK231" s="205"/>
      <c r="AL231" s="205"/>
      <c r="AM231" s="205"/>
      <c r="AN231" s="205"/>
      <c r="AO231" s="205"/>
      <c r="AP231" s="205"/>
      <c r="AQ231" s="205"/>
      <c r="AR231" s="205"/>
      <c r="AS231" s="205"/>
      <c r="AT231" s="205"/>
      <c r="AU231" s="205"/>
      <c r="AV231" s="205"/>
      <c r="AW231" s="205"/>
      <c r="AX231" s="205"/>
      <c r="AY231" s="205"/>
      <c r="AZ231" s="205"/>
      <c r="BA231" s="205"/>
      <c r="BB231" s="205"/>
      <c r="BC231" s="92"/>
      <c r="BD231" s="92"/>
      <c r="BE231" s="92"/>
      <c r="BF231" s="92"/>
      <c r="BG231" s="92"/>
      <c r="BH231" s="92"/>
      <c r="BI231" s="92"/>
      <c r="BJ231" s="92"/>
      <c r="BK231" s="92"/>
      <c r="BL231" s="92"/>
      <c r="BM231" s="92"/>
      <c r="BN231" s="92"/>
      <c r="BO231" s="92"/>
      <c r="BP231" s="92"/>
      <c r="BQ231" s="92"/>
      <c r="BR231" s="92"/>
      <c r="BS231" s="92"/>
      <c r="BT231" s="92"/>
      <c r="BU231" s="92"/>
      <c r="BV231" s="92"/>
    </row>
    <row r="232" spans="1:74">
      <c r="A232" s="2"/>
      <c r="B232" s="18"/>
      <c r="C232" s="7"/>
      <c r="D232" s="7"/>
      <c r="E232" s="7"/>
      <c r="F232" s="7"/>
      <c r="G232" s="7"/>
      <c r="H232" s="7"/>
      <c r="I232" s="7"/>
      <c r="J232" s="7"/>
      <c r="K232" s="7"/>
      <c r="L232" s="7"/>
      <c r="M232" s="7"/>
      <c r="N232" s="7"/>
      <c r="O232" s="7"/>
      <c r="P232" s="7"/>
      <c r="Q232" s="7"/>
      <c r="R232" s="7"/>
      <c r="S232" s="7"/>
      <c r="T232" s="7"/>
      <c r="U232" s="7"/>
      <c r="V232" s="7"/>
      <c r="W232" s="7"/>
      <c r="X232" s="7"/>
      <c r="Y232" s="7"/>
      <c r="Z232" s="7"/>
      <c r="AA232" s="7"/>
      <c r="AB232" s="2"/>
      <c r="AC232" s="2"/>
      <c r="AD232" s="205"/>
      <c r="AE232" s="205"/>
      <c r="AF232" s="205"/>
      <c r="AG232" s="205"/>
      <c r="AH232" s="205"/>
      <c r="AI232" s="205"/>
      <c r="AJ232" s="205"/>
      <c r="AK232" s="205"/>
      <c r="AL232" s="205"/>
      <c r="AM232" s="205"/>
      <c r="AN232" s="205"/>
      <c r="AO232" s="205"/>
      <c r="AP232" s="205"/>
      <c r="AQ232" s="205"/>
      <c r="AR232" s="205"/>
      <c r="AS232" s="205"/>
      <c r="AT232" s="205"/>
      <c r="AU232" s="205"/>
      <c r="AV232" s="205"/>
      <c r="AW232" s="205"/>
      <c r="AX232" s="205"/>
      <c r="AY232" s="205"/>
      <c r="AZ232" s="205"/>
      <c r="BA232" s="205"/>
      <c r="BB232" s="205"/>
      <c r="BC232" s="92"/>
      <c r="BD232" s="92"/>
      <c r="BE232" s="92"/>
      <c r="BF232" s="92"/>
      <c r="BG232" s="92"/>
      <c r="BH232" s="92"/>
      <c r="BI232" s="92"/>
      <c r="BJ232" s="92"/>
      <c r="BK232" s="92"/>
      <c r="BL232" s="92"/>
      <c r="BM232" s="92"/>
      <c r="BN232" s="92"/>
      <c r="BO232" s="92"/>
      <c r="BP232" s="92"/>
      <c r="BQ232" s="92"/>
      <c r="BR232" s="92"/>
      <c r="BS232" s="92"/>
      <c r="BT232" s="92"/>
      <c r="BU232" s="92"/>
      <c r="BV232" s="92"/>
    </row>
    <row r="233" spans="1:74">
      <c r="A233" s="2"/>
      <c r="B233" s="18"/>
      <c r="C233" s="7"/>
      <c r="D233" s="7"/>
      <c r="E233" s="7"/>
      <c r="F233" s="7"/>
      <c r="G233" s="7"/>
      <c r="H233" s="7"/>
      <c r="I233" s="7"/>
      <c r="J233" s="7"/>
      <c r="K233" s="7"/>
      <c r="L233" s="7"/>
      <c r="M233" s="7"/>
      <c r="N233" s="7"/>
      <c r="O233" s="7"/>
      <c r="P233" s="7"/>
      <c r="Q233" s="7"/>
      <c r="R233" s="7"/>
      <c r="S233" s="7"/>
      <c r="T233" s="7"/>
      <c r="U233" s="7"/>
      <c r="V233" s="7"/>
      <c r="W233" s="7"/>
      <c r="X233" s="7"/>
      <c r="Y233" s="7"/>
      <c r="Z233" s="7"/>
      <c r="AA233" s="7"/>
      <c r="AB233" s="2"/>
      <c r="AC233" s="2"/>
      <c r="AD233" s="205"/>
      <c r="AE233" s="205"/>
      <c r="AF233" s="205"/>
      <c r="AG233" s="205"/>
      <c r="AH233" s="205"/>
      <c r="AI233" s="205"/>
      <c r="AJ233" s="205"/>
      <c r="AK233" s="205"/>
      <c r="AL233" s="205"/>
      <c r="AM233" s="205"/>
      <c r="AN233" s="205"/>
      <c r="AO233" s="205"/>
      <c r="AP233" s="205"/>
      <c r="AQ233" s="205"/>
      <c r="AR233" s="205"/>
      <c r="AS233" s="205"/>
      <c r="AT233" s="205"/>
      <c r="AU233" s="205"/>
      <c r="AV233" s="205"/>
      <c r="AW233" s="205"/>
      <c r="AX233" s="205"/>
      <c r="AY233" s="205"/>
      <c r="AZ233" s="205"/>
      <c r="BA233" s="205"/>
      <c r="BB233" s="205"/>
      <c r="BC233" s="92"/>
      <c r="BD233" s="92"/>
      <c r="BE233" s="92"/>
      <c r="BF233" s="92"/>
      <c r="BG233" s="92"/>
      <c r="BH233" s="92"/>
      <c r="BI233" s="92"/>
      <c r="BJ233" s="92"/>
      <c r="BK233" s="92"/>
      <c r="BL233" s="92"/>
      <c r="BM233" s="92"/>
      <c r="BN233" s="92"/>
      <c r="BO233" s="92"/>
      <c r="BP233" s="92"/>
      <c r="BQ233" s="92"/>
      <c r="BR233" s="92"/>
      <c r="BS233" s="92"/>
      <c r="BT233" s="92"/>
      <c r="BU233" s="92"/>
      <c r="BV233" s="92"/>
    </row>
    <row r="234" spans="1:74">
      <c r="A234" s="2"/>
      <c r="B234" s="18"/>
      <c r="C234" s="7"/>
      <c r="D234" s="7"/>
      <c r="E234" s="7"/>
      <c r="F234" s="7"/>
      <c r="G234" s="7"/>
      <c r="H234" s="7"/>
      <c r="I234" s="7"/>
      <c r="J234" s="7"/>
      <c r="K234" s="7"/>
      <c r="L234" s="7"/>
      <c r="M234" s="7"/>
      <c r="N234" s="7"/>
      <c r="O234" s="7"/>
      <c r="P234" s="7"/>
      <c r="Q234" s="7"/>
      <c r="R234" s="7"/>
      <c r="S234" s="7"/>
      <c r="T234" s="7"/>
      <c r="U234" s="7"/>
      <c r="V234" s="7"/>
      <c r="W234" s="7"/>
      <c r="X234" s="7"/>
      <c r="Y234" s="7"/>
      <c r="Z234" s="7"/>
      <c r="AA234" s="7"/>
      <c r="AB234" s="2"/>
      <c r="AC234" s="2"/>
      <c r="AD234" s="205"/>
      <c r="AE234" s="205"/>
      <c r="AF234" s="205"/>
      <c r="AG234" s="205"/>
      <c r="AH234" s="205"/>
      <c r="AI234" s="205"/>
      <c r="AJ234" s="205"/>
      <c r="AK234" s="205"/>
      <c r="AL234" s="205"/>
      <c r="AM234" s="205"/>
      <c r="AN234" s="205"/>
      <c r="AO234" s="205"/>
      <c r="AP234" s="205"/>
      <c r="AQ234" s="205"/>
      <c r="AR234" s="205"/>
      <c r="AS234" s="205"/>
      <c r="AT234" s="205"/>
      <c r="AU234" s="205"/>
      <c r="AV234" s="205"/>
      <c r="AW234" s="205"/>
      <c r="AX234" s="205"/>
      <c r="AY234" s="205"/>
      <c r="AZ234" s="205"/>
      <c r="BA234" s="205"/>
      <c r="BB234" s="205"/>
      <c r="BC234" s="92"/>
      <c r="BD234" s="92"/>
      <c r="BE234" s="92"/>
      <c r="BF234" s="92"/>
      <c r="BG234" s="92"/>
      <c r="BH234" s="92"/>
      <c r="BI234" s="92"/>
      <c r="BJ234" s="92"/>
      <c r="BK234" s="92"/>
      <c r="BL234" s="92"/>
      <c r="BM234" s="92"/>
      <c r="BN234" s="92"/>
      <c r="BO234" s="92"/>
      <c r="BP234" s="92"/>
      <c r="BQ234" s="92"/>
      <c r="BR234" s="92"/>
      <c r="BS234" s="92"/>
      <c r="BT234" s="92"/>
      <c r="BU234" s="92"/>
      <c r="BV234" s="92"/>
    </row>
    <row r="235" spans="1:74">
      <c r="A235" s="2"/>
      <c r="B235" s="18"/>
      <c r="C235" s="7"/>
      <c r="D235" s="7"/>
      <c r="E235" s="7"/>
      <c r="F235" s="7"/>
      <c r="G235" s="7"/>
      <c r="H235" s="7"/>
      <c r="I235" s="7"/>
      <c r="J235" s="7"/>
      <c r="K235" s="7"/>
      <c r="L235" s="7"/>
      <c r="M235" s="7"/>
      <c r="N235" s="7"/>
      <c r="O235" s="7"/>
      <c r="P235" s="7"/>
      <c r="Q235" s="7"/>
      <c r="R235" s="7"/>
      <c r="S235" s="7"/>
      <c r="T235" s="7"/>
      <c r="U235" s="7"/>
      <c r="V235" s="7"/>
      <c r="W235" s="7"/>
      <c r="X235" s="7"/>
      <c r="Y235" s="7"/>
      <c r="Z235" s="7"/>
      <c r="AA235" s="7"/>
      <c r="AB235" s="2"/>
      <c r="AC235" s="2"/>
      <c r="AD235" s="205"/>
      <c r="AE235" s="205"/>
      <c r="AF235" s="205"/>
      <c r="AG235" s="205"/>
      <c r="AH235" s="205"/>
      <c r="AI235" s="205"/>
      <c r="AJ235" s="205"/>
      <c r="AK235" s="205"/>
      <c r="AL235" s="205"/>
      <c r="AM235" s="205"/>
      <c r="AN235" s="205"/>
      <c r="AO235" s="205"/>
      <c r="AP235" s="205"/>
      <c r="AQ235" s="205"/>
      <c r="AR235" s="205"/>
      <c r="AS235" s="205"/>
      <c r="AT235" s="205"/>
      <c r="AU235" s="205"/>
      <c r="AV235" s="205"/>
      <c r="AW235" s="205"/>
      <c r="AX235" s="205"/>
      <c r="AY235" s="205"/>
      <c r="AZ235" s="205"/>
      <c r="BA235" s="205"/>
      <c r="BB235" s="205"/>
      <c r="BC235" s="92"/>
      <c r="BD235" s="92"/>
      <c r="BE235" s="92"/>
      <c r="BF235" s="92"/>
      <c r="BG235" s="92"/>
      <c r="BH235" s="92"/>
      <c r="BI235" s="92"/>
      <c r="BJ235" s="92"/>
      <c r="BK235" s="92"/>
      <c r="BL235" s="92"/>
      <c r="BM235" s="92"/>
      <c r="BN235" s="92"/>
      <c r="BO235" s="92"/>
      <c r="BP235" s="92"/>
      <c r="BQ235" s="92"/>
      <c r="BR235" s="92"/>
      <c r="BS235" s="92"/>
      <c r="BT235" s="92"/>
      <c r="BU235" s="92"/>
      <c r="BV235" s="92"/>
    </row>
    <row r="236" spans="1:74">
      <c r="A236" s="2"/>
      <c r="B236" s="18"/>
      <c r="C236" s="7"/>
      <c r="D236" s="7"/>
      <c r="E236" s="7"/>
      <c r="F236" s="7"/>
      <c r="G236" s="7"/>
      <c r="H236" s="7"/>
      <c r="I236" s="7"/>
      <c r="J236" s="7"/>
      <c r="K236" s="7"/>
      <c r="L236" s="7"/>
      <c r="M236" s="7"/>
      <c r="N236" s="7"/>
      <c r="O236" s="7"/>
      <c r="P236" s="7"/>
      <c r="Q236" s="7"/>
      <c r="R236" s="7"/>
      <c r="S236" s="7"/>
      <c r="T236" s="7"/>
      <c r="U236" s="7"/>
      <c r="V236" s="7"/>
      <c r="W236" s="7"/>
      <c r="X236" s="7"/>
      <c r="Y236" s="7"/>
      <c r="Z236" s="7"/>
      <c r="AA236" s="7"/>
      <c r="AB236" s="2"/>
      <c r="AC236" s="2"/>
      <c r="AD236" s="205"/>
      <c r="AE236" s="205"/>
      <c r="AF236" s="205"/>
      <c r="AG236" s="205"/>
      <c r="AH236" s="205"/>
      <c r="AI236" s="205"/>
      <c r="AJ236" s="205"/>
      <c r="AK236" s="205"/>
      <c r="AL236" s="205"/>
      <c r="AM236" s="205"/>
      <c r="AN236" s="205"/>
      <c r="AO236" s="205"/>
      <c r="AP236" s="205"/>
      <c r="AQ236" s="205"/>
      <c r="AR236" s="205"/>
      <c r="AS236" s="205"/>
      <c r="AT236" s="205"/>
      <c r="AU236" s="205"/>
      <c r="AV236" s="205"/>
      <c r="AW236" s="205"/>
      <c r="AX236" s="205"/>
      <c r="AY236" s="205"/>
      <c r="AZ236" s="205"/>
      <c r="BA236" s="205"/>
      <c r="BB236" s="205"/>
      <c r="BC236" s="92"/>
      <c r="BD236" s="92"/>
      <c r="BE236" s="92"/>
      <c r="BF236" s="92"/>
      <c r="BG236" s="92"/>
      <c r="BH236" s="92"/>
      <c r="BI236" s="92"/>
      <c r="BJ236" s="92"/>
      <c r="BK236" s="92"/>
      <c r="BL236" s="92"/>
      <c r="BM236" s="92"/>
      <c r="BN236" s="92"/>
      <c r="BO236" s="92"/>
      <c r="BP236" s="92"/>
      <c r="BQ236" s="92"/>
      <c r="BR236" s="92"/>
      <c r="BS236" s="92"/>
      <c r="BT236" s="92"/>
      <c r="BU236" s="92"/>
      <c r="BV236" s="92"/>
    </row>
    <row r="237" spans="1:74">
      <c r="A237" s="2"/>
      <c r="B237" s="18"/>
      <c r="C237" s="7"/>
      <c r="D237" s="7"/>
      <c r="E237" s="7"/>
      <c r="F237" s="7"/>
      <c r="G237" s="7"/>
      <c r="H237" s="7"/>
      <c r="I237" s="7"/>
      <c r="J237" s="7"/>
      <c r="K237" s="7"/>
      <c r="L237" s="7"/>
      <c r="M237" s="7"/>
      <c r="N237" s="7"/>
      <c r="O237" s="7"/>
      <c r="P237" s="7"/>
      <c r="Q237" s="7"/>
      <c r="R237" s="7"/>
      <c r="S237" s="7"/>
      <c r="T237" s="7"/>
      <c r="U237" s="7"/>
      <c r="V237" s="7"/>
      <c r="W237" s="7"/>
      <c r="X237" s="7"/>
      <c r="Y237" s="7"/>
      <c r="Z237" s="7"/>
      <c r="AA237" s="7"/>
      <c r="AB237" s="2"/>
      <c r="AC237" s="2"/>
      <c r="AD237" s="205"/>
      <c r="AE237" s="205"/>
      <c r="AF237" s="205"/>
      <c r="AG237" s="205"/>
      <c r="AH237" s="205"/>
      <c r="AI237" s="205"/>
      <c r="AJ237" s="205"/>
      <c r="AK237" s="205"/>
      <c r="AL237" s="205"/>
      <c r="AM237" s="205"/>
      <c r="AN237" s="205"/>
      <c r="AO237" s="205"/>
      <c r="AP237" s="205"/>
      <c r="AQ237" s="205"/>
      <c r="AR237" s="205"/>
      <c r="AS237" s="205"/>
      <c r="AT237" s="205"/>
      <c r="AU237" s="205"/>
      <c r="AV237" s="205"/>
      <c r="AW237" s="205"/>
      <c r="AX237" s="205"/>
      <c r="AY237" s="205"/>
      <c r="AZ237" s="205"/>
      <c r="BA237" s="205"/>
      <c r="BB237" s="205"/>
      <c r="BC237" s="92"/>
      <c r="BD237" s="92"/>
      <c r="BE237" s="92"/>
      <c r="BF237" s="92"/>
      <c r="BG237" s="92"/>
      <c r="BH237" s="92"/>
      <c r="BI237" s="92"/>
      <c r="BJ237" s="92"/>
      <c r="BK237" s="92"/>
      <c r="BL237" s="92"/>
      <c r="BM237" s="92"/>
      <c r="BN237" s="92"/>
      <c r="BO237" s="92"/>
      <c r="BP237" s="92"/>
      <c r="BQ237" s="92"/>
      <c r="BR237" s="92"/>
      <c r="BS237" s="92"/>
      <c r="BT237" s="92"/>
      <c r="BU237" s="92"/>
      <c r="BV237" s="92"/>
    </row>
    <row r="238" spans="1:74">
      <c r="A238" s="2"/>
      <c r="B238" s="6"/>
      <c r="C238" s="7"/>
      <c r="D238" s="7"/>
      <c r="E238" s="7"/>
      <c r="F238" s="7"/>
      <c r="G238" s="7"/>
      <c r="H238" s="7"/>
      <c r="I238" s="7"/>
      <c r="J238" s="7"/>
      <c r="K238" s="7"/>
      <c r="L238" s="7"/>
      <c r="M238" s="7"/>
      <c r="N238" s="7"/>
      <c r="O238" s="7"/>
      <c r="P238" s="7"/>
      <c r="Q238" s="7"/>
      <c r="R238" s="7"/>
      <c r="S238" s="7"/>
      <c r="T238" s="7"/>
      <c r="U238" s="7"/>
      <c r="V238" s="7"/>
      <c r="W238" s="7"/>
      <c r="X238" s="7"/>
      <c r="Y238" s="7"/>
      <c r="Z238" s="7"/>
      <c r="AA238" s="7"/>
      <c r="AB238" s="2"/>
      <c r="AC238" s="2"/>
      <c r="AD238" s="205"/>
      <c r="AE238" s="205"/>
      <c r="AF238" s="205"/>
      <c r="AG238" s="205"/>
      <c r="AH238" s="205"/>
      <c r="AI238" s="205"/>
      <c r="AJ238" s="205"/>
      <c r="AK238" s="205"/>
      <c r="AL238" s="205"/>
      <c r="AM238" s="205"/>
      <c r="AN238" s="205"/>
      <c r="AO238" s="205"/>
      <c r="AP238" s="205"/>
      <c r="AQ238" s="205"/>
      <c r="AR238" s="205"/>
      <c r="AS238" s="205"/>
      <c r="AT238" s="205"/>
      <c r="AU238" s="205"/>
      <c r="AV238" s="205"/>
      <c r="AW238" s="205"/>
      <c r="AX238" s="205"/>
      <c r="AY238" s="205"/>
      <c r="AZ238" s="205"/>
      <c r="BA238" s="205"/>
      <c r="BB238" s="205"/>
      <c r="BC238" s="92"/>
      <c r="BD238" s="92"/>
      <c r="BE238" s="92"/>
      <c r="BF238" s="92"/>
      <c r="BG238" s="92"/>
      <c r="BH238" s="92"/>
      <c r="BI238" s="92"/>
      <c r="BJ238" s="92"/>
      <c r="BK238" s="92"/>
      <c r="BL238" s="92"/>
      <c r="BM238" s="92"/>
      <c r="BN238" s="92"/>
      <c r="BO238" s="92"/>
      <c r="BP238" s="92"/>
      <c r="BQ238" s="92"/>
      <c r="BR238" s="92"/>
      <c r="BS238" s="92"/>
      <c r="BT238" s="92"/>
      <c r="BU238" s="92"/>
      <c r="BV238" s="92"/>
    </row>
    <row r="239" spans="1:74">
      <c r="A239" s="2"/>
      <c r="B239" s="18"/>
      <c r="C239" s="7"/>
      <c r="D239" s="7"/>
      <c r="E239" s="7"/>
      <c r="F239" s="7"/>
      <c r="G239" s="7"/>
      <c r="H239" s="7"/>
      <c r="I239" s="7"/>
      <c r="J239" s="7"/>
      <c r="K239" s="7"/>
      <c r="L239" s="7"/>
      <c r="M239" s="7"/>
      <c r="N239" s="7"/>
      <c r="O239" s="7"/>
      <c r="P239" s="7"/>
      <c r="Q239" s="7"/>
      <c r="R239" s="7"/>
      <c r="S239" s="7"/>
      <c r="T239" s="7"/>
      <c r="U239" s="7"/>
      <c r="V239" s="7"/>
      <c r="W239" s="7"/>
      <c r="X239" s="7"/>
      <c r="Y239" s="7"/>
      <c r="Z239" s="7"/>
      <c r="AA239" s="7"/>
      <c r="AB239" s="2"/>
      <c r="AC239" s="2"/>
      <c r="AD239" s="205"/>
      <c r="AE239" s="205"/>
      <c r="AF239" s="205"/>
      <c r="AG239" s="205"/>
      <c r="AH239" s="205"/>
      <c r="AI239" s="205"/>
      <c r="AJ239" s="205"/>
      <c r="AK239" s="205"/>
      <c r="AL239" s="205"/>
      <c r="AM239" s="205"/>
      <c r="AN239" s="205"/>
      <c r="AO239" s="205"/>
      <c r="AP239" s="205"/>
      <c r="AQ239" s="205"/>
      <c r="AR239" s="205"/>
      <c r="AS239" s="205"/>
      <c r="AT239" s="205"/>
      <c r="AU239" s="205"/>
      <c r="AV239" s="205"/>
      <c r="AW239" s="205"/>
      <c r="AX239" s="205"/>
      <c r="AY239" s="205"/>
      <c r="AZ239" s="205"/>
      <c r="BA239" s="205"/>
      <c r="BB239" s="205"/>
      <c r="BC239" s="92"/>
      <c r="BD239" s="92"/>
      <c r="BE239" s="92"/>
      <c r="BF239" s="92"/>
      <c r="BG239" s="92"/>
      <c r="BH239" s="92"/>
      <c r="BI239" s="92"/>
      <c r="BJ239" s="92"/>
      <c r="BK239" s="92"/>
      <c r="BL239" s="92"/>
      <c r="BM239" s="92"/>
      <c r="BN239" s="92"/>
      <c r="BO239" s="92"/>
      <c r="BP239" s="92"/>
      <c r="BQ239" s="92"/>
      <c r="BR239" s="92"/>
      <c r="BS239" s="92"/>
      <c r="BT239" s="92"/>
      <c r="BU239" s="92"/>
      <c r="BV239" s="92"/>
    </row>
    <row r="240" spans="1:74">
      <c r="A240" s="2"/>
      <c r="B240" s="18"/>
      <c r="C240" s="7"/>
      <c r="D240" s="7"/>
      <c r="E240" s="7"/>
      <c r="F240" s="7"/>
      <c r="G240" s="7"/>
      <c r="H240" s="7"/>
      <c r="I240" s="7"/>
      <c r="J240" s="7"/>
      <c r="K240" s="7"/>
      <c r="L240" s="7"/>
      <c r="M240" s="7"/>
      <c r="N240" s="7"/>
      <c r="O240" s="7"/>
      <c r="P240" s="7"/>
      <c r="Q240" s="7"/>
      <c r="R240" s="7"/>
      <c r="S240" s="7"/>
      <c r="T240" s="7"/>
      <c r="U240" s="7"/>
      <c r="V240" s="7"/>
      <c r="W240" s="7"/>
      <c r="X240" s="7"/>
      <c r="Y240" s="7"/>
      <c r="Z240" s="7"/>
      <c r="AA240" s="7"/>
      <c r="AB240" s="2"/>
      <c r="AC240" s="2"/>
      <c r="AD240" s="205"/>
      <c r="AE240" s="205"/>
      <c r="AF240" s="205"/>
      <c r="AG240" s="205"/>
      <c r="AH240" s="205"/>
      <c r="AI240" s="205"/>
      <c r="AJ240" s="205"/>
      <c r="AK240" s="205"/>
      <c r="AL240" s="205"/>
      <c r="AM240" s="205"/>
      <c r="AN240" s="205"/>
      <c r="AO240" s="205"/>
      <c r="AP240" s="205"/>
      <c r="AQ240" s="205"/>
      <c r="AR240" s="205"/>
      <c r="AS240" s="205"/>
      <c r="AT240" s="205"/>
      <c r="AU240" s="205"/>
      <c r="AV240" s="205"/>
      <c r="AW240" s="205"/>
      <c r="AX240" s="205"/>
      <c r="AY240" s="205"/>
      <c r="AZ240" s="205"/>
      <c r="BA240" s="205"/>
      <c r="BB240" s="205"/>
      <c r="BC240" s="92"/>
      <c r="BD240" s="92"/>
      <c r="BE240" s="92"/>
      <c r="BF240" s="92"/>
      <c r="BG240" s="92"/>
      <c r="BH240" s="92"/>
      <c r="BI240" s="92"/>
      <c r="BJ240" s="92"/>
      <c r="BK240" s="92"/>
      <c r="BL240" s="92"/>
      <c r="BM240" s="92"/>
      <c r="BN240" s="92"/>
      <c r="BO240" s="92"/>
      <c r="BP240" s="92"/>
      <c r="BQ240" s="92"/>
      <c r="BR240" s="92"/>
      <c r="BS240" s="92"/>
      <c r="BT240" s="92"/>
      <c r="BU240" s="92"/>
      <c r="BV240" s="92"/>
    </row>
    <row r="241" spans="1:74">
      <c r="A241" s="2"/>
      <c r="B241" s="18"/>
      <c r="C241" s="7"/>
      <c r="D241" s="7"/>
      <c r="E241" s="7"/>
      <c r="F241" s="7"/>
      <c r="G241" s="7"/>
      <c r="H241" s="7"/>
      <c r="I241" s="7"/>
      <c r="J241" s="7"/>
      <c r="K241" s="7"/>
      <c r="L241" s="7"/>
      <c r="M241" s="7"/>
      <c r="N241" s="7"/>
      <c r="O241" s="7"/>
      <c r="P241" s="7"/>
      <c r="Q241" s="7"/>
      <c r="R241" s="7"/>
      <c r="S241" s="7"/>
      <c r="T241" s="7"/>
      <c r="U241" s="7"/>
      <c r="V241" s="7"/>
      <c r="W241" s="7"/>
      <c r="X241" s="7"/>
      <c r="Y241" s="7"/>
      <c r="Z241" s="7"/>
      <c r="AA241" s="7"/>
      <c r="AB241" s="2"/>
      <c r="AC241" s="2"/>
      <c r="AD241" s="205"/>
      <c r="AE241" s="205"/>
      <c r="AF241" s="205"/>
      <c r="AG241" s="205"/>
      <c r="AH241" s="205"/>
      <c r="AI241" s="205"/>
      <c r="AJ241" s="205"/>
      <c r="AK241" s="205"/>
      <c r="AL241" s="205"/>
      <c r="AM241" s="205"/>
      <c r="AN241" s="205"/>
      <c r="AO241" s="205"/>
      <c r="AP241" s="205"/>
      <c r="AQ241" s="205"/>
      <c r="AR241" s="205"/>
      <c r="AS241" s="205"/>
      <c r="AT241" s="205"/>
      <c r="AU241" s="205"/>
      <c r="AV241" s="205"/>
      <c r="AW241" s="205"/>
      <c r="AX241" s="205"/>
      <c r="AY241" s="205"/>
      <c r="AZ241" s="205"/>
      <c r="BA241" s="205"/>
      <c r="BB241" s="205"/>
      <c r="BC241" s="92"/>
      <c r="BD241" s="92"/>
      <c r="BE241" s="92"/>
      <c r="BF241" s="92"/>
      <c r="BG241" s="92"/>
      <c r="BH241" s="92"/>
      <c r="BI241" s="92"/>
      <c r="BJ241" s="92"/>
      <c r="BK241" s="92"/>
      <c r="BL241" s="92"/>
      <c r="BM241" s="92"/>
      <c r="BN241" s="92"/>
      <c r="BO241" s="92"/>
      <c r="BP241" s="92"/>
      <c r="BQ241" s="92"/>
      <c r="BR241" s="92"/>
      <c r="BS241" s="92"/>
      <c r="BT241" s="92"/>
      <c r="BU241" s="92"/>
      <c r="BV241" s="92"/>
    </row>
    <row r="242" spans="1:74">
      <c r="A242" s="2"/>
      <c r="B242" s="18"/>
      <c r="C242" s="7"/>
      <c r="D242" s="7"/>
      <c r="E242" s="7"/>
      <c r="F242" s="7"/>
      <c r="G242" s="7"/>
      <c r="H242" s="7"/>
      <c r="I242" s="7"/>
      <c r="J242" s="7"/>
      <c r="K242" s="7"/>
      <c r="L242" s="7"/>
      <c r="M242" s="7"/>
      <c r="N242" s="7"/>
      <c r="O242" s="7"/>
      <c r="P242" s="7"/>
      <c r="Q242" s="7"/>
      <c r="R242" s="7"/>
      <c r="S242" s="7"/>
      <c r="T242" s="7"/>
      <c r="U242" s="7"/>
      <c r="V242" s="7"/>
      <c r="W242" s="7"/>
      <c r="X242" s="7"/>
      <c r="Y242" s="7"/>
      <c r="Z242" s="7"/>
      <c r="AA242" s="7"/>
      <c r="AB242" s="2"/>
      <c r="AC242" s="2"/>
      <c r="AD242" s="205"/>
      <c r="AE242" s="205"/>
      <c r="AF242" s="205"/>
      <c r="AG242" s="205"/>
      <c r="AH242" s="205"/>
      <c r="AI242" s="205"/>
      <c r="AJ242" s="205"/>
      <c r="AK242" s="205"/>
      <c r="AL242" s="205"/>
      <c r="AM242" s="205"/>
      <c r="AN242" s="205"/>
      <c r="AO242" s="205"/>
      <c r="AP242" s="205"/>
      <c r="AQ242" s="205"/>
      <c r="AR242" s="205"/>
      <c r="AS242" s="205"/>
      <c r="AT242" s="205"/>
      <c r="AU242" s="205"/>
      <c r="AV242" s="205"/>
      <c r="AW242" s="205"/>
      <c r="AX242" s="205"/>
      <c r="AY242" s="205"/>
      <c r="AZ242" s="205"/>
      <c r="BA242" s="205"/>
      <c r="BB242" s="205"/>
      <c r="BC242" s="92"/>
      <c r="BD242" s="92"/>
      <c r="BE242" s="92"/>
      <c r="BF242" s="92"/>
      <c r="BG242" s="92"/>
      <c r="BH242" s="92"/>
      <c r="BI242" s="92"/>
      <c r="BJ242" s="92"/>
      <c r="BK242" s="92"/>
      <c r="BL242" s="92"/>
      <c r="BM242" s="92"/>
      <c r="BN242" s="92"/>
      <c r="BO242" s="92"/>
      <c r="BP242" s="92"/>
      <c r="BQ242" s="92"/>
      <c r="BR242" s="92"/>
      <c r="BS242" s="92"/>
      <c r="BT242" s="92"/>
      <c r="BU242" s="92"/>
      <c r="BV242" s="92"/>
    </row>
    <row r="243" spans="1:74">
      <c r="A243" s="2"/>
      <c r="B243" s="18"/>
      <c r="C243" s="7"/>
      <c r="D243" s="7"/>
      <c r="E243" s="7"/>
      <c r="F243" s="7"/>
      <c r="G243" s="7"/>
      <c r="H243" s="7"/>
      <c r="I243" s="7"/>
      <c r="J243" s="7"/>
      <c r="K243" s="7"/>
      <c r="L243" s="7"/>
      <c r="M243" s="7"/>
      <c r="N243" s="7"/>
      <c r="O243" s="7"/>
      <c r="P243" s="7"/>
      <c r="Q243" s="7"/>
      <c r="R243" s="7"/>
      <c r="S243" s="7"/>
      <c r="T243" s="7"/>
      <c r="U243" s="7"/>
      <c r="V243" s="7"/>
      <c r="W243" s="7"/>
      <c r="X243" s="7"/>
      <c r="Y243" s="7"/>
      <c r="Z243" s="7"/>
      <c r="AA243" s="7"/>
      <c r="AB243" s="2"/>
      <c r="AC243" s="2"/>
      <c r="AD243" s="205"/>
      <c r="AE243" s="205"/>
      <c r="AF243" s="205"/>
      <c r="AG243" s="205"/>
      <c r="AH243" s="205"/>
      <c r="AI243" s="205"/>
      <c r="AJ243" s="205"/>
      <c r="AK243" s="205"/>
      <c r="AL243" s="205"/>
      <c r="AM243" s="205"/>
      <c r="AN243" s="205"/>
      <c r="AO243" s="205"/>
      <c r="AP243" s="205"/>
      <c r="AQ243" s="205"/>
      <c r="AR243" s="205"/>
      <c r="AS243" s="205"/>
      <c r="AT243" s="205"/>
      <c r="AU243" s="205"/>
      <c r="AV243" s="205"/>
      <c r="AW243" s="205"/>
      <c r="AX243" s="205"/>
      <c r="AY243" s="205"/>
      <c r="AZ243" s="205"/>
      <c r="BA243" s="205"/>
      <c r="BB243" s="205"/>
      <c r="BC243" s="92"/>
      <c r="BD243" s="92"/>
      <c r="BE243" s="92"/>
      <c r="BF243" s="92"/>
      <c r="BG243" s="92"/>
      <c r="BH243" s="92"/>
      <c r="BI243" s="92"/>
      <c r="BJ243" s="92"/>
      <c r="BK243" s="92"/>
      <c r="BL243" s="92"/>
      <c r="BM243" s="92"/>
      <c r="BN243" s="92"/>
      <c r="BO243" s="92"/>
      <c r="BP243" s="92"/>
      <c r="BQ243" s="92"/>
      <c r="BR243" s="92"/>
      <c r="BS243" s="92"/>
      <c r="BT243" s="92"/>
      <c r="BU243" s="92"/>
      <c r="BV243" s="92"/>
    </row>
    <row r="244" spans="1:74">
      <c r="A244" s="2"/>
      <c r="B244" s="18"/>
      <c r="C244" s="7"/>
      <c r="D244" s="7"/>
      <c r="E244" s="7"/>
      <c r="F244" s="7"/>
      <c r="G244" s="7"/>
      <c r="H244" s="7"/>
      <c r="I244" s="7"/>
      <c r="J244" s="7"/>
      <c r="K244" s="7"/>
      <c r="L244" s="7"/>
      <c r="M244" s="7"/>
      <c r="N244" s="7"/>
      <c r="O244" s="7"/>
      <c r="P244" s="7"/>
      <c r="Q244" s="7"/>
      <c r="R244" s="7"/>
      <c r="S244" s="7"/>
      <c r="T244" s="7"/>
      <c r="U244" s="7"/>
      <c r="V244" s="7"/>
      <c r="W244" s="7"/>
      <c r="X244" s="7"/>
      <c r="Y244" s="7"/>
      <c r="Z244" s="7"/>
      <c r="AA244" s="7"/>
      <c r="AB244" s="2"/>
      <c r="AC244" s="2"/>
      <c r="AD244" s="205"/>
      <c r="AE244" s="205"/>
      <c r="AF244" s="205"/>
      <c r="AG244" s="205"/>
      <c r="AH244" s="205"/>
      <c r="AI244" s="205"/>
      <c r="AJ244" s="205"/>
      <c r="AK244" s="205"/>
      <c r="AL244" s="205"/>
      <c r="AM244" s="205"/>
      <c r="AN244" s="205"/>
      <c r="AO244" s="205"/>
      <c r="AP244" s="205"/>
      <c r="AQ244" s="205"/>
      <c r="AR244" s="205"/>
      <c r="AS244" s="205"/>
      <c r="AT244" s="205"/>
      <c r="AU244" s="205"/>
      <c r="AV244" s="205"/>
      <c r="AW244" s="205"/>
      <c r="AX244" s="205"/>
      <c r="AY244" s="205"/>
      <c r="AZ244" s="205"/>
      <c r="BA244" s="205"/>
      <c r="BB244" s="205"/>
      <c r="BC244" s="92"/>
      <c r="BD244" s="92"/>
      <c r="BE244" s="92"/>
      <c r="BF244" s="92"/>
      <c r="BG244" s="92"/>
      <c r="BH244" s="92"/>
      <c r="BI244" s="92"/>
      <c r="BJ244" s="92"/>
      <c r="BK244" s="92"/>
      <c r="BL244" s="92"/>
      <c r="BM244" s="92"/>
      <c r="BN244" s="92"/>
      <c r="BO244" s="92"/>
      <c r="BP244" s="92"/>
      <c r="BQ244" s="92"/>
      <c r="BR244" s="92"/>
      <c r="BS244" s="92"/>
      <c r="BT244" s="92"/>
      <c r="BU244" s="92"/>
      <c r="BV244" s="92"/>
    </row>
    <row r="245" spans="1:74">
      <c r="A245" s="2"/>
      <c r="B245" s="18"/>
      <c r="C245" s="7"/>
      <c r="D245" s="7"/>
      <c r="E245" s="7"/>
      <c r="F245" s="7"/>
      <c r="G245" s="7"/>
      <c r="H245" s="7"/>
      <c r="I245" s="7"/>
      <c r="J245" s="7"/>
      <c r="K245" s="7"/>
      <c r="L245" s="7"/>
      <c r="M245" s="7"/>
      <c r="N245" s="7"/>
      <c r="O245" s="7"/>
      <c r="P245" s="7"/>
      <c r="Q245" s="7"/>
      <c r="R245" s="7"/>
      <c r="S245" s="7"/>
      <c r="T245" s="7"/>
      <c r="U245" s="7"/>
      <c r="V245" s="7"/>
      <c r="W245" s="7"/>
      <c r="X245" s="7"/>
      <c r="Y245" s="7"/>
      <c r="Z245" s="7"/>
      <c r="AA245" s="7"/>
      <c r="AB245" s="2"/>
      <c r="AC245" s="2"/>
      <c r="AD245" s="205"/>
      <c r="AE245" s="205"/>
      <c r="AF245" s="205"/>
      <c r="AG245" s="205"/>
      <c r="AH245" s="205"/>
      <c r="AI245" s="205"/>
      <c r="AJ245" s="205"/>
      <c r="AK245" s="205"/>
      <c r="AL245" s="205"/>
      <c r="AM245" s="205"/>
      <c r="AN245" s="205"/>
      <c r="AO245" s="205"/>
      <c r="AP245" s="205"/>
      <c r="AQ245" s="205"/>
      <c r="AR245" s="205"/>
      <c r="AS245" s="205"/>
      <c r="AT245" s="205"/>
      <c r="AU245" s="205"/>
      <c r="AV245" s="205"/>
      <c r="AW245" s="205"/>
      <c r="AX245" s="205"/>
      <c r="AY245" s="205"/>
      <c r="AZ245" s="205"/>
      <c r="BA245" s="205"/>
      <c r="BB245" s="205"/>
      <c r="BC245" s="92"/>
      <c r="BD245" s="92"/>
      <c r="BE245" s="92"/>
      <c r="BF245" s="92"/>
      <c r="BG245" s="92"/>
      <c r="BH245" s="92"/>
      <c r="BI245" s="92"/>
      <c r="BJ245" s="92"/>
      <c r="BK245" s="92"/>
      <c r="BL245" s="92"/>
      <c r="BM245" s="92"/>
      <c r="BN245" s="92"/>
      <c r="BO245" s="92"/>
      <c r="BP245" s="92"/>
      <c r="BQ245" s="92"/>
      <c r="BR245" s="92"/>
      <c r="BS245" s="92"/>
      <c r="BT245" s="92"/>
      <c r="BU245" s="92"/>
      <c r="BV245" s="92"/>
    </row>
    <row r="246" spans="1:74">
      <c r="A246" s="2"/>
      <c r="B246" s="18"/>
      <c r="C246" s="7"/>
      <c r="D246" s="7"/>
      <c r="E246" s="7"/>
      <c r="F246" s="7"/>
      <c r="G246" s="7"/>
      <c r="H246" s="7"/>
      <c r="I246" s="7"/>
      <c r="J246" s="7"/>
      <c r="K246" s="7"/>
      <c r="L246" s="7"/>
      <c r="M246" s="7"/>
      <c r="N246" s="7"/>
      <c r="O246" s="7"/>
      <c r="P246" s="7"/>
      <c r="Q246" s="7"/>
      <c r="R246" s="7"/>
      <c r="S246" s="7"/>
      <c r="T246" s="7"/>
      <c r="U246" s="7"/>
      <c r="V246" s="7"/>
      <c r="W246" s="7"/>
      <c r="X246" s="7"/>
      <c r="Y246" s="7"/>
      <c r="Z246" s="7"/>
      <c r="AA246" s="7"/>
      <c r="AB246" s="2"/>
      <c r="AC246" s="2"/>
      <c r="AD246" s="205"/>
      <c r="AE246" s="205"/>
      <c r="AF246" s="205"/>
      <c r="AG246" s="205"/>
      <c r="AH246" s="205"/>
      <c r="AI246" s="205"/>
      <c r="AJ246" s="205"/>
      <c r="AK246" s="205"/>
      <c r="AL246" s="205"/>
      <c r="AM246" s="205"/>
      <c r="AN246" s="205"/>
      <c r="AO246" s="205"/>
      <c r="AP246" s="205"/>
      <c r="AQ246" s="205"/>
      <c r="AR246" s="205"/>
      <c r="AS246" s="205"/>
      <c r="AT246" s="205"/>
      <c r="AU246" s="205"/>
      <c r="AV246" s="205"/>
      <c r="AW246" s="205"/>
      <c r="AX246" s="205"/>
      <c r="AY246" s="205"/>
      <c r="AZ246" s="205"/>
      <c r="BA246" s="205"/>
      <c r="BB246" s="205"/>
      <c r="BC246" s="92"/>
      <c r="BD246" s="92"/>
      <c r="BE246" s="92"/>
      <c r="BF246" s="92"/>
      <c r="BG246" s="92"/>
      <c r="BH246" s="92"/>
      <c r="BI246" s="92"/>
      <c r="BJ246" s="92"/>
      <c r="BK246" s="92"/>
      <c r="BL246" s="92"/>
      <c r="BM246" s="92"/>
      <c r="BN246" s="92"/>
      <c r="BO246" s="92"/>
      <c r="BP246" s="92"/>
      <c r="BQ246" s="92"/>
      <c r="BR246" s="92"/>
      <c r="BS246" s="92"/>
      <c r="BT246" s="92"/>
      <c r="BU246" s="92"/>
      <c r="BV246" s="92"/>
    </row>
  </sheetData>
  <mergeCells count="3">
    <mergeCell ref="U7:X7"/>
    <mergeCell ref="AT7:AX7"/>
    <mergeCell ref="AY39:AZ39"/>
  </mergeCells>
  <phoneticPr fontId="10" type="noConversion"/>
  <printOptions horizontalCentered="1" verticalCentered="1"/>
  <pageMargins left="0" right="0" top="0" bottom="0" header="0" footer="0"/>
  <pageSetup paperSize="5" orientation="landscape" r:id="rId1"/>
  <headerFooter alignWithMargins="0"/>
  <ignoredErrors>
    <ignoredError sqref="AT23" formula="1"/>
  </ignoredError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C6218-7496-4599-AB8B-AFAE255C2C77}">
  <dimension ref="A1:B44"/>
  <sheetViews>
    <sheetView workbookViewId="0"/>
  </sheetViews>
  <sheetFormatPr defaultRowHeight="13.8"/>
  <cols>
    <col min="1" max="1" width="29.109375" customWidth="1"/>
  </cols>
  <sheetData>
    <row r="1" spans="1:2">
      <c r="A1" s="1215" t="s">
        <v>1814</v>
      </c>
      <c r="B1" s="1223" t="s">
        <v>1815</v>
      </c>
    </row>
    <row r="2" spans="1:2">
      <c r="A2" s="1215" t="s">
        <v>1816</v>
      </c>
      <c r="B2" s="1215" t="s">
        <v>1817</v>
      </c>
    </row>
    <row r="3" spans="1:2">
      <c r="A3" s="1215" t="s">
        <v>1818</v>
      </c>
      <c r="B3" s="1215" t="s">
        <v>1819</v>
      </c>
    </row>
    <row r="4" spans="1:2">
      <c r="A4" s="1215" t="s">
        <v>1820</v>
      </c>
      <c r="B4" s="1215" t="s">
        <v>1821</v>
      </c>
    </row>
    <row r="5" spans="1:2">
      <c r="A5" s="1215" t="s">
        <v>1822</v>
      </c>
      <c r="B5" s="1215" t="s">
        <v>1823</v>
      </c>
    </row>
    <row r="6" spans="1:2">
      <c r="A6" s="1215" t="s">
        <v>1824</v>
      </c>
      <c r="B6" s="1215"/>
    </row>
    <row r="7" spans="1:2">
      <c r="A7" s="1215" t="s">
        <v>1825</v>
      </c>
      <c r="B7" s="1215" t="s">
        <v>211</v>
      </c>
    </row>
    <row r="8" spans="1:2">
      <c r="A8" s="1215" t="s">
        <v>1826</v>
      </c>
      <c r="B8" s="1215" t="s">
        <v>1827</v>
      </c>
    </row>
    <row r="9" spans="1:2">
      <c r="A9" s="1215" t="s">
        <v>1828</v>
      </c>
      <c r="B9" s="1215" t="s">
        <v>1829</v>
      </c>
    </row>
    <row r="10" spans="1:2">
      <c r="A10" s="1215" t="s">
        <v>1830</v>
      </c>
      <c r="B10" s="1215"/>
    </row>
    <row r="11" spans="1:2">
      <c r="A11" s="1215" t="s">
        <v>1831</v>
      </c>
      <c r="B11" s="1215"/>
    </row>
    <row r="12" spans="1:2">
      <c r="A12" s="1215" t="s">
        <v>1832</v>
      </c>
      <c r="B12" s="1215"/>
    </row>
    <row r="13" spans="1:2">
      <c r="A13" s="1215" t="s">
        <v>1833</v>
      </c>
      <c r="B13" s="1215"/>
    </row>
    <row r="14" spans="1:2">
      <c r="A14" s="1215" t="s">
        <v>1834</v>
      </c>
      <c r="B14" s="1215"/>
    </row>
    <row r="15" spans="1:2">
      <c r="A15" s="1215" t="s">
        <v>1835</v>
      </c>
      <c r="B15" s="1215"/>
    </row>
    <row r="16" spans="1:2">
      <c r="A16" s="1215" t="s">
        <v>1836</v>
      </c>
      <c r="B16" s="1215"/>
    </row>
    <row r="17" spans="1:2">
      <c r="A17" s="1215" t="s">
        <v>1837</v>
      </c>
      <c r="B17" s="1215" t="s">
        <v>1838</v>
      </c>
    </row>
    <row r="18" spans="1:2">
      <c r="A18" s="1215" t="s">
        <v>1839</v>
      </c>
      <c r="B18" s="1215" t="s">
        <v>1840</v>
      </c>
    </row>
    <row r="19" spans="1:2">
      <c r="A19" s="1215" t="s">
        <v>1841</v>
      </c>
      <c r="B19" s="1215" t="s">
        <v>210</v>
      </c>
    </row>
    <row r="20" spans="1:2">
      <c r="A20" s="1215" t="s">
        <v>1842</v>
      </c>
      <c r="B20" s="1215"/>
    </row>
    <row r="21" spans="1:2">
      <c r="A21" s="1215" t="s">
        <v>1843</v>
      </c>
      <c r="B21" s="1215" t="s">
        <v>210</v>
      </c>
    </row>
    <row r="22" spans="1:2">
      <c r="A22" s="1215" t="s">
        <v>1844</v>
      </c>
      <c r="B22" s="1215" t="s">
        <v>511</v>
      </c>
    </row>
    <row r="23" spans="1:2">
      <c r="A23" s="1215" t="s">
        <v>1845</v>
      </c>
      <c r="B23" s="1223" t="s">
        <v>1846</v>
      </c>
    </row>
    <row r="24" spans="1:2">
      <c r="A24" s="1215" t="s">
        <v>1847</v>
      </c>
      <c r="B24" s="1215" t="s">
        <v>554</v>
      </c>
    </row>
    <row r="25" spans="1:2">
      <c r="A25" s="1215" t="s">
        <v>1848</v>
      </c>
      <c r="B25" s="1215" t="s">
        <v>1849</v>
      </c>
    </row>
    <row r="26" spans="1:2">
      <c r="A26" s="1215" t="s">
        <v>1850</v>
      </c>
      <c r="B26" s="1215" t="s">
        <v>1851</v>
      </c>
    </row>
    <row r="27" spans="1:2">
      <c r="A27" s="1215" t="s">
        <v>1852</v>
      </c>
      <c r="B27" s="1215" t="s">
        <v>1853</v>
      </c>
    </row>
    <row r="28" spans="1:2">
      <c r="A28" s="1215" t="s">
        <v>1854</v>
      </c>
      <c r="B28" s="1215" t="s">
        <v>1855</v>
      </c>
    </row>
    <row r="29" spans="1:2">
      <c r="A29" s="1215" t="s">
        <v>1856</v>
      </c>
      <c r="B29" s="1215"/>
    </row>
    <row r="30" spans="1:2">
      <c r="A30" s="1215" t="s">
        <v>1857</v>
      </c>
      <c r="B30" s="1215"/>
    </row>
    <row r="31" spans="1:2">
      <c r="A31" s="1215" t="s">
        <v>1858</v>
      </c>
      <c r="B31" s="1215"/>
    </row>
    <row r="32" spans="1:2">
      <c r="A32" s="1215" t="s">
        <v>1859</v>
      </c>
      <c r="B32" s="1215"/>
    </row>
    <row r="33" spans="1:2">
      <c r="A33" s="1215" t="s">
        <v>1860</v>
      </c>
      <c r="B33" s="1215"/>
    </row>
    <row r="34" spans="1:2">
      <c r="A34" s="1215" t="s">
        <v>1861</v>
      </c>
      <c r="B34" s="1215"/>
    </row>
    <row r="35" spans="1:2">
      <c r="A35" s="1215" t="s">
        <v>1862</v>
      </c>
      <c r="B35" s="1215" t="s">
        <v>1863</v>
      </c>
    </row>
    <row r="36" spans="1:2">
      <c r="A36" s="1215" t="s">
        <v>1864</v>
      </c>
      <c r="B36" s="1215" t="s">
        <v>1865</v>
      </c>
    </row>
    <row r="37" spans="1:2">
      <c r="A37" s="1215" t="s">
        <v>1866</v>
      </c>
      <c r="B37" s="1215" t="s">
        <v>1867</v>
      </c>
    </row>
    <row r="38" spans="1:2">
      <c r="A38" s="1215" t="s">
        <v>1868</v>
      </c>
      <c r="B38" s="1215" t="s">
        <v>1869</v>
      </c>
    </row>
    <row r="39" spans="1:2">
      <c r="A39" s="1215" t="s">
        <v>1870</v>
      </c>
      <c r="B39" s="1215" t="s">
        <v>1871</v>
      </c>
    </row>
    <row r="40" spans="1:2">
      <c r="A40" s="1215" t="s">
        <v>1872</v>
      </c>
      <c r="B40" s="1215" t="s">
        <v>1873</v>
      </c>
    </row>
    <row r="41" spans="1:2">
      <c r="A41" s="1215" t="s">
        <v>1874</v>
      </c>
      <c r="B41" s="1215" t="s">
        <v>1875</v>
      </c>
    </row>
    <row r="42" spans="1:2">
      <c r="A42" s="1215" t="s">
        <v>1876</v>
      </c>
      <c r="B42" s="1215"/>
    </row>
    <row r="43" spans="1:2">
      <c r="A43" s="1215" t="s">
        <v>1877</v>
      </c>
      <c r="B43" s="1215"/>
    </row>
    <row r="44" spans="1:2">
      <c r="A44" s="1215" t="s">
        <v>1878</v>
      </c>
      <c r="B44" s="1215" t="s">
        <v>1879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B0DB6-112D-4937-80B1-29C976400944}">
  <dimension ref="A1:A13"/>
  <sheetViews>
    <sheetView workbookViewId="0"/>
  </sheetViews>
  <sheetFormatPr defaultRowHeight="13.8"/>
  <cols>
    <col min="1" max="1" width="28.109375" customWidth="1"/>
  </cols>
  <sheetData>
    <row r="1" spans="1:1">
      <c r="A1" s="1215" t="s">
        <v>1880</v>
      </c>
    </row>
    <row r="2" spans="1:1">
      <c r="A2" s="1215" t="s">
        <v>1881</v>
      </c>
    </row>
    <row r="3" spans="1:1">
      <c r="A3" s="1215" t="s">
        <v>1882</v>
      </c>
    </row>
    <row r="4" spans="1:1">
      <c r="A4" s="1215" t="s">
        <v>1883</v>
      </c>
    </row>
    <row r="5" spans="1:1">
      <c r="A5" s="1215" t="s">
        <v>1884</v>
      </c>
    </row>
    <row r="6" spans="1:1">
      <c r="A6" s="1215" t="s">
        <v>1885</v>
      </c>
    </row>
    <row r="7" spans="1:1">
      <c r="A7" s="1215" t="s">
        <v>1886</v>
      </c>
    </row>
    <row r="8" spans="1:1">
      <c r="A8" s="1215" t="s">
        <v>1887</v>
      </c>
    </row>
    <row r="9" spans="1:1">
      <c r="A9" s="1215" t="s">
        <v>1888</v>
      </c>
    </row>
    <row r="10" spans="1:1">
      <c r="A10" s="1215" t="s">
        <v>1889</v>
      </c>
    </row>
    <row r="11" spans="1:1">
      <c r="A11" s="1215" t="s">
        <v>1890</v>
      </c>
    </row>
    <row r="12" spans="1:1">
      <c r="A12" s="1215" t="s">
        <v>1891</v>
      </c>
    </row>
    <row r="13" spans="1:1">
      <c r="A13" s="1215" t="s">
        <v>1892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lk:Links xmlns:lk="thomsonreuters.linking.metadata"/>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B305FC02-BF28-4DA4-B337-C3FB66CAC809}">
  <ds:schemaRefs>
    <ds:schemaRef ds:uri="thomsonreuters.linking.metadata"/>
  </ds:schemaRefs>
</ds:datastoreItem>
</file>

<file path=customXml/itemProps2.xml><?xml version="1.0" encoding="utf-8"?>
<ds:datastoreItem xmlns:ds="http://schemas.openxmlformats.org/officeDocument/2006/customXml" ds:itemID="{D4F8D20D-F403-4976-AF17-299C5DE92315}">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44</vt:i4>
      </vt:variant>
    </vt:vector>
  </HeadingPairs>
  <TitlesOfParts>
    <vt:vector size="58" baseType="lpstr">
      <vt:lpstr>CircularReferenceAlert</vt:lpstr>
      <vt:lpstr>ImportantDisclosures</vt:lpstr>
      <vt:lpstr>MENU</vt:lpstr>
      <vt:lpstr>Financial Summary</vt:lpstr>
      <vt:lpstr>Revenue Assumptions</vt:lpstr>
      <vt:lpstr>Cost + BS Assumptions</vt:lpstr>
      <vt:lpstr>P&amp;L</vt:lpstr>
      <vt:lpstr>Cash Flow Statement</vt:lpstr>
      <vt:lpstr>Balance Sheet</vt:lpstr>
      <vt:lpstr>Valuation &gt;&gt;&gt;</vt:lpstr>
      <vt:lpstr>PE</vt:lpstr>
      <vt:lpstr>SoTP</vt:lpstr>
      <vt:lpstr>IndexInformation</vt:lpstr>
      <vt:lpstr>ModPubIndex</vt:lpstr>
      <vt:lpstr>dfds</vt:lpstr>
      <vt:lpstr>dsafdsafsa</vt:lpstr>
      <vt:lpstr>dsafsdf</vt:lpstr>
      <vt:lpstr>dsfsf</vt:lpstr>
      <vt:lpstr>Linking_1</vt:lpstr>
      <vt:lpstr>Linking_2</vt:lpstr>
      <vt:lpstr>Linking_33</vt:lpstr>
      <vt:lpstr>Linking_4</vt:lpstr>
      <vt:lpstr>Linking_45</vt:lpstr>
      <vt:lpstr>Linking_49</vt:lpstr>
      <vt:lpstr>Linking_5</vt:lpstr>
      <vt:lpstr>Linking_51</vt:lpstr>
      <vt:lpstr>Linking_52</vt:lpstr>
      <vt:lpstr>Linking_54</vt:lpstr>
      <vt:lpstr>Linking_55</vt:lpstr>
      <vt:lpstr>Linking_56</vt:lpstr>
      <vt:lpstr>Linking_58</vt:lpstr>
      <vt:lpstr>Linking_6</vt:lpstr>
      <vt:lpstr>Linking_63</vt:lpstr>
      <vt:lpstr>Linking_65</vt:lpstr>
      <vt:lpstr>Linking_66</vt:lpstr>
      <vt:lpstr>Linking_67</vt:lpstr>
      <vt:lpstr>Linking_68</vt:lpstr>
      <vt:lpstr>Linking_69</vt:lpstr>
      <vt:lpstr>Linking_70</vt:lpstr>
      <vt:lpstr>Linking_72</vt:lpstr>
      <vt:lpstr>Linking_76</vt:lpstr>
      <vt:lpstr>Linking_77</vt:lpstr>
      <vt:lpstr>Linking_78</vt:lpstr>
      <vt:lpstr>Linking_80</vt:lpstr>
      <vt:lpstr>Linking_Range_101</vt:lpstr>
      <vt:lpstr>Linking_Range_120</vt:lpstr>
      <vt:lpstr>Linking_Range_121</vt:lpstr>
      <vt:lpstr>Linking_Range_122</vt:lpstr>
      <vt:lpstr>MENU!Print_Area</vt:lpstr>
      <vt:lpstr>'Cost + BS Assumptions'!ProfitLoss</vt:lpstr>
      <vt:lpstr>'P&amp;L'!ProfitLoss</vt:lpstr>
      <vt:lpstr>'Revenue Assumptions'!ProfitLoss</vt:lpstr>
      <vt:lpstr>'P&amp;L'!ProfitLoss_Data</vt:lpstr>
      <vt:lpstr>'P&amp;L'!ProfitLossAnalysis</vt:lpstr>
      <vt:lpstr>sadfdsa</vt:lpstr>
      <vt:lpstr>saFDad</vt:lpstr>
      <vt:lpstr>sdfadsafsa</vt:lpstr>
      <vt:lpstr>sfdfs</vt:lpstr>
    </vt:vector>
  </TitlesOfParts>
  <Company>Morgan Stanley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goodrmar</dc:creator>
  <cp:lastModifiedBy>Sutcliffe, Angela (Research)</cp:lastModifiedBy>
  <cp:lastPrinted>2026-02-19T04:26:45Z</cp:lastPrinted>
  <dcterms:created xsi:type="dcterms:W3CDTF">2012-01-16T04:31:18Z</dcterms:created>
  <dcterms:modified xsi:type="dcterms:W3CDTF">2026-02-20T00:20:03Z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7f119e6-c6cd-44b0-a5ee-ac1aff68c56e_Enabled">
    <vt:lpwstr>true</vt:lpwstr>
  </property>
  <property fmtid="{D5CDD505-2E9C-101B-9397-08002B2CF9AE}" pid="3" name="MSIP_Label_07f119e6-c6cd-44b0-a5ee-ac1aff68c56e_SetDate">
    <vt:lpwstr>2022-05-31T07:44:02Z</vt:lpwstr>
  </property>
  <property fmtid="{D5CDD505-2E9C-101B-9397-08002B2CF9AE}" pid="4" name="MSIP_Label_07f119e6-c6cd-44b0-a5ee-ac1aff68c56e_Method">
    <vt:lpwstr>Standard</vt:lpwstr>
  </property>
  <property fmtid="{D5CDD505-2E9C-101B-9397-08002B2CF9AE}" pid="5" name="MSIP_Label_07f119e6-c6cd-44b0-a5ee-ac1aff68c56e_Name">
    <vt:lpwstr>Confidential v1</vt:lpwstr>
  </property>
  <property fmtid="{D5CDD505-2E9C-101B-9397-08002B2CF9AE}" pid="6" name="MSIP_Label_07f119e6-c6cd-44b0-a5ee-ac1aff68c56e_SiteId">
    <vt:lpwstr>e29b8111-49f8-418d-ac2a-935335a52614</vt:lpwstr>
  </property>
  <property fmtid="{D5CDD505-2E9C-101B-9397-08002B2CF9AE}" pid="7" name="MSIP_Label_07f119e6-c6cd-44b0-a5ee-ac1aff68c56e_ActionId">
    <vt:lpwstr>6e5a094d-3bdc-4c55-bff9-81d9dd431cd4</vt:lpwstr>
  </property>
  <property fmtid="{D5CDD505-2E9C-101B-9397-08002B2CF9AE}" pid="8" name="MSIP_Label_07f119e6-c6cd-44b0-a5ee-ac1aff68c56e_ContentBits">
    <vt:lpwstr>0</vt:lpwstr>
  </property>
  <property fmtid="{D5CDD505-2E9C-101B-9397-08002B2CF9AE}" pid="9" name="ERModPubTicket">
    <vt:lpwstr>NA</vt:lpwstr>
  </property>
  <property fmtid="{D5CDD505-2E9C-101B-9397-08002B2CF9AE}" pid="10" name="ERModPubConfirmEmail">
    <vt:bool>false</vt:bool>
  </property>
  <property fmtid="{D5CDD505-2E9C-101B-9397-08002B2CF9AE}" pid="11" name="ERModPubUserEmail">
    <vt:lpwstr>sutclang@ms.com</vt:lpwstr>
  </property>
  <property fmtid="{D5CDD505-2E9C-101B-9397-08002B2CF9AE}" pid="12" name="ERModPubGCIMTagged">
    <vt:bool>true</vt:bool>
  </property>
  <property fmtid="{D5CDD505-2E9C-101B-9397-08002B2CF9AE}" pid="13" name="ERCompanyUploadState">
    <vt:lpwstr>P</vt:lpwstr>
  </property>
  <property fmtid="{D5CDD505-2E9C-101B-9397-08002B2CF9AE}" pid="14" name="ERModPubCurrentYear">
    <vt:i4>2026</vt:i4>
  </property>
  <property fmtid="{D5CDD505-2E9C-101B-9397-08002B2CF9AE}" pid="15" name="ModelId">
    <vt:lpwstr>9787853</vt:lpwstr>
  </property>
  <property fmtid="{D5CDD505-2E9C-101B-9397-08002B2CF9AE}" pid="16" name="ERModPubCompanyName">
    <vt:lpwstr>Telstra Corporation</vt:lpwstr>
  </property>
</Properties>
</file>